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585" windowWidth="28455" windowHeight="13740" activeTab="3"/>
  </bookViews>
  <sheets>
    <sheet name="Krycí list rozpočtu" sheetId="1" r:id="rId1"/>
    <sheet name="VORN" sheetId="2" state="hidden" r:id="rId2"/>
    <sheet name="Rekapitulace_objekty" sheetId="3" r:id="rId3"/>
    <sheet name="Stavební rozpočet" sheetId="4" r:id="rId4"/>
    <sheet name="Rekapitulace_stavební část" sheetId="5" r:id="rId5"/>
    <sheet name="Rekapitulace_ZTI, plyn" sheetId="6" r:id="rId6"/>
    <sheet name="Rekapitulace_UT" sheetId="7" r:id="rId7"/>
    <sheet name="Rekapitulace_VZT" sheetId="8" r:id="rId8"/>
    <sheet name="Rekapitulace_silnoproud" sheetId="9" r:id="rId9"/>
    <sheet name="Rekapitulace_slaboproud" sheetId="10" r:id="rId10"/>
    <sheet name="Rekapitulace_VORN" sheetId="11" r:id="rId11"/>
    <sheet name="Stavební rozpočet (01)" sheetId="12" state="hidden" r:id="rId12"/>
    <sheet name="Stavební rozpočet (02)" sheetId="13" state="hidden" r:id="rId13"/>
    <sheet name="Stavební rozpočet (03)" sheetId="14" state="hidden" r:id="rId14"/>
    <sheet name="Stavební rozpočet (04)" sheetId="15" state="hidden" r:id="rId15"/>
    <sheet name="Stavební rozpočet (05)" sheetId="16" state="hidden" r:id="rId16"/>
    <sheet name="Stavební rozpočet (06)" sheetId="17" state="hidden" r:id="rId17"/>
    <sheet name="Stavební rozpočet (VORN)" sheetId="18" state="hidden" r:id="rId18"/>
  </sheets>
  <definedNames>
    <definedName name="vorn_sum">'VORN'!$I$45</definedName>
  </definedNames>
  <calcPr calcId="125725"/>
</workbook>
</file>

<file path=xl/sharedStrings.xml><?xml version="1.0" encoding="utf-8"?>
<sst xmlns="http://schemas.openxmlformats.org/spreadsheetml/2006/main" count="23611" uniqueCount="3247">
  <si>
    <t>Krycí list slepého rozpočtu</t>
  </si>
  <si>
    <t>Název stavby:</t>
  </si>
  <si>
    <t>Objednatel:</t>
  </si>
  <si>
    <t>IČO/DIČ:</t>
  </si>
  <si>
    <t/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</si>
  <si>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</si>
  <si>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</si>
  <si>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</si>
  <si>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</si>
  <si>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</si>
  <si>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</si>
  <si>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</si>
  <si>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</si>
  <si>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</si>
  <si>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</si>
  <si>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</si>
  <si>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</si>
  <si>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</si>
  <si>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</si>
  <si>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</si>
  <si>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</si>
  <si>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</si>
  <si>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</si>
  <si>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</si>
  <si>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</si>
  <si>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</si>
  <si>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</si>
  <si>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</si>
  <si>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</si>
  <si>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</si>
  <si>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</si>
  <si>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</si>
  <si>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</si>
  <si>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</si>
  <si>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</si>
  <si>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</si>
  <si>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</si>
  <si>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</si>
  <si>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</si>
  <si>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</si>
  <si>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</si>
  <si>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</si>
  <si>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</si>
  <si>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</si>
  <si>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</si>
  <si>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</si>
  <si>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</si>
  <si>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</si>
  <si>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</si>
  <si>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</si>
  <si>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</si>
  <si>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</si>
  <si>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</si>
  <si>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</si>
  <si>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</si>
  <si>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</si>
  <si>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</si>
  <si>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</si>
  <si>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</si>
  <si>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</si>
  <si>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</si>
  <si>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</si>
  <si>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</si>
  <si>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</si>
  <si>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</si>
  <si>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</si>
  <si>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Vedlejší a ostatní rozpočtové náklady VORN</t>
  </si>
  <si>
    <t>Ostatní rozpočtové náklady (VORN)</t>
  </si>
  <si>
    <t>Průzkumy, geodetické a projektové práce</t>
  </si>
  <si>
    <t>Příprava staveniště</t>
  </si>
  <si>
    <t>Inženýrské činnosti</t>
  </si>
  <si>
    <t>Finanční náklady</t>
  </si>
  <si>
    <t>Náklady na pracovníky</t>
  </si>
  <si>
    <t>Ostatní náklady</t>
  </si>
  <si>
    <t>Vlastní VORN</t>
  </si>
  <si>
    <t>Celkem VORN</t>
  </si>
  <si>
    <t>Doba výstavby:</t>
  </si>
  <si>
    <t>Zpracováno dne:</t>
  </si>
  <si>
    <t xml:space="preserve"> </t>
  </si>
  <si>
    <t>Náklady (Kč)</t>
  </si>
  <si>
    <t>Hmotnost (t)</t>
  </si>
  <si>
    <t>Objekt</t>
  </si>
  <si>
    <t>Zkrácený popis</t>
  </si>
  <si>
    <t>Celkem</t>
  </si>
  <si>
    <t>01</t>
  </si>
  <si>
    <t>Stavební část</t>
  </si>
  <si>
    <t>F</t>
  </si>
  <si>
    <t>02</t>
  </si>
  <si>
    <t>ZTI, plyn</t>
  </si>
  <si>
    <t>03</t>
  </si>
  <si>
    <t>UT</t>
  </si>
  <si>
    <t>04</t>
  </si>
  <si>
    <t>VZT</t>
  </si>
  <si>
    <t>05</t>
  </si>
  <si>
    <t>Elektro silnoproud</t>
  </si>
  <si>
    <t>06</t>
  </si>
  <si>
    <t>Elektro slaboproud</t>
  </si>
  <si>
    <t>VORN</t>
  </si>
  <si>
    <t>Celkem:</t>
  </si>
  <si>
    <t>Slepý stavební rozpočet</t>
  </si>
  <si>
    <t>III ZŠ Šumperk stavební úpravy suterénu a 1NP</t>
  </si>
  <si>
    <t>Město šumperk</t>
  </si>
  <si>
    <t>Stavební úpravy se změnou v užívání</t>
  </si>
  <si>
    <t>Ing.Ladislav Trčka - PROINK</t>
  </si>
  <si>
    <t>Šumperk</t>
  </si>
  <si>
    <t>Č</t>
  </si>
  <si>
    <t>Kód</t>
  </si>
  <si>
    <t>MJ</t>
  </si>
  <si>
    <t>Množství</t>
  </si>
  <si>
    <t>Cena/MJ</t>
  </si>
  <si>
    <t>Cenová</t>
  </si>
  <si>
    <t>ISWORK</t>
  </si>
  <si>
    <t>GROUPCODE</t>
  </si>
  <si>
    <t>VATTAX</t>
  </si>
  <si>
    <t>Rozměry</t>
  </si>
  <si>
    <t>(Kč)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</si>
  <si>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</si>
  <si>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</si>
  <si>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</si>
  <si>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</si>
  <si>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</si>
  <si>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</si>
  <si>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</si>
  <si>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</si>
  <si>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</si>
  <si>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</si>
  <si>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</si>
  <si>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</si>
  <si>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</si>
  <si>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</si>
  <si>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12</t>
  </si>
  <si>
    <t>Odkopávky a prokopávky</t>
  </si>
  <si>
    <t>1</t>
  </si>
  <si>
    <t>122201102R00</t>
  </si>
  <si>
    <t>Odkopávky nezapažené v hor. 3 do 1000 m3</t>
  </si>
  <si>
    <t>m3</t>
  </si>
  <si>
    <t>RTS II / 2023</t>
  </si>
  <si>
    <t>12_</t>
  </si>
  <si>
    <t>01_1_</t>
  </si>
  <si>
    <t>01_</t>
  </si>
  <si>
    <t>s naložením na dopravní prostředek</t>
  </si>
  <si>
    <t>2,55*1,25*0,35</t>
  </si>
  <si>
    <t>vstup kolárna</t>
  </si>
  <si>
    <t>2</t>
  </si>
  <si>
    <t>122201109R00</t>
  </si>
  <si>
    <t>Příplatek za lepivost - odkopávky v hor. 3</t>
  </si>
  <si>
    <t>1,12*0,5</t>
  </si>
  <si>
    <t>13</t>
  </si>
  <si>
    <t>Hloubené vykopávky</t>
  </si>
  <si>
    <t>3</t>
  </si>
  <si>
    <t>139711101R00</t>
  </si>
  <si>
    <t>Vykopávka v uzavřených prostorách v hor.1-4</t>
  </si>
  <si>
    <t>13_</t>
  </si>
  <si>
    <t>napojení kanal.WC imobilní</t>
  </si>
  <si>
    <t>7,0*0,6*0,6</t>
  </si>
  <si>
    <t>16</t>
  </si>
  <si>
    <t>Přemístění výkopku</t>
  </si>
  <si>
    <t>4</t>
  </si>
  <si>
    <t>162201203R00</t>
  </si>
  <si>
    <t>Vodorovné přemíst.výkopku, kolečko hor.1-4, do 10m</t>
  </si>
  <si>
    <t>16_</t>
  </si>
  <si>
    <t>2,52</t>
  </si>
  <si>
    <t>5</t>
  </si>
  <si>
    <t>162201210R00</t>
  </si>
  <si>
    <t>Příplatek za dalš.10 m, kolečko, výkop. z hor.1- 4-2x celkem 20m</t>
  </si>
  <si>
    <t>2,52*2</t>
  </si>
  <si>
    <t>6</t>
  </si>
  <si>
    <t>167101201R00</t>
  </si>
  <si>
    <t>Nakládání výkopku z hor. 1 ÷ 4 - ručně</t>
  </si>
  <si>
    <t>7</t>
  </si>
  <si>
    <t>162601102R00</t>
  </si>
  <si>
    <t>Vodorovné přemístění výkopku z hor.1-4 do 5000 m</t>
  </si>
  <si>
    <t>místo uložení dle investora</t>
  </si>
  <si>
    <t>1,12-0,07</t>
  </si>
  <si>
    <t>8</t>
  </si>
  <si>
    <t>167101103R00</t>
  </si>
  <si>
    <t>Přeložení nebo složení výkopku z hor.1 ÷ 4</t>
  </si>
  <si>
    <t>3,57</t>
  </si>
  <si>
    <t>17</t>
  </si>
  <si>
    <t>Konstrukce ze zemin</t>
  </si>
  <si>
    <t>9</t>
  </si>
  <si>
    <t>174101102R00</t>
  </si>
  <si>
    <t>Zásyp ruční se zhutněním</t>
  </si>
  <si>
    <t>17_</t>
  </si>
  <si>
    <t>1,5*1,6+0,35*2,2</t>
  </si>
  <si>
    <t>násyp vyrovn.schody m.č.0.05</t>
  </si>
  <si>
    <t>10</t>
  </si>
  <si>
    <t>58330002.A</t>
  </si>
  <si>
    <t>Štěrkopísek k zásypu</t>
  </si>
  <si>
    <t>t</t>
  </si>
  <si>
    <t>3,20/1,8</t>
  </si>
  <si>
    <t>11</t>
  </si>
  <si>
    <t>175101201R00</t>
  </si>
  <si>
    <t>Obsyp objektu bez prohození sypaniny</t>
  </si>
  <si>
    <t>(1,1*2)*0,15*0,2</t>
  </si>
  <si>
    <t>31</t>
  </si>
  <si>
    <t>Zdi podpěrné a volné</t>
  </si>
  <si>
    <t>317120012RAE</t>
  </si>
  <si>
    <t>Osazení překladů prefa, otvor šířky do 180 cm</t>
  </si>
  <si>
    <t>kus</t>
  </si>
  <si>
    <t>31_</t>
  </si>
  <si>
    <t>01_3_</t>
  </si>
  <si>
    <t>včetně dodávky RZP 149 x 14 x 24</t>
  </si>
  <si>
    <t>5*4</t>
  </si>
  <si>
    <t>P.4</t>
  </si>
  <si>
    <t>317120014.001</t>
  </si>
  <si>
    <t>Osazení překladů prefa, otvor šířky do 375 cm</t>
  </si>
  <si>
    <t>R položka</t>
  </si>
  <si>
    <t>včetně dodávky RZP 239 x 14 x 24</t>
  </si>
  <si>
    <t>5*1</t>
  </si>
  <si>
    <t>P.5</t>
  </si>
  <si>
    <t>14</t>
  </si>
  <si>
    <t>317998111R00</t>
  </si>
  <si>
    <t>Izolace mezi překlady z polystyrenu tl. 60 mm</t>
  </si>
  <si>
    <t>m</t>
  </si>
  <si>
    <t>1,5*4+2,4*1</t>
  </si>
  <si>
    <t>P4, P5</t>
  </si>
  <si>
    <t>15</t>
  </si>
  <si>
    <t>317944311RT3</t>
  </si>
  <si>
    <t>Válcované nosníky do č.12 do připravených otvorů</t>
  </si>
  <si>
    <t>včetně dodávky profilu I č.12 - 11,1 kg/m</t>
  </si>
  <si>
    <t>2*0,9*1*0,0111</t>
  </si>
  <si>
    <t>P1</t>
  </si>
  <si>
    <t>2*0,9*3*0,0111</t>
  </si>
  <si>
    <t>P8</t>
  </si>
  <si>
    <t>1*1,25*1*0,0111</t>
  </si>
  <si>
    <t>P9</t>
  </si>
  <si>
    <t>317944313RT3</t>
  </si>
  <si>
    <t>Válcované nosníky č.14-22 do připravených otvorů</t>
  </si>
  <si>
    <t>včetně dodávky profilu  I č.16 - 17,9 kg/m</t>
  </si>
  <si>
    <t>6*2,70*1*0,0179</t>
  </si>
  <si>
    <t>P6</t>
  </si>
  <si>
    <t>6*3,15*1*0,0179</t>
  </si>
  <si>
    <t>P7</t>
  </si>
  <si>
    <t>310239211R00</t>
  </si>
  <si>
    <t>Zazdívka otvorů plochy do 4 m2 cihlami na MVC</t>
  </si>
  <si>
    <t>2,05*1,14*0,8</t>
  </si>
  <si>
    <t>zazdění dveří m.č.1.05</t>
  </si>
  <si>
    <t>2,075*1,1*0,5</t>
  </si>
  <si>
    <t>zazdění dveří m.č.1.02</t>
  </si>
  <si>
    <t>2,05*1,11*0,5</t>
  </si>
  <si>
    <t>18</t>
  </si>
  <si>
    <t>311231114R00</t>
  </si>
  <si>
    <t>Zdivo nosné cihelné z cihel pálených 290 mm P15 na maltu vápenocementovou 2,5 MPa</t>
  </si>
  <si>
    <t>3,0*2,05*0,8</t>
  </si>
  <si>
    <t>zazdívka okna m.č.1.04</t>
  </si>
  <si>
    <t>19</t>
  </si>
  <si>
    <t>317234410R00</t>
  </si>
  <si>
    <t>Vyzdívka mezi nosníky cihlami pálenými na MC</t>
  </si>
  <si>
    <t>2,7*0,82*0,16</t>
  </si>
  <si>
    <t>P.6</t>
  </si>
  <si>
    <t>3,15*0,82*0,16</t>
  </si>
  <si>
    <t>P.7</t>
  </si>
  <si>
    <t>3*0,9*0,15*0,12</t>
  </si>
  <si>
    <t>P.8</t>
  </si>
  <si>
    <t>20</t>
  </si>
  <si>
    <t>317168112R00</t>
  </si>
  <si>
    <t>Překlad POROTHERM plochý 115 x 71 x 1250 mm D+M</t>
  </si>
  <si>
    <t>P.2</t>
  </si>
  <si>
    <t>P.3</t>
  </si>
  <si>
    <t>21</t>
  </si>
  <si>
    <t>311112130RT2</t>
  </si>
  <si>
    <t>Stěna z tvárnic ztraceného bednění, tl. 300 mm</t>
  </si>
  <si>
    <t>m2</t>
  </si>
  <si>
    <t>zalití tvárnic betonem C 16/20</t>
  </si>
  <si>
    <t>2,32</t>
  </si>
  <si>
    <t>generovaná výměra</t>
  </si>
  <si>
    <t>22</t>
  </si>
  <si>
    <t>317322411.001</t>
  </si>
  <si>
    <t>Beton ukončení zídky C 25/30</t>
  </si>
  <si>
    <t>ukončení zídky vstup šatny</t>
  </si>
  <si>
    <t>0,5</t>
  </si>
  <si>
    <t>23</t>
  </si>
  <si>
    <t>317353111R00</t>
  </si>
  <si>
    <t>Bednění říms zdí a valů - zřízení</t>
  </si>
  <si>
    <t>24,4*0,15</t>
  </si>
  <si>
    <t>24</t>
  </si>
  <si>
    <t>317353112R00</t>
  </si>
  <si>
    <t>Bednění říms zdí a valů - odbednění</t>
  </si>
  <si>
    <t>3,66</t>
  </si>
  <si>
    <t>25</t>
  </si>
  <si>
    <t>319201311R00</t>
  </si>
  <si>
    <t>Vyrovnání povrchu zdiva maltou tl.do 3 cm¨-cement.zátěžová omítka</t>
  </si>
  <si>
    <t>vyrovnání stáv. zdiva pod hydroizol stěrku pro navázání izolací po mechanickém podřezání a gelové injektáži</t>
  </si>
  <si>
    <t>117,5*0,3</t>
  </si>
  <si>
    <t>26</t>
  </si>
  <si>
    <t>319211332R00</t>
  </si>
  <si>
    <t>Fabion z malty v koutu podlahy poloměr 50 mm</t>
  </si>
  <si>
    <t>117,5</t>
  </si>
  <si>
    <t>34</t>
  </si>
  <si>
    <t>Stěny a příčky</t>
  </si>
  <si>
    <t>27</t>
  </si>
  <si>
    <t>342263.001</t>
  </si>
  <si>
    <t>Revizních dvířka 200/250mm magnetická pod obklad D+M</t>
  </si>
  <si>
    <t>34_</t>
  </si>
  <si>
    <t>čistící kus dešťová kanalizace</t>
  </si>
  <si>
    <t>28</t>
  </si>
  <si>
    <t>346244381R00</t>
  </si>
  <si>
    <t>Plentování ocelových nosníků výšky do 20 cm</t>
  </si>
  <si>
    <t>2,70*0,16*2</t>
  </si>
  <si>
    <t>3,15*0,16*2</t>
  </si>
  <si>
    <t>0,9*0,12*3</t>
  </si>
  <si>
    <t>1,25*0,12*2</t>
  </si>
  <si>
    <t>P.9</t>
  </si>
  <si>
    <t>29</t>
  </si>
  <si>
    <t>342241162R00</t>
  </si>
  <si>
    <t>Příčky z cihel plných pálených 290 mm, tl. 140 mm</t>
  </si>
  <si>
    <t>(0,15+0,3)*3,4</t>
  </si>
  <si>
    <t>obezdívka kanalizace</t>
  </si>
  <si>
    <t>15,9</t>
  </si>
  <si>
    <t>přizdívka schodišť.stěny</t>
  </si>
  <si>
    <t>30</t>
  </si>
  <si>
    <t>342248140R00</t>
  </si>
  <si>
    <t>Příčky POROTHERM 8 Profi, tl. 80 mm</t>
  </si>
  <si>
    <t>4,61</t>
  </si>
  <si>
    <t>1PP generovaná výměra</t>
  </si>
  <si>
    <t>9,64</t>
  </si>
  <si>
    <t>1NP generovaná výměra</t>
  </si>
  <si>
    <t>342248171R00</t>
  </si>
  <si>
    <t>Příčky POROTHERM 11,5 AKU Profi, tl. 115 mm</t>
  </si>
  <si>
    <t>4,70</t>
  </si>
  <si>
    <t>51,68</t>
  </si>
  <si>
    <t>32</t>
  </si>
  <si>
    <t>342090121R00</t>
  </si>
  <si>
    <t>Úprava SDK příčky pro zřízení dveří 1kř, profily CW 75, 1x opláštěné</t>
  </si>
  <si>
    <t>70/197cm</t>
  </si>
  <si>
    <t>80/197cm</t>
  </si>
  <si>
    <t>90/197cm</t>
  </si>
  <si>
    <t>33</t>
  </si>
  <si>
    <t>342261112RT4</t>
  </si>
  <si>
    <t>Příčka sádrokarton. ocel.kce, 1x oplášť. tl.100 mm</t>
  </si>
  <si>
    <t>desky DFRIH tl.12,5mm, minerál tl. 5 cm</t>
  </si>
  <si>
    <t>28,40</t>
  </si>
  <si>
    <t>342262113RT4</t>
  </si>
  <si>
    <t>Příčka sádrokart. dvoj. oc. kce, 2x opl. tl.260 mm</t>
  </si>
  <si>
    <t>6,48</t>
  </si>
  <si>
    <t>35</t>
  </si>
  <si>
    <t>342262112RT4</t>
  </si>
  <si>
    <t>Příčka sádrokart. dvoj. oc. kce, 2x opl. tl.200 mm</t>
  </si>
  <si>
    <t>desky DFRIH. tl. 12,5 mm, minerál tl. 5 cm</t>
  </si>
  <si>
    <t>5,81</t>
  </si>
  <si>
    <t>1NP generovaná výměry</t>
  </si>
  <si>
    <t>36</t>
  </si>
  <si>
    <t>347015119R00</t>
  </si>
  <si>
    <t>Předstěna SDK, tl.65mm,ocel.kce CW,1x DFRIH 12,5mm</t>
  </si>
  <si>
    <t>2,21</t>
  </si>
  <si>
    <t>37</t>
  </si>
  <si>
    <t>347013109.001</t>
  </si>
  <si>
    <t>Předstěna SDK,tl.100mm,1xocel.kce CD +přímý závěs,2xDFRIH 12,5mm</t>
  </si>
  <si>
    <t>19,0</t>
  </si>
  <si>
    <t>m.č.1.05 (generovaná výměra)</t>
  </si>
  <si>
    <t>38</t>
  </si>
  <si>
    <t>766050.001</t>
  </si>
  <si>
    <t>Dod.+mont lehké sanitární příčky, výška 2,05m (0,15+1,90m),  nerez rám a kování výplň laminovaná dřevotříska tl.25mm</t>
  </si>
  <si>
    <t>soub.</t>
  </si>
  <si>
    <t>T2a, podrobná specifikace viz výkresová část</t>
  </si>
  <si>
    <t>39</t>
  </si>
  <si>
    <t>766050.002</t>
  </si>
  <si>
    <t>Dod.+mont lehké sanitární příčky, výška 2,05m (0,15+1,90m) , nerez ráma kování výplň laminovaná dřevotříska tl.25mm</t>
  </si>
  <si>
    <t>T2b, podrobná specifikace viz výkresová část</t>
  </si>
  <si>
    <t>41</t>
  </si>
  <si>
    <t>Stropy a stropní konstrukce (pro pozemní stavby)</t>
  </si>
  <si>
    <t>40</t>
  </si>
  <si>
    <t>411321515R00</t>
  </si>
  <si>
    <t>Stropy deskové ze železobetonu C 30/37</t>
  </si>
  <si>
    <t>41_</t>
  </si>
  <si>
    <t>01_4_</t>
  </si>
  <si>
    <t>0,113*2,25</t>
  </si>
  <si>
    <t>zastřeš.vstupu kolárna</t>
  </si>
  <si>
    <t>411351201R00</t>
  </si>
  <si>
    <t>Bednění stropů deskových, podepření výšky do 3,5 m, zatížení do 5 kPa</t>
  </si>
  <si>
    <t>0,9*2,25</t>
  </si>
  <si>
    <t>42</t>
  </si>
  <si>
    <t>411351202R00</t>
  </si>
  <si>
    <t>Odstranění bednění stropů deskových, podepření výšky do 3,5 m, zatížení do 5 kPa</t>
  </si>
  <si>
    <t>43</t>
  </si>
  <si>
    <t>411351801R00</t>
  </si>
  <si>
    <t>Bednění čel stropních desek, zřízení</t>
  </si>
  <si>
    <t>(0,9*2+2,25)*0,15</t>
  </si>
  <si>
    <t>44</t>
  </si>
  <si>
    <t>411351802R00</t>
  </si>
  <si>
    <t>Bednění čel stropních desek, odstranění</t>
  </si>
  <si>
    <t>45</t>
  </si>
  <si>
    <t>411361921RT5</t>
  </si>
  <si>
    <t>Výztuž stropů svařovanou sítí</t>
  </si>
  <si>
    <t>průměr drátu  6,0, oka 150/150 mm KH20 - 3,301 kg/m2</t>
  </si>
  <si>
    <t>0,9*2,25*0,003301</t>
  </si>
  <si>
    <t>46</t>
  </si>
  <si>
    <t>413100.001</t>
  </si>
  <si>
    <t>Osazení ocel.nosníků UPN 50 do připravených kapes</t>
  </si>
  <si>
    <t>podbetonování betonem C 30/37+ vyplnění betonem C30/37</t>
  </si>
  <si>
    <t>zastřešení vstupu kolárna</t>
  </si>
  <si>
    <t>47</t>
  </si>
  <si>
    <t>416026124R00</t>
  </si>
  <si>
    <t>Podhled SDK,ocel.dvouúrov.kříž.rošt, 1x deska DFRIH 12,5mm</t>
  </si>
  <si>
    <t>161,9</t>
  </si>
  <si>
    <t>1PP m.č.0.05, 0.06, 0.07, 0.09</t>
  </si>
  <si>
    <t>47,9</t>
  </si>
  <si>
    <t>1.NP m.č.1.05 (část), 1.06, 1.03 (generovaná výměra)</t>
  </si>
  <si>
    <t>16,95</t>
  </si>
  <si>
    <t>1.NP m.č.1.01 +schodiště</t>
  </si>
  <si>
    <t>48</t>
  </si>
  <si>
    <t>416093139R00</t>
  </si>
  <si>
    <t>Čelo podhledu SDK, v.do 800 mm,1xCD,1xDRFIH 12,5 mm</t>
  </si>
  <si>
    <t>okna šatny</t>
  </si>
  <si>
    <t>11*0,7*1,62</t>
  </si>
  <si>
    <t>49</t>
  </si>
  <si>
    <t>416099.001</t>
  </si>
  <si>
    <t>Obklad ŽB průvlaku sádrokartonem na ocelovou konstrukci</t>
  </si>
  <si>
    <t>změna výšk,úrovně podhledu v m.č.0.05</t>
  </si>
  <si>
    <t>5,73*0,15</t>
  </si>
  <si>
    <t>Schodiště</t>
  </si>
  <si>
    <t>50</t>
  </si>
  <si>
    <t>430321414R00</t>
  </si>
  <si>
    <t>Beton schodišťových konstrukcí železový C 25/30</t>
  </si>
  <si>
    <t>43_</t>
  </si>
  <si>
    <t>0,37+0,44</t>
  </si>
  <si>
    <t>D1, D2</t>
  </si>
  <si>
    <t>0,22+0,22</t>
  </si>
  <si>
    <t>P1, P2</t>
  </si>
  <si>
    <t>0,86+0,83</t>
  </si>
  <si>
    <t>S1, S2 + stupně</t>
  </si>
  <si>
    <t>51</t>
  </si>
  <si>
    <t>430361821R00</t>
  </si>
  <si>
    <t>Výztuž schodišťových konstrukcí přímočarých B500B z oceli (10 505)</t>
  </si>
  <si>
    <t>100 kg/m3 betonu</t>
  </si>
  <si>
    <t>2,94*0,1</t>
  </si>
  <si>
    <t>52</t>
  </si>
  <si>
    <t>431351121R00</t>
  </si>
  <si>
    <t>Bednění podest a podstup.desek přímočar.- zřízení</t>
  </si>
  <si>
    <t>vč, podpěrné kce</t>
  </si>
  <si>
    <t>1,51*2,62+1,35*2,62</t>
  </si>
  <si>
    <t>podesty</t>
  </si>
  <si>
    <t>3,82*1,15*2</t>
  </si>
  <si>
    <t>schodišťové desky</t>
  </si>
  <si>
    <t>3,82*0,32*2</t>
  </si>
  <si>
    <t>čela schodišť desek se stupni</t>
  </si>
  <si>
    <t>53</t>
  </si>
  <si>
    <t>431351122R00</t>
  </si>
  <si>
    <t>Bednění podest a podstup.desek přímočar.odstranění</t>
  </si>
  <si>
    <t>18,72</t>
  </si>
  <si>
    <t>54</t>
  </si>
  <si>
    <t>434311116R00</t>
  </si>
  <si>
    <t>Stupně dusané na terén, na desku, z betonu C 25/30</t>
  </si>
  <si>
    <t>10*2</t>
  </si>
  <si>
    <t>schodiště vstup šatny</t>
  </si>
  <si>
    <t>3,0+2,76+2,53+2,29</t>
  </si>
  <si>
    <t>vyrovnávací schody m.č.0.05</t>
  </si>
  <si>
    <t>55</t>
  </si>
  <si>
    <t>434351141R00</t>
  </si>
  <si>
    <t>Bednění stupňů přímočarých - zřízení</t>
  </si>
  <si>
    <t>22*0,157*1,15</t>
  </si>
  <si>
    <t>nové schody 1PP-1NP</t>
  </si>
  <si>
    <t>10*0,17*2,0</t>
  </si>
  <si>
    <t>schody vstup šatny</t>
  </si>
  <si>
    <t>56</t>
  </si>
  <si>
    <t>434351142R00</t>
  </si>
  <si>
    <t>Bednění stupňů přímočarých - odstranění</t>
  </si>
  <si>
    <t>3,97+3,4</t>
  </si>
  <si>
    <t>57</t>
  </si>
  <si>
    <t>434351145R00</t>
  </si>
  <si>
    <t>Bednění stupňů křivočarých - zřízení</t>
  </si>
  <si>
    <t>(3,0+2,76+2,53+2,29)*0,17</t>
  </si>
  <si>
    <t>vyrovnávací schodiště m.č.0.05</t>
  </si>
  <si>
    <t>58</t>
  </si>
  <si>
    <t>434351146R00</t>
  </si>
  <si>
    <t>Bednění stupňů křivočarých - odstranění</t>
  </si>
  <si>
    <t>1,8</t>
  </si>
  <si>
    <t>59</t>
  </si>
  <si>
    <t>434900.001</t>
  </si>
  <si>
    <t>Výrobní dokumentace - výkres výztuže schodišťových desek S1, S2 a podest P1+D1, P2+D2</t>
  </si>
  <si>
    <t>soub</t>
  </si>
  <si>
    <t>Podkladní vrstvy komunikací, letišť a ploch</t>
  </si>
  <si>
    <t>60</t>
  </si>
  <si>
    <t>564871111RT2</t>
  </si>
  <si>
    <t>Podklad ze štěrkodrti po zhutnění tloušťky 25 cm</t>
  </si>
  <si>
    <t>56_</t>
  </si>
  <si>
    <t>01_5_</t>
  </si>
  <si>
    <t>štěrkodrť frakce 0-32 mm</t>
  </si>
  <si>
    <t>1,55*1,25</t>
  </si>
  <si>
    <t>Dlažby a předlažby pozemních komunikací a zpevněných ploch</t>
  </si>
  <si>
    <t>61</t>
  </si>
  <si>
    <t>596245021R00</t>
  </si>
  <si>
    <t>Kladení zámkové dlažby tl. 6 cm do MC tl. 4 cm</t>
  </si>
  <si>
    <t>59_</t>
  </si>
  <si>
    <t>0,2*1,25</t>
  </si>
  <si>
    <t>62</t>
  </si>
  <si>
    <t>596215021R00</t>
  </si>
  <si>
    <t>Kladení zámkové dlažby tl. 6 cm do drtě tl. 4 cm</t>
  </si>
  <si>
    <t>vč. vyplnění spar pískem o dodávky drtě</t>
  </si>
  <si>
    <t>(1,0*1,25)-(0,5*1,0)</t>
  </si>
  <si>
    <t>63</t>
  </si>
  <si>
    <t>59245110</t>
  </si>
  <si>
    <t>Dlažba zámková betonová  20x10x6 cm přírodní</t>
  </si>
  <si>
    <t>0,25+0,75</t>
  </si>
  <si>
    <t>;ztratné 5%; 0,05</t>
  </si>
  <si>
    <t>64</t>
  </si>
  <si>
    <t>596291111R00</t>
  </si>
  <si>
    <t>Řezání zámkové dlažby tl. 60 mm</t>
  </si>
  <si>
    <t>65</t>
  </si>
  <si>
    <t>597101020RA0</t>
  </si>
  <si>
    <t>Žlab odvodňovací polymerbeton, š.100mm zatížení B125 kN D+M</t>
  </si>
  <si>
    <t>včetně roštu a obetonování C 20/25</t>
  </si>
  <si>
    <t>66</t>
  </si>
  <si>
    <t>597103013RA0</t>
  </si>
  <si>
    <t>Vpusť k žlabu polymerbetonová  š.100mm zatížení B125, litinový rošt D+M</t>
  </si>
  <si>
    <t>Omítky ze suchých směsí</t>
  </si>
  <si>
    <t>67</t>
  </si>
  <si>
    <t>602011105R00</t>
  </si>
  <si>
    <t>Postřik na stěnách sanační, ručně</t>
  </si>
  <si>
    <t>60_</t>
  </si>
  <si>
    <t>01_6_</t>
  </si>
  <si>
    <t>71,70</t>
  </si>
  <si>
    <t>m.č.0.05 (generovaná výměra)</t>
  </si>
  <si>
    <t>81,10</t>
  </si>
  <si>
    <t>m.č.0.06 (generovaná výměra)</t>
  </si>
  <si>
    <t>108,10</t>
  </si>
  <si>
    <t>m.č.0.07 (generovaná výměra)</t>
  </si>
  <si>
    <t>59,50</t>
  </si>
  <si>
    <t>m.č.0.08 (generovaná výměra)</t>
  </si>
  <si>
    <t>122.10</t>
  </si>
  <si>
    <t>m.č.0.09 (generovaná výměra)</t>
  </si>
  <si>
    <t>2,15*3,15*2</t>
  </si>
  <si>
    <t>m.č.0.10</t>
  </si>
  <si>
    <t>-42,35</t>
  </si>
  <si>
    <t>odpočet šikm.parapetů a ostění oken</t>
  </si>
  <si>
    <t>68</t>
  </si>
  <si>
    <t>602022122R00</t>
  </si>
  <si>
    <t>Omítka stěn vyrovnávací sanační dle WTA</t>
  </si>
  <si>
    <t>vysoké zasolení, tloušťka vrstvy 20 mm</t>
  </si>
  <si>
    <t>413,69</t>
  </si>
  <si>
    <t>69</t>
  </si>
  <si>
    <t>602016121RT9</t>
  </si>
  <si>
    <t>Omítka sanační dle WTA</t>
  </si>
  <si>
    <t>70</t>
  </si>
  <si>
    <t>602434193.001</t>
  </si>
  <si>
    <t>Omítka WTA sanační, tepelně-izolační, průměrná tl. 3,5 cm,3 vrst. (vrstvy: kotvící postřik,vyrovnávací, jádrová vrstva)</t>
  </si>
  <si>
    <t xml:space="preserve">šikmé parapety a špalety oken
</t>
  </si>
  <si>
    <t>1,0*1,85+1,0*2</t>
  </si>
  <si>
    <t>m.č.0.05</t>
  </si>
  <si>
    <t>2*1,0*1,85+1,0*4</t>
  </si>
  <si>
    <t>m.č.0.06</t>
  </si>
  <si>
    <t>3*1,0*1,85+1,0*6</t>
  </si>
  <si>
    <t>m.č.0.07</t>
  </si>
  <si>
    <t>5*1,0*1,85+1,0*10</t>
  </si>
  <si>
    <t>m.č.0.09</t>
  </si>
  <si>
    <t>71</t>
  </si>
  <si>
    <t>602013153R00</t>
  </si>
  <si>
    <t>Štuk vhodný na sanační omítky splňujcí požadavky WTA</t>
  </si>
  <si>
    <t>omítky stěn</t>
  </si>
  <si>
    <t>42,35</t>
  </si>
  <si>
    <t>šikmé.parapety a ostění oken</t>
  </si>
  <si>
    <t>Úprava povrchů vnitřní</t>
  </si>
  <si>
    <t>72</t>
  </si>
  <si>
    <t>615481111R00</t>
  </si>
  <si>
    <t>Potažení válc.nosníků rabic.pletivem a postřik MC</t>
  </si>
  <si>
    <t>61_</t>
  </si>
  <si>
    <t>(0,3+0,82+0,3)*2,18</t>
  </si>
  <si>
    <t>(0,3+0,82+0,3)*2,63</t>
  </si>
  <si>
    <t>((0,25+0,15)*0,6)*3</t>
  </si>
  <si>
    <t>(0,25+0,1+0,25)*1,0</t>
  </si>
  <si>
    <t>73</t>
  </si>
  <si>
    <t>610991111R00</t>
  </si>
  <si>
    <t>Zakrývání výplní vnitřních otvorů-okna</t>
  </si>
  <si>
    <t>5,0</t>
  </si>
  <si>
    <t>okna 1PP</t>
  </si>
  <si>
    <t>70,50</t>
  </si>
  <si>
    <t>okna 1NP</t>
  </si>
  <si>
    <t>74</t>
  </si>
  <si>
    <t>610411129R00</t>
  </si>
  <si>
    <t>Nástřik pro neutralizaci solí ve zdivu 2x</t>
  </si>
  <si>
    <t>2*413,69</t>
  </si>
  <si>
    <t>75</t>
  </si>
  <si>
    <t>611421231R00</t>
  </si>
  <si>
    <t>Oprava váp.omítek stropů do 10% plochy - štukových</t>
  </si>
  <si>
    <t>25,9</t>
  </si>
  <si>
    <t>chodba 2 učebny</t>
  </si>
  <si>
    <t>35,70</t>
  </si>
  <si>
    <t>chodba 1 učebny</t>
  </si>
  <si>
    <t>4,80</t>
  </si>
  <si>
    <t>m.č.1.06</t>
  </si>
  <si>
    <t>76</t>
  </si>
  <si>
    <t>611425133R00</t>
  </si>
  <si>
    <t>Omítka vnitřní schodišťových konstr., MVC, štuková</t>
  </si>
  <si>
    <t>1,4*2,62</t>
  </si>
  <si>
    <t>mezipodesta</t>
  </si>
  <si>
    <t>1,53*2,62</t>
  </si>
  <si>
    <t>podesta</t>
  </si>
  <si>
    <t>3,8*1,15</t>
  </si>
  <si>
    <t>schodišť.deska</t>
  </si>
  <si>
    <t>77</t>
  </si>
  <si>
    <t>612421231R00</t>
  </si>
  <si>
    <t>Oprava vápen.omítek stěn do 10 % pl. - štukových</t>
  </si>
  <si>
    <t>75,54</t>
  </si>
  <si>
    <t>33,75</t>
  </si>
  <si>
    <t>108,43</t>
  </si>
  <si>
    <t>chodba školník,</t>
  </si>
  <si>
    <t>56,7</t>
  </si>
  <si>
    <t>pokoj 1 školník</t>
  </si>
  <si>
    <t>49,2</t>
  </si>
  <si>
    <t>pokoj 2 školník</t>
  </si>
  <si>
    <t>41,44-6,32</t>
  </si>
  <si>
    <t>kuchyň školník</t>
  </si>
  <si>
    <t>78</t>
  </si>
  <si>
    <t>612421331R00</t>
  </si>
  <si>
    <t>Oprava vápen.omítek stěn do 30 % pl. - štukových</t>
  </si>
  <si>
    <t>12,1+11,1+19,8</t>
  </si>
  <si>
    <t>nové schodiště</t>
  </si>
  <si>
    <t>1,88*2,85+1,53*2,85</t>
  </si>
  <si>
    <t>m.č.1.01</t>
  </si>
  <si>
    <t>-57,71</t>
  </si>
  <si>
    <t>odpočet obkladů na stávajících stěnách</t>
  </si>
  <si>
    <t>87,8</t>
  </si>
  <si>
    <t>m.č.1.02</t>
  </si>
  <si>
    <t>122,4</t>
  </si>
  <si>
    <t>61,2</t>
  </si>
  <si>
    <t>m.č.1.04</t>
  </si>
  <si>
    <t>68,81</t>
  </si>
  <si>
    <t>m.č.1.05</t>
  </si>
  <si>
    <t>70,92-2,18*2,9</t>
  </si>
  <si>
    <t>prostor nových sociálek</t>
  </si>
  <si>
    <t>20,0</t>
  </si>
  <si>
    <t>školník spíž</t>
  </si>
  <si>
    <t>7,0</t>
  </si>
  <si>
    <t>školník koupelna</t>
  </si>
  <si>
    <t>79</t>
  </si>
  <si>
    <t>611421133R00</t>
  </si>
  <si>
    <t>Omítka vnitřní stropů rovných, MVC, štuková</t>
  </si>
  <si>
    <t>4,31</t>
  </si>
  <si>
    <t>80</t>
  </si>
  <si>
    <t>612421626R00</t>
  </si>
  <si>
    <t>Omítka vnitřní zdiva, MVC, hladká</t>
  </si>
  <si>
    <t>1,51+57,71</t>
  </si>
  <si>
    <t>obklady na stávajících stěnách</t>
  </si>
  <si>
    <t>32,14</t>
  </si>
  <si>
    <t>obklady nové zdivo</t>
  </si>
  <si>
    <t>25,2</t>
  </si>
  <si>
    <t>kamenin.obklad vstup šatny</t>
  </si>
  <si>
    <t>81</t>
  </si>
  <si>
    <t>612421637R00</t>
  </si>
  <si>
    <t>Omítka vnitřní zdiva, MVC, štuková</t>
  </si>
  <si>
    <t>nové zdivo, omítka vstup šatny nad obkladem</t>
  </si>
  <si>
    <t>(1,34*0,65)/2+2,15*0,65</t>
  </si>
  <si>
    <t>m.č.0.05 vyrovnávací schodiště</t>
  </si>
  <si>
    <t>(6,1+0,79+1,05)*1,68</t>
  </si>
  <si>
    <t>vstup šatny nad kamenin.obkladem</t>
  </si>
  <si>
    <t>13,16</t>
  </si>
  <si>
    <t>140-32,14</t>
  </si>
  <si>
    <t>82</t>
  </si>
  <si>
    <t>612422391R00</t>
  </si>
  <si>
    <t>Příplatek za další 1cm tl.MVC omítky stěn pl.-30%</t>
  </si>
  <si>
    <t>stávající zdivo-průměrná tl omítky 3 cm</t>
  </si>
  <si>
    <t>466,50</t>
  </si>
  <si>
    <t>oprava štuk.omítek</t>
  </si>
  <si>
    <t>83</t>
  </si>
  <si>
    <t>612422491.001</t>
  </si>
  <si>
    <t>Příplatek za další 1cm tl.MVC omítky stěn</t>
  </si>
  <si>
    <t>59,22+25,2</t>
  </si>
  <si>
    <t>omítky pod obklady</t>
  </si>
  <si>
    <t>84</t>
  </si>
  <si>
    <t>612401391.001</t>
  </si>
  <si>
    <t>Omítka malých ploch vnitřních stěn do 2 m2</t>
  </si>
  <si>
    <t>vápennou štukovou omítkou</t>
  </si>
  <si>
    <t>85</t>
  </si>
  <si>
    <t>612471411R00</t>
  </si>
  <si>
    <t>Úprava vnitřních stěn aktivovaným štukem</t>
  </si>
  <si>
    <t>opravy po osekaných obkladech</t>
  </si>
  <si>
    <t>6,32</t>
  </si>
  <si>
    <t>0,45*1,5</t>
  </si>
  <si>
    <t>Úprava povrchů vnější</t>
  </si>
  <si>
    <t>86</t>
  </si>
  <si>
    <t>622461151R00</t>
  </si>
  <si>
    <t>Omítka vnější stěn břízolit, škrábaná, slož. 1 - 2</t>
  </si>
  <si>
    <t>62_</t>
  </si>
  <si>
    <t>3,0*2,02</t>
  </si>
  <si>
    <t>87</t>
  </si>
  <si>
    <t>622401939.001</t>
  </si>
  <si>
    <t>Příplatek za zvýšenou pracnost napojení stávající a nové omítky</t>
  </si>
  <si>
    <t>2*3+2*2,05</t>
  </si>
  <si>
    <t>Podlahy a podlahové konstrukce</t>
  </si>
  <si>
    <t>88</t>
  </si>
  <si>
    <t>632419102.001</t>
  </si>
  <si>
    <t>Dod.+mont samonivaleční stěrky tl. 1-3 mm</t>
  </si>
  <si>
    <t>63_</t>
  </si>
  <si>
    <t>včetně přebroušení</t>
  </si>
  <si>
    <t>166,93</t>
  </si>
  <si>
    <t>m.č.1.02, 1.03, 1.04, 1.05 (generovaná výměra)</t>
  </si>
  <si>
    <t>6,1*1,5</t>
  </si>
  <si>
    <t>oprava stávající družina</t>
  </si>
  <si>
    <t>89,90-15,9</t>
  </si>
  <si>
    <t>byt školníka</t>
  </si>
  <si>
    <t>89</t>
  </si>
  <si>
    <t>632419106.001</t>
  </si>
  <si>
    <t>Dod.+mont samonivaleční stěrky tl. 5 mm</t>
  </si>
  <si>
    <t>6,5</t>
  </si>
  <si>
    <t>m.č.1.01 (generovaná výměra)</t>
  </si>
  <si>
    <t>90</t>
  </si>
  <si>
    <t>632419115.001</t>
  </si>
  <si>
    <t>Dod.+mont samonivaleční stěrky tl. 10-15 mm</t>
  </si>
  <si>
    <t xml:space="preserve">včetně přebroušení
</t>
  </si>
  <si>
    <t>kuchyň byt školníka (generovaná výměra)</t>
  </si>
  <si>
    <t>91</t>
  </si>
  <si>
    <t>Dod.+mont.samonivelační stěrka , ruční zpracování tl. 1-3 mm</t>
  </si>
  <si>
    <t>9,15</t>
  </si>
  <si>
    <t>stávající družina (oprava)</t>
  </si>
  <si>
    <t>92</t>
  </si>
  <si>
    <t>631312711R00</t>
  </si>
  <si>
    <t>Mazanina betonová tl. 5 - 8 cm C 25/30</t>
  </si>
  <si>
    <t>7,4*1,0*0,067</t>
  </si>
  <si>
    <t>oprava stávající družina+m.č.1.17</t>
  </si>
  <si>
    <t>93</t>
  </si>
  <si>
    <t>631313711RM1</t>
  </si>
  <si>
    <t>Mazanina betonová tl. 8 - 12 cm C 25/30</t>
  </si>
  <si>
    <t>z betonu prostého</t>
  </si>
  <si>
    <t>7,0*0,6*0,12</t>
  </si>
  <si>
    <t>94</t>
  </si>
  <si>
    <t>631361921RT1</t>
  </si>
  <si>
    <t>Výztuž mazanin svařovanou sítí-vyrovnávací beton mazanina</t>
  </si>
  <si>
    <t>KA 16, drát d 4,0 mm, oko 100 x 100 mm</t>
  </si>
  <si>
    <t>7,4*1,0*0,002*1,1</t>
  </si>
  <si>
    <t>95</t>
  </si>
  <si>
    <t>631361921RT5</t>
  </si>
  <si>
    <t>Výztuž mazanin svařovanou sítí-podkl.beton</t>
  </si>
  <si>
    <t>KH 20, drát d 6,0 mm, oko 150 x 150 mm</t>
  </si>
  <si>
    <t>7,0*0,6*0,003301*1,1</t>
  </si>
  <si>
    <t>96</t>
  </si>
  <si>
    <t>631571004R00</t>
  </si>
  <si>
    <t>Násyp ze štěrkopísku 0 - 32, tř. I</t>
  </si>
  <si>
    <t>7,0*0,6*0,3</t>
  </si>
  <si>
    <t>97</t>
  </si>
  <si>
    <t>631312621R00</t>
  </si>
  <si>
    <t>Mazanina betonová tl. 5 - 8 cm C 20/25</t>
  </si>
  <si>
    <t>0,55</t>
  </si>
  <si>
    <t>mazanina tl.57mm</t>
  </si>
  <si>
    <t>7,77</t>
  </si>
  <si>
    <t>mazanina tl.60,5mm</t>
  </si>
  <si>
    <t>12,89</t>
  </si>
  <si>
    <t>mazanina tl.65mm</t>
  </si>
  <si>
    <t>4,05</t>
  </si>
  <si>
    <t>mazanina tl.55,5mm</t>
  </si>
  <si>
    <t>0,93</t>
  </si>
  <si>
    <t>mazanina tl.60mm</t>
  </si>
  <si>
    <t>98</t>
  </si>
  <si>
    <t>631313621R00</t>
  </si>
  <si>
    <t>Mazanina betonová tl. 8 - 12 cm C 20/25</t>
  </si>
  <si>
    <t>0,463</t>
  </si>
  <si>
    <t>mazanina tl.100mm</t>
  </si>
  <si>
    <t>99</t>
  </si>
  <si>
    <t>631319151R00</t>
  </si>
  <si>
    <t>Příplatek za přehlaz. mazanin pod povlaky tl. 8 cm</t>
  </si>
  <si>
    <t>25,93</t>
  </si>
  <si>
    <t>100</t>
  </si>
  <si>
    <t>631319153R00</t>
  </si>
  <si>
    <t>Příplatek za přehlaz. mazanin pod povlaky tl. 12cm</t>
  </si>
  <si>
    <t>0,46</t>
  </si>
  <si>
    <t>101</t>
  </si>
  <si>
    <t>631313711R00</t>
  </si>
  <si>
    <t>2,0*3,4*0,1</t>
  </si>
  <si>
    <t>2,22*1,10*0,1</t>
  </si>
  <si>
    <t>102</t>
  </si>
  <si>
    <t>631319183R00</t>
  </si>
  <si>
    <t>Příplatek za sklon mazaniny 15°-35°  tl. 8 - 12 cm</t>
  </si>
  <si>
    <t>103</t>
  </si>
  <si>
    <t>Výztuž mazanin svařovanou sítí</t>
  </si>
  <si>
    <t>(4,63+9,68+178,9)*0,002*1,1</t>
  </si>
  <si>
    <t>1PP</t>
  </si>
  <si>
    <t>(19,47+128,39+72,97+15,55)*0,002*1,1</t>
  </si>
  <si>
    <t>1NP</t>
  </si>
  <si>
    <t>104</t>
  </si>
  <si>
    <t>2,0*3,4*1,1*0,003301</t>
  </si>
  <si>
    <t>2,22*1,10**1,1*0,003031</t>
  </si>
  <si>
    <t>Výplně otvorů</t>
  </si>
  <si>
    <t>105</t>
  </si>
  <si>
    <t>642942111R00</t>
  </si>
  <si>
    <t>Osazení zárubní dveřních ocelových, pl. do 2,5 m2</t>
  </si>
  <si>
    <t>64_</t>
  </si>
  <si>
    <t>106</t>
  </si>
  <si>
    <t>642944121R00</t>
  </si>
  <si>
    <t>Osazení ocelových zárubní dodatečně do 2,5 m2</t>
  </si>
  <si>
    <t>107</t>
  </si>
  <si>
    <t>642942212R00</t>
  </si>
  <si>
    <t>Osazení zárubně do sádrokarton. příčky tl. 100 mm</t>
  </si>
  <si>
    <t>1NP kolárna</t>
  </si>
  <si>
    <t>1NP byt škoníka</t>
  </si>
  <si>
    <t>108</t>
  </si>
  <si>
    <t>5533300110</t>
  </si>
  <si>
    <t>Zárubeň ocelová pro SDK 700/1970 L, P</t>
  </si>
  <si>
    <t>109</t>
  </si>
  <si>
    <t>Zárubeň ocelová pro SDK 800/1970 L, P</t>
  </si>
  <si>
    <t>110</t>
  </si>
  <si>
    <t>5533300130</t>
  </si>
  <si>
    <t>Zárubeň ocelová pro SDK 900/1970 L, P</t>
  </si>
  <si>
    <t>111</t>
  </si>
  <si>
    <t>55330380</t>
  </si>
  <si>
    <t>Zárubeň ocelová pro zazdění rozměr 700 x 1970 x 110 L, P</t>
  </si>
  <si>
    <t>112</t>
  </si>
  <si>
    <t>55330382</t>
  </si>
  <si>
    <t>Zárubeň ocelová pro zazdění rozměr 800 x 1970 x 110 L, P</t>
  </si>
  <si>
    <t>113</t>
  </si>
  <si>
    <t>55330384</t>
  </si>
  <si>
    <t>Zárubeň ocelová pro zazdění rozměr 900 x 1970 x 110 L, P</t>
  </si>
  <si>
    <t>3+5</t>
  </si>
  <si>
    <t>114</t>
  </si>
  <si>
    <t>55330421</t>
  </si>
  <si>
    <t>Zárubeň ocelová pro zazdění rozměr 700 x 1970 x 140 L, P</t>
  </si>
  <si>
    <t>115</t>
  </si>
  <si>
    <t>55330424</t>
  </si>
  <si>
    <t>Zárubeň ocelová pro zazdění rozměr 900 x 1970 x 140 L, P</t>
  </si>
  <si>
    <t>116</t>
  </si>
  <si>
    <t>553303659</t>
  </si>
  <si>
    <t>Příplatek za požární odolnost EW</t>
  </si>
  <si>
    <t>751</t>
  </si>
  <si>
    <t>Vzduchotechnika</t>
  </si>
  <si>
    <t>117</t>
  </si>
  <si>
    <t>711140101R00</t>
  </si>
  <si>
    <t>Odstranění izolace proti vlhkosti na ploše vodorovné, asfaltové pásy přitavením, 1 vrstva</t>
  </si>
  <si>
    <t>751_</t>
  </si>
  <si>
    <t>01_75_</t>
  </si>
  <si>
    <t>7,0*0,6</t>
  </si>
  <si>
    <t>118</t>
  </si>
  <si>
    <t>711111001RT1</t>
  </si>
  <si>
    <t>Izolace proti vlhkosti  nátěr ALP za studena</t>
  </si>
  <si>
    <t>RTS I / 2018</t>
  </si>
  <si>
    <t>1x nátěr - asfaltový lak ve specifikaci</t>
  </si>
  <si>
    <t>oprava stávající družina +m.č.1.17</t>
  </si>
  <si>
    <t>119</t>
  </si>
  <si>
    <t>11163160</t>
  </si>
  <si>
    <t>Lak asfaltový izolační ALP-M/S sud nevratný</t>
  </si>
  <si>
    <t>T</t>
  </si>
  <si>
    <t>RTS I / 2023</t>
  </si>
  <si>
    <t>7,0*0,6*0,3/1000</t>
  </si>
  <si>
    <t>120</t>
  </si>
  <si>
    <t>711141559RT1</t>
  </si>
  <si>
    <t>Izolace proti vlhk. vodorovná pásy přitavením</t>
  </si>
  <si>
    <t>1 vrstva - materiál ve specifikaci</t>
  </si>
  <si>
    <t>7,4*1,0</t>
  </si>
  <si>
    <t>121</t>
  </si>
  <si>
    <t>62852264</t>
  </si>
  <si>
    <t>Těžký hydroizolační asfalt pás z modifikovaného asfaltu SBS s vložkou ze skelné tkaniny- min.tl. pásu 4,mm (ztratné 15%)</t>
  </si>
  <si>
    <t>7,4</t>
  </si>
  <si>
    <t>;ztratné 10%; 0,74</t>
  </si>
  <si>
    <t>122</t>
  </si>
  <si>
    <t>711212002.1</t>
  </si>
  <si>
    <t>Dod.+mont.hydroizolační povlak - silikátová hydroizolační stěrka (dvouvrstvá), min.tl.2,5mm</t>
  </si>
  <si>
    <t>Přechodová úprava pro návaznost hydroizol podlah na dodatečné izolace zdiva v  pásu výšky 40cm.</t>
  </si>
  <si>
    <t>123</t>
  </si>
  <si>
    <t>203,18</t>
  </si>
  <si>
    <t>1PP (generovaná výměra)</t>
  </si>
  <si>
    <t>117,5*0,15</t>
  </si>
  <si>
    <t>1PP svislá</t>
  </si>
  <si>
    <t>124</t>
  </si>
  <si>
    <t>220,81*0,3/1000</t>
  </si>
  <si>
    <t>vodorovná</t>
  </si>
  <si>
    <t>125</t>
  </si>
  <si>
    <t>711141559RT2</t>
  </si>
  <si>
    <t>Provedení izolace proti vlhkosti na ploše vodorovné, asfaltovými pásy přitavením</t>
  </si>
  <si>
    <t>2 vrstvy - pásy ve specifikaci</t>
  </si>
  <si>
    <t>126</t>
  </si>
  <si>
    <t>711142559RT2</t>
  </si>
  <si>
    <t>Provedení izolace proti vlhkosti na ploše svislé, asfaltovými pásy přitavením</t>
  </si>
  <si>
    <t>127</t>
  </si>
  <si>
    <t>203,18*2</t>
  </si>
  <si>
    <t>17,63*2</t>
  </si>
  <si>
    <t>svislá</t>
  </si>
  <si>
    <t>;ztratné 15%; 66,243</t>
  </si>
  <si>
    <t>128</t>
  </si>
  <si>
    <t>998711101R00</t>
  </si>
  <si>
    <t>Přesun hmot pro izolace proti vodě, výšky do 6 m</t>
  </si>
  <si>
    <t>2,663</t>
  </si>
  <si>
    <t>712</t>
  </si>
  <si>
    <t>Izolace střech (živičné krytiny)</t>
  </si>
  <si>
    <t>129</t>
  </si>
  <si>
    <t>712641559.02</t>
  </si>
  <si>
    <t>Separační vrstva pod PREFA krytinu hydroizolace střech 40°, mechanické kotvení s přelepením spojů-asfalt pásy</t>
  </si>
  <si>
    <t>712_</t>
  </si>
  <si>
    <t>01_71_</t>
  </si>
  <si>
    <t>např.Baudek TOP UDS 3</t>
  </si>
  <si>
    <t>26,1</t>
  </si>
  <si>
    <t>zastřešení vstupu šatny (generovaná výměra)</t>
  </si>
  <si>
    <t>2,05</t>
  </si>
  <si>
    <t>zastřešení vstupu kolárna (generovaná výměra)</t>
  </si>
  <si>
    <t>130</t>
  </si>
  <si>
    <t>62843021</t>
  </si>
  <si>
    <t>Asfalt podkladový pás se samolepícími spoji (např.Bauder TOP UDS 3)</t>
  </si>
  <si>
    <t>28,15</t>
  </si>
  <si>
    <t>;ztratné 10%; 2,815</t>
  </si>
  <si>
    <t>131</t>
  </si>
  <si>
    <t>998712102R00</t>
  </si>
  <si>
    <t>Přesun hmot pro povlakové krytiny, výšky do 12 m</t>
  </si>
  <si>
    <t>0,058</t>
  </si>
  <si>
    <t>713</t>
  </si>
  <si>
    <t>Izolace tepelné UT</t>
  </si>
  <si>
    <t>132</t>
  </si>
  <si>
    <t>713102112R00</t>
  </si>
  <si>
    <t>Odstranění tepelné izolace podlah, volně uložené, z desek EPS, tl.100 - 200 mm</t>
  </si>
  <si>
    <t>713_</t>
  </si>
  <si>
    <t>133</t>
  </si>
  <si>
    <t>713121121R00</t>
  </si>
  <si>
    <t>Montáž tepelné izolace podlah na sucho, dvouvrstvá</t>
  </si>
  <si>
    <t>134</t>
  </si>
  <si>
    <t>28375705</t>
  </si>
  <si>
    <t>Deska izolační stabilizovaná EPS 150 1000 x 500 mm</t>
  </si>
  <si>
    <t>7,4*1,0*0,12</t>
  </si>
  <si>
    <t>135</t>
  </si>
  <si>
    <t>713191100RT9</t>
  </si>
  <si>
    <t>Dod.+mont separační PE fólie</t>
  </si>
  <si>
    <t>včetně dodávky fólie PE</t>
  </si>
  <si>
    <t>136</t>
  </si>
  <si>
    <t>713103311R00</t>
  </si>
  <si>
    <t>Odstranění tepelné izolace stěn, lepené, z desek EPS, tl. do 100 mm</t>
  </si>
  <si>
    <t>vstupní schodiště šatny</t>
  </si>
  <si>
    <t>3,3</t>
  </si>
  <si>
    <t>137</t>
  </si>
  <si>
    <t>713131131R00</t>
  </si>
  <si>
    <t>Montáž tepelné izolace stěn lepením</t>
  </si>
  <si>
    <t>(1,6+2,44)*0,65</t>
  </si>
  <si>
    <t>1PP vyrovnávací schodiště</t>
  </si>
  <si>
    <t>138</t>
  </si>
  <si>
    <t>28375460</t>
  </si>
  <si>
    <t>Polystyren extrudovaný XPS hladký povrch. polodrážka</t>
  </si>
  <si>
    <t>2,63*0,08</t>
  </si>
  <si>
    <t>;ztratné 3%; 0,0063</t>
  </si>
  <si>
    <t>139</t>
  </si>
  <si>
    <t>713121111RT1</t>
  </si>
  <si>
    <t>Montáž tepelné izolace podlah na sucho, jednovrstvá</t>
  </si>
  <si>
    <t>materiál ve specifikaci</t>
  </si>
  <si>
    <t>56,47</t>
  </si>
  <si>
    <t>EPS 150 tl.50mm (generovaná výměra)</t>
  </si>
  <si>
    <t>35,02</t>
  </si>
  <si>
    <t>EPS 150 tl.60mm (generovaná výměra)</t>
  </si>
  <si>
    <t>188,65+72,97</t>
  </si>
  <si>
    <t>EPS 150 tl.80mm (generovaná výměra)</t>
  </si>
  <si>
    <t>7,66</t>
  </si>
  <si>
    <t>XPS tl.80mm (generovaná výměra)</t>
  </si>
  <si>
    <t>140</t>
  </si>
  <si>
    <t>Polystyrén podlahový EPS 150</t>
  </si>
  <si>
    <t>56,47*0,05</t>
  </si>
  <si>
    <t>35,02*0,06</t>
  </si>
  <si>
    <t>(188,65+72,97)*0,08</t>
  </si>
  <si>
    <t>141</t>
  </si>
  <si>
    <t>7,66*0,08</t>
  </si>
  <si>
    <t>vodorobná</t>
  </si>
  <si>
    <t>;ztratné 3%; 0,0183</t>
  </si>
  <si>
    <t>142</t>
  </si>
  <si>
    <t>713121121RT1</t>
  </si>
  <si>
    <t>95,88</t>
  </si>
  <si>
    <t>143</t>
  </si>
  <si>
    <t>95,88*2*0,05</t>
  </si>
  <si>
    <t>144</t>
  </si>
  <si>
    <t>713121118R00</t>
  </si>
  <si>
    <t>Montáž dilatačního pásku podél stěn</t>
  </si>
  <si>
    <t>159,8</t>
  </si>
  <si>
    <t>112,7</t>
  </si>
  <si>
    <t>1NP učebny (generovaná výměra)</t>
  </si>
  <si>
    <t>1NP byt školníka</t>
  </si>
  <si>
    <t>145</t>
  </si>
  <si>
    <t>28375111</t>
  </si>
  <si>
    <t>Pásek dilatační okrajový EPS nebo PE š. 80mm tl. min.8mm</t>
  </si>
  <si>
    <t>354,5</t>
  </si>
  <si>
    <t>;ztratné 3%; 10,635</t>
  </si>
  <si>
    <t>146</t>
  </si>
  <si>
    <t>289970111R00</t>
  </si>
  <si>
    <t>Vrstva geotextilie 300g/m2 D+M</t>
  </si>
  <si>
    <t>4,63+3,03</t>
  </si>
  <si>
    <t>(1,9+2,44)*0,65</t>
  </si>
  <si>
    <t>svislá (vyrovnávací schodiště)</t>
  </si>
  <si>
    <t>147</t>
  </si>
  <si>
    <t>188,6</t>
  </si>
  <si>
    <t>148</t>
  </si>
  <si>
    <t>713190813R00</t>
  </si>
  <si>
    <t>Odstranění tepelné izolace ze sypkých hmot, lože ze škváry, tl. do 150 mm</t>
  </si>
  <si>
    <t>24+17,6</t>
  </si>
  <si>
    <t>pokoje byt školníka</t>
  </si>
  <si>
    <t>34,8</t>
  </si>
  <si>
    <t>část m.č.1.05</t>
  </si>
  <si>
    <t>149</t>
  </si>
  <si>
    <t>713102111R00</t>
  </si>
  <si>
    <t>Odstranění tepelné izolace podlah, volně uložené, z desek EPS, tl. do 100 mm</t>
  </si>
  <si>
    <t>4,9</t>
  </si>
  <si>
    <t>koupelna (byt školníka)</t>
  </si>
  <si>
    <t>150</t>
  </si>
  <si>
    <t>998713101R00</t>
  </si>
  <si>
    <t>Přesun hmot pro izolace tepelné, výšky do 6 m</t>
  </si>
  <si>
    <t>13,032-12,03</t>
  </si>
  <si>
    <t>762</t>
  </si>
  <si>
    <t>Konstrukce tesařské</t>
  </si>
  <si>
    <t>151</t>
  </si>
  <si>
    <t>762332110R00</t>
  </si>
  <si>
    <t>Montáž vázaných krovů pravidelných do 120 cm2</t>
  </si>
  <si>
    <t>762_</t>
  </si>
  <si>
    <t>01_76_</t>
  </si>
  <si>
    <t>30,1</t>
  </si>
  <si>
    <t>6/12</t>
  </si>
  <si>
    <t>51,1</t>
  </si>
  <si>
    <t>8/14</t>
  </si>
  <si>
    <t>152</t>
  </si>
  <si>
    <t>60515710</t>
  </si>
  <si>
    <t>Hranolek stavební SM do 100 cm2, do 5 m</t>
  </si>
  <si>
    <t>0,8</t>
  </si>
  <si>
    <t>;ztratné 10%; 0,08</t>
  </si>
  <si>
    <t>153</t>
  </si>
  <si>
    <t>762341210RT2</t>
  </si>
  <si>
    <t>Montáž bednění střech rovných, prkna hrubá na sraz</t>
  </si>
  <si>
    <t>včetně dodávky prken tloušťky 24 mm</t>
  </si>
  <si>
    <t>154</t>
  </si>
  <si>
    <t>762395000R00</t>
  </si>
  <si>
    <t>Spojovací a ochranné prostředky pro střechy</t>
  </si>
  <si>
    <t>kce krovu</t>
  </si>
  <si>
    <t>26,1*0,025</t>
  </si>
  <si>
    <t>bednění</t>
  </si>
  <si>
    <t>155</t>
  </si>
  <si>
    <t>998762102R00</t>
  </si>
  <si>
    <t>Přesun hmot pro tesařské konstrukce, výšky do 12 m</t>
  </si>
  <si>
    <t>0,98</t>
  </si>
  <si>
    <t>764</t>
  </si>
  <si>
    <t>Konstrukce klempířské</t>
  </si>
  <si>
    <t>156</t>
  </si>
  <si>
    <t>764774401R00</t>
  </si>
  <si>
    <t>Falc.krytina z legovaného Al plechu, povrchová úprava Coll-Coating , svitky,š.500 mm,do 30°</t>
  </si>
  <si>
    <t>764_</t>
  </si>
  <si>
    <t>zastřešení vstup šatny</t>
  </si>
  <si>
    <t>zastřešení vstup kolárna</t>
  </si>
  <si>
    <t>157</t>
  </si>
  <si>
    <t>764322320R00</t>
  </si>
  <si>
    <t>Oplechování okapů z legovaného Al plechu, povrchová úprava Coll-Coating  rš 280 mm</t>
  </si>
  <si>
    <t>K3</t>
  </si>
  <si>
    <t>2,3</t>
  </si>
  <si>
    <t>158</t>
  </si>
  <si>
    <t>764322330R00</t>
  </si>
  <si>
    <t>Oplechování okapů z legovaného Al plechu, povrchová úprava Coll-Coating  tl.0,7mm,RŠ 330 mm D+M</t>
  </si>
  <si>
    <t>RTS I / 2022</t>
  </si>
  <si>
    <t>K2</t>
  </si>
  <si>
    <t>15,1</t>
  </si>
  <si>
    <t>159</t>
  </si>
  <si>
    <t>764394430R00</t>
  </si>
  <si>
    <t>Podkladní pás (okap) z Al plechu tl. 0,7 mm, rš 250 mm D+M</t>
  </si>
  <si>
    <t>K1</t>
  </si>
  <si>
    <t>17,4</t>
  </si>
  <si>
    <t>160</t>
  </si>
  <si>
    <t>764775309.001</t>
  </si>
  <si>
    <t>Závětrná lišta z legovaného Al plechu, povrchová úprava Coll-Coating  tl.0,7mm,RŠ 160 mm D+M</t>
  </si>
  <si>
    <t>K4</t>
  </si>
  <si>
    <t>161</t>
  </si>
  <si>
    <t>764331320.001</t>
  </si>
  <si>
    <t>Lemování zdí z legovaného Al plechu, povrchová úprava Coll-Coating  tl.0,7mm,RŠ 125 mm D+M</t>
  </si>
  <si>
    <t>K5</t>
  </si>
  <si>
    <t>11,4</t>
  </si>
  <si>
    <t>162</t>
  </si>
  <si>
    <t>764778121R00</t>
  </si>
  <si>
    <t>Odpadní trouby kruhové z legovaného Al plechu, povrchová úprava Coll-Coating, D 80 mm D+M</t>
  </si>
  <si>
    <t>K7</t>
  </si>
  <si>
    <t>2,5</t>
  </si>
  <si>
    <t>163</t>
  </si>
  <si>
    <t>764779.01</t>
  </si>
  <si>
    <t>Koleno80/72° z legovaného Al plechu, povrchová úprava Coll-Coating D+M</t>
  </si>
  <si>
    <t>164</t>
  </si>
  <si>
    <t>764352292.001</t>
  </si>
  <si>
    <t>Žlabový hák  půlkruhový,pro žlab RŠ 250mm - Z1</t>
  </si>
  <si>
    <t>přesná specifikace viz výpis zámečnických výrobků</t>
  </si>
  <si>
    <t>165</t>
  </si>
  <si>
    <t>764778111R00</t>
  </si>
  <si>
    <t>Žlab podokapní půlkruhový z legovaného Al plechu, povrchová úprava Coll-Coating  RŠ 250 mm D+M</t>
  </si>
  <si>
    <t>K6</t>
  </si>
  <si>
    <t>15,75</t>
  </si>
  <si>
    <t>166</t>
  </si>
  <si>
    <t>764778101R00</t>
  </si>
  <si>
    <t>Kotlík žlabový kulatý z legovaného Al plechu, povrchová úprava Coll-Coating žlab 250 mm, D 80 mm D+M</t>
  </si>
  <si>
    <t>K8</t>
  </si>
  <si>
    <t>167</t>
  </si>
  <si>
    <t>764778302R00</t>
  </si>
  <si>
    <t>Oplechování parapetů z legovaného Al plechu, povrchová úprava Coll-Coating RŠ 290 mm D+M</t>
  </si>
  <si>
    <t>K9 vč bočních krytek</t>
  </si>
  <si>
    <t>5*0,8</t>
  </si>
  <si>
    <t>168</t>
  </si>
  <si>
    <t>764778303R00</t>
  </si>
  <si>
    <t>Oplechování parapetů z legovaného Al plechu, povrchová úprava Coll-Coating, RŠ 320 mm D+M</t>
  </si>
  <si>
    <t>K10 vč bočních krytek</t>
  </si>
  <si>
    <t>1*0,6</t>
  </si>
  <si>
    <t>169</t>
  </si>
  <si>
    <t>998764101R00</t>
  </si>
  <si>
    <t>Přesun hmot pro klempířské konstr., výšky do 6 m</t>
  </si>
  <si>
    <t>0,124</t>
  </si>
  <si>
    <t>766</t>
  </si>
  <si>
    <t>Konstrukce truhlářské</t>
  </si>
  <si>
    <t>170</t>
  </si>
  <si>
    <t>766411821R00</t>
  </si>
  <si>
    <t>Demontáž obložení stěn palubkami</t>
  </si>
  <si>
    <t>766_</t>
  </si>
  <si>
    <t>(2,06*3,12-0,6*2,0)*2</t>
  </si>
  <si>
    <t>171</t>
  </si>
  <si>
    <t>766411822R00</t>
  </si>
  <si>
    <t>Demontáž podkladových roštů obložení stěn</t>
  </si>
  <si>
    <t>nosná kce dřev.příčky</t>
  </si>
  <si>
    <t>2,06*3,12-0,6*2,0</t>
  </si>
  <si>
    <t>172</t>
  </si>
  <si>
    <t>766620.01</t>
  </si>
  <si>
    <t>Dod.+mont. okno plast. 570x 1200 , OS, 1kř.vč.kování, příslušenství, doplňků  a konečné povrchové úpravy  - O5</t>
  </si>
  <si>
    <t>ks</t>
  </si>
  <si>
    <t>přesná specifikace viz výpis oken; montáž včetně uzávěrů vnitřní a vnější spáry</t>
  </si>
  <si>
    <t>173</t>
  </si>
  <si>
    <t>766620.02</t>
  </si>
  <si>
    <t>Dod.+mont. vnější dveře plast jednokřídlové, prosklené, 1000/2100+510 vč.zárubně, kování, příslušenství a konečné povrchové úpravy  - D002</t>
  </si>
  <si>
    <t>přesná specifikace viz výpis výplní otvorů;  montáž včetně uzávěrů vnitřní a vnější spáry</t>
  </si>
  <si>
    <t>174</t>
  </si>
  <si>
    <t>766670.01</t>
  </si>
  <si>
    <t>Dod.+mont. dřevěné vnitřní dveře plné, protipožární (EW 30) 900/1970 vč  kování, příslušenství a konečné povrchové úpravy - D004</t>
  </si>
  <si>
    <t>přesná specifikace viz výpis výplní otvorů</t>
  </si>
  <si>
    <t>175</t>
  </si>
  <si>
    <t>766670.02</t>
  </si>
  <si>
    <t>Dod.+mont. dřevěné vnitřní dveře plné, protipožární (EW 30) 900/1970 vč  kování, příslušenství a konečné povrchové úpravy -D005</t>
  </si>
  <si>
    <t>176</t>
  </si>
  <si>
    <t>766670.03</t>
  </si>
  <si>
    <t>Dod.+mont. dřevěné vnitřní dveře plné, protipožární (EW 30) 800/1970 vč  kování, příslušenství a konečné povrchové úpravy -D006</t>
  </si>
  <si>
    <t>177</t>
  </si>
  <si>
    <t>766670.04</t>
  </si>
  <si>
    <t>Dod.+mont. dřevěné vnitřní dveře plné, protipožární (EW 30) 900/1970 vč  kování, příslušenství a konečné povrchové úpravy -D007</t>
  </si>
  <si>
    <t>178</t>
  </si>
  <si>
    <t>766670.05</t>
  </si>
  <si>
    <t>Dod.+mont. dřevěné vnitřní dveře plné, protipožární (EW 30) 900/1970 vč  kování, příslušenství a konečné povrchové úpravy -D008</t>
  </si>
  <si>
    <t>179</t>
  </si>
  <si>
    <t>766670.06</t>
  </si>
  <si>
    <t>Dod.+mont. dřevěné vnitřní dveře plné, protipožární (EW 30) 900/1970 vč  kování, příslušenství a konečné povrchové úpravy -D009</t>
  </si>
  <si>
    <t>180</t>
  </si>
  <si>
    <t>766670.07</t>
  </si>
  <si>
    <t>Dod.+mont. dřevěné vnitřní dveře plné, protipožární (EW 30) 900/1970 vč  kování, příslušenství a konečné povrchové úpravy -D010</t>
  </si>
  <si>
    <t>181</t>
  </si>
  <si>
    <t>766670.08</t>
  </si>
  <si>
    <t>Dod.+mont. dřevěné vnitřní dveře plné 700/1970 vč  kování, příslušenství a konečné povrchové úpravy -D011</t>
  </si>
  <si>
    <t>182</t>
  </si>
  <si>
    <t>766670.09</t>
  </si>
  <si>
    <t>Dod.+mont. dřevěné vnitřní dveře plné 700/1970 vč  kování, příslušenství a konečné povrchové úpravy -D012</t>
  </si>
  <si>
    <t>183</t>
  </si>
  <si>
    <t>766670.10</t>
  </si>
  <si>
    <t>Dod.+mont. dřevěné vnitřní dveře plné 700/1970 vč  kování, příslušenství a konečné povrchové úpravy -D013</t>
  </si>
  <si>
    <t>184</t>
  </si>
  <si>
    <t>766670.11</t>
  </si>
  <si>
    <t>Dod.+mont. dřevěné vnitřní dveře plné, protipožární (EW 30) 900/1970 vč  kování, příslušenství a konečné povrchové úpravy - D014</t>
  </si>
  <si>
    <t>185</t>
  </si>
  <si>
    <t>766670.12</t>
  </si>
  <si>
    <t>Dod.+mont. dřevěné vnitřní dveře plné, protipožární (EW 30) 900/1970 vč  kování, příslušenství a konečné povrchové úpravy - D015</t>
  </si>
  <si>
    <t>186</t>
  </si>
  <si>
    <t>766670.13</t>
  </si>
  <si>
    <t>Dod.+mont. dřevěné vnitřní dveře plné 800/1970 vč  kování, příslušenství a konečné povrchové úpravy -D017</t>
  </si>
  <si>
    <t>187</t>
  </si>
  <si>
    <t>766670.14</t>
  </si>
  <si>
    <t>Dod.+mont. dřevěné vnitřní dveře plné, protipožární (EW 30) 900/1970 vč  kování, příslušenství a konečné povrchové úpravy - D018</t>
  </si>
  <si>
    <t>188</t>
  </si>
  <si>
    <t>766670.15</t>
  </si>
  <si>
    <t>Dod.+mont. dřevěné vnitřní dveře plné, protipožární (EW 30) 900/1970 vč  kování, příslušenství a konečné povrchové úpravy - D019</t>
  </si>
  <si>
    <t>189</t>
  </si>
  <si>
    <t>766670.16</t>
  </si>
  <si>
    <t>Dod.+mont. dřevěné vnitřní dveře plné 800/1970 vč  kování, příslušenství a konečné povrchové úpravy -D020</t>
  </si>
  <si>
    <t>190</t>
  </si>
  <si>
    <t>766670.17</t>
  </si>
  <si>
    <t>Dod.+mont. dřevěné vnitřní dveře plné 900/1970 vč  kování, příslušenství a konečné povrchové úpravy -D021</t>
  </si>
  <si>
    <t>191</t>
  </si>
  <si>
    <t>766670.18</t>
  </si>
  <si>
    <t>Dod.+mont. dřevěné vnitřní dveře plné 900/1970 vč  kování, příslušenství a konečné povrchové úpravy -D022</t>
  </si>
  <si>
    <t>192</t>
  </si>
  <si>
    <t>766670.19</t>
  </si>
  <si>
    <t>Dod.+mont. dřevěné vnitřní dveře plné 900/1970 vč  kování, příslušenství a konečné povrchové úpravy -D023</t>
  </si>
  <si>
    <t>193</t>
  </si>
  <si>
    <t>766670.20</t>
  </si>
  <si>
    <t>Dod.+mont. dřevěné vnitřní dveře plné 700/1970 vč  kování, příslušenství a konečné povrchové úpravy -D024</t>
  </si>
  <si>
    <t>194</t>
  </si>
  <si>
    <t>766421213R00</t>
  </si>
  <si>
    <t>Obložení podhledů jednod. palubkami SM š. do 15 cm</t>
  </si>
  <si>
    <t>22,5</t>
  </si>
  <si>
    <t>195</t>
  </si>
  <si>
    <t>611916874</t>
  </si>
  <si>
    <t>Palubka obkladová SM jakost A/B, tl. 19 mm, šířka 146 mm</t>
  </si>
  <si>
    <t>24,74</t>
  </si>
  <si>
    <t>;ztratné 10%; 2,474</t>
  </si>
  <si>
    <t>196</t>
  </si>
  <si>
    <t>766427112.001</t>
  </si>
  <si>
    <t>Podkladový rošt (latě 60/40m) pro obložení podhledů (2m/m2) D+M</t>
  </si>
  <si>
    <t>uchycení latí na přímý závěs</t>
  </si>
  <si>
    <t>22,5*2</t>
  </si>
  <si>
    <t>197</t>
  </si>
  <si>
    <t>766825.001</t>
  </si>
  <si>
    <t>Vestavěná skříň s nástavcem 1,6x0,6x2,35m, masiv smrk D+M - T1</t>
  </si>
  <si>
    <t>podrobná specifikace viz výpis truhlářských výrobků</t>
  </si>
  <si>
    <t>198</t>
  </si>
  <si>
    <t>766-043</t>
  </si>
  <si>
    <t>Kuchyňská linka dl. pracovní plochy 1,65m+závěsné horní skříňky a spotřebiče, D+M - T3</t>
  </si>
  <si>
    <t>199</t>
  </si>
  <si>
    <t>766-100</t>
  </si>
  <si>
    <t>Dod.+mont.schodišť.profilovaných madel dřevěných - masiv dub</t>
  </si>
  <si>
    <t>3,25</t>
  </si>
  <si>
    <t>zábradlí u sklopné plošiny</t>
  </si>
  <si>
    <t>200</t>
  </si>
  <si>
    <t>998766101R00</t>
  </si>
  <si>
    <t>Přesun hmot pro truhlářské konstr., výšky do 6 m</t>
  </si>
  <si>
    <t>1,417</t>
  </si>
  <si>
    <t>767</t>
  </si>
  <si>
    <t>Konstrukce doplňkové stavební (zámečnické)</t>
  </si>
  <si>
    <t>201</t>
  </si>
  <si>
    <t>767995102.001</t>
  </si>
  <si>
    <t>Výroba a montáž kov. atypických konstr. do 10 kg - Z1</t>
  </si>
  <si>
    <t>kg</t>
  </si>
  <si>
    <t>767_</t>
  </si>
  <si>
    <t>1,17*5,59*2</t>
  </si>
  <si>
    <t>Z1</t>
  </si>
  <si>
    <t>202</t>
  </si>
  <si>
    <t>767995103.001</t>
  </si>
  <si>
    <t>Výroba a montáž kov. atypických konstr. do 20 kg - Z2</t>
  </si>
  <si>
    <t>(1,17*5,59*2)*2</t>
  </si>
  <si>
    <t>Z2</t>
  </si>
  <si>
    <t>203</t>
  </si>
  <si>
    <t>767611.01</t>
  </si>
  <si>
    <t>Dod.+mont. okno ocelové 2050x2000 , OS, fix., čtyřdílné, příslušenství a konečné povrchové úpravy  - O1</t>
  </si>
  <si>
    <t xml:space="preserve">přesná specifikace viz výpis oken
</t>
  </si>
  <si>
    <t>204</t>
  </si>
  <si>
    <t>767611.02</t>
  </si>
  <si>
    <t>Dod.+mont. okno ocelové 2050x2000 , OS, fix., čtyřdílné, příslušenství a konečné povrchové úpravy  - O2</t>
  </si>
  <si>
    <t>205</t>
  </si>
  <si>
    <t>767611.03</t>
  </si>
  <si>
    <t>Dod.+mont. okno ocelové 1400x2000 , OS, fix., dvoudílné, příslušenství a konečné povrchové úpravy  - O3</t>
  </si>
  <si>
    <t>206</t>
  </si>
  <si>
    <t>767611.04</t>
  </si>
  <si>
    <t>Dod.+mont. okno ocelové 1265x2000 , OS, fix., dvoudílné, příslušenství a konečné povrchové úpravy  - O4</t>
  </si>
  <si>
    <t>207</t>
  </si>
  <si>
    <t>767650.01</t>
  </si>
  <si>
    <t>Dod.+mont. dveře vnější ocelové 900+800/2100, 2.kř vč.zárubně, příslušenství a konečné povrchové úpravy  - D001</t>
  </si>
  <si>
    <t>přesná specifikace viz výpis dveří</t>
  </si>
  <si>
    <t>208</t>
  </si>
  <si>
    <t>767650.02</t>
  </si>
  <si>
    <t>Dod.+mont. dveře vnější ocelové 900+800/2025,2.kř s nadsvětlíkem vč.zárubně, příslušenství a konečné povrchové úpravy  - D003</t>
  </si>
  <si>
    <t>209</t>
  </si>
  <si>
    <t>767646.01</t>
  </si>
  <si>
    <t>Dod.+mont. dveře vnnitřní kov.prosklené1000/2050mm,1.kř protipožární (EW30) vč.zárubně, kování, příslušenství a konečné povrchové úpravy  - D016</t>
  </si>
  <si>
    <t>210</t>
  </si>
  <si>
    <t>767587111RT3</t>
  </si>
  <si>
    <t>Dod.+mont mineral. kazetového podhledu na rošt, kazety 60 x 60 cm, viditelné profily</t>
  </si>
  <si>
    <t>hrana v úrovni roštu, viditelné antikorozní profily; profily šířky 24mm, kazety tl.15mm</t>
  </si>
  <si>
    <t>14,2</t>
  </si>
  <si>
    <t>1NP hyg.zařízení učebny (generovaná výměra)</t>
  </si>
  <si>
    <t>4,73</t>
  </si>
  <si>
    <t>1NP WC pro imobilní (generovaná výměra)</t>
  </si>
  <si>
    <t>,</t>
  </si>
  <si>
    <t>211</t>
  </si>
  <si>
    <t>767581802.001</t>
  </si>
  <si>
    <t>Demontáž podhledů - SDK desek</t>
  </si>
  <si>
    <t>19,70</t>
  </si>
  <si>
    <t>m.č.1.01+schodiště</t>
  </si>
  <si>
    <t>m.č.1.17</t>
  </si>
  <si>
    <t>212</t>
  </si>
  <si>
    <t>767995105R00</t>
  </si>
  <si>
    <t>Výroba a montáž kov. atypických konstr. do 100 kg - Z7</t>
  </si>
  <si>
    <t>63,51*14</t>
  </si>
  <si>
    <t>Z7 (63,51kg/m zábradlí)</t>
  </si>
  <si>
    <t>213</t>
  </si>
  <si>
    <t>767450.1</t>
  </si>
  <si>
    <t>Venkovní čistící zóna zapuštěná 1000x1500mm - Z4 (Al.rohož s gumovou výplní v Al rámu)</t>
  </si>
  <si>
    <t>1,0*1,5</t>
  </si>
  <si>
    <t>214</t>
  </si>
  <si>
    <t>767450.2</t>
  </si>
  <si>
    <t>Venkovní čistící zóna zapuštěná 500x1000mm- Z5 (Al.rohož s gumovou výplní v Al rámu)</t>
  </si>
  <si>
    <t>0,5*1,0</t>
  </si>
  <si>
    <t>215</t>
  </si>
  <si>
    <t>767165110.001</t>
  </si>
  <si>
    <t>Dod.+mont.ocel madla - Z6</t>
  </si>
  <si>
    <t>23,80</t>
  </si>
  <si>
    <t>216</t>
  </si>
  <si>
    <t>767165110.002</t>
  </si>
  <si>
    <t>Dod.+mont.kotvících prvků dřevěného madla - Z8</t>
  </si>
  <si>
    <t>217</t>
  </si>
  <si>
    <t>Dod.+mont.sklopné Al plošiny pro imobilní - Z9</t>
  </si>
  <si>
    <t>218</t>
  </si>
  <si>
    <t>998767101R00</t>
  </si>
  <si>
    <t>Přesun hmot pro zámečnické konstr., výšky do 6 m</t>
  </si>
  <si>
    <t>0,635</t>
  </si>
  <si>
    <t>771</t>
  </si>
  <si>
    <t>Podlahy z dlaždic</t>
  </si>
  <si>
    <t>219</t>
  </si>
  <si>
    <t>771541010.001</t>
  </si>
  <si>
    <t>Montáž podlah hutných replika histor.dlažby 17x17cm tl.1,5cm do tmele</t>
  </si>
  <si>
    <t>771_</t>
  </si>
  <si>
    <t>01_77_</t>
  </si>
  <si>
    <t>vč dodávky flexibil.tmele tř.C2TE; v max.možné míře použít vybourané stávajíící dlažby</t>
  </si>
  <si>
    <t>6,50</t>
  </si>
  <si>
    <t>18,23</t>
  </si>
  <si>
    <t>oprava chodba 1 učebny (předpoklad)</t>
  </si>
  <si>
    <t>doplnění dveří (vstupy sklad , WC pro imobilní)</t>
  </si>
  <si>
    <t>220</t>
  </si>
  <si>
    <t>597642900</t>
  </si>
  <si>
    <t>Replika historické dlažby -ručně sypaná celoprobarvená slinutá, ostře pálená secesní  dlažba 170x170x15mm</t>
  </si>
  <si>
    <t>opravy, doplnění (předpoklad)</t>
  </si>
  <si>
    <t>18,23*0,9</t>
  </si>
  <si>
    <t>;ztratné 5%; 1,3955</t>
  </si>
  <si>
    <t>221</t>
  </si>
  <si>
    <t>771445014.001</t>
  </si>
  <si>
    <t>Obklad soklíků hutných, rovných,tmel,v.150 mm - dle stávajících</t>
  </si>
  <si>
    <t>vč.dodávky flexibil.tmele tř.C2TE</t>
  </si>
  <si>
    <t>34,3</t>
  </si>
  <si>
    <t>1NP gemerovaná výměra</t>
  </si>
  <si>
    <t>222</t>
  </si>
  <si>
    <t>771541011.001</t>
  </si>
  <si>
    <t>Montáž podlah kamenin.dlažba 240x240x18mm do tmele</t>
  </si>
  <si>
    <t>12,65</t>
  </si>
  <si>
    <t>m.č.0.11, 0.12 generovaná výměra</t>
  </si>
  <si>
    <t>223</t>
  </si>
  <si>
    <t>59694151</t>
  </si>
  <si>
    <t>Dlažba přírodní kameninová I. jakost, 240 x 240 x 18 mm</t>
  </si>
  <si>
    <t>podlahy</t>
  </si>
  <si>
    <t>10*2*0,17</t>
  </si>
  <si>
    <t>podstupnice (schody vstup šatny)</t>
  </si>
  <si>
    <t>;ztratné 10%; 1,605</t>
  </si>
  <si>
    <t>224</t>
  </si>
  <si>
    <t>771212117R00</t>
  </si>
  <si>
    <t>Kladení dlažby keramické do TM, vel. do 600x600 mm</t>
  </si>
  <si>
    <t>vč dodávky tmele</t>
  </si>
  <si>
    <t>183,6</t>
  </si>
  <si>
    <t>1,33*2,62</t>
  </si>
  <si>
    <t>mezipodesta schodiště 1PP-1NP</t>
  </si>
  <si>
    <t>19,3</t>
  </si>
  <si>
    <t>4,0</t>
  </si>
  <si>
    <t>předpoklad -opravy kolárna,sklad 1NP</t>
  </si>
  <si>
    <t>8,1</t>
  </si>
  <si>
    <t>byt školníka (generovaná výměra)</t>
  </si>
  <si>
    <t>225</t>
  </si>
  <si>
    <t>597642240</t>
  </si>
  <si>
    <t>Dlažba slinutá, neglazovaná kalibrovaná 600x600x9 mm (ztratné 15%)</t>
  </si>
  <si>
    <t>218,48</t>
  </si>
  <si>
    <t>Podlahy</t>
  </si>
  <si>
    <t>169,90*0,08</t>
  </si>
  <si>
    <t>Soklíky</t>
  </si>
  <si>
    <t>12,14*0,08</t>
  </si>
  <si>
    <t>soklíky schody</t>
  </si>
  <si>
    <t>;ztratné 15%; 35,925</t>
  </si>
  <si>
    <t>38*0,17</t>
  </si>
  <si>
    <t>Podstupnice</t>
  </si>
  <si>
    <t>226</t>
  </si>
  <si>
    <t>771475014R00</t>
  </si>
  <si>
    <t>Obklad soklíků keram.rovných, tmel,výška 8 cm</t>
  </si>
  <si>
    <t>131,7</t>
  </si>
  <si>
    <t>1,33*2+2,62</t>
  </si>
  <si>
    <t>mezipodesta schodiště</t>
  </si>
  <si>
    <t>26,39</t>
  </si>
  <si>
    <t>6,53</t>
  </si>
  <si>
    <t>1NP byt školníka (generovaná výměra)</t>
  </si>
  <si>
    <t>227</t>
  </si>
  <si>
    <t>771578011R00</t>
  </si>
  <si>
    <t>Spára podlaha - stěna, silikonem</t>
  </si>
  <si>
    <t>vč dodávky silikonu</t>
  </si>
  <si>
    <t>131,70+1,5</t>
  </si>
  <si>
    <t>64,52</t>
  </si>
  <si>
    <t>1NP (generovaná výměra)</t>
  </si>
  <si>
    <t>228</t>
  </si>
  <si>
    <t>771275511.001</t>
  </si>
  <si>
    <t>Montáž kameninových schodovek na stupnice,TM</t>
  </si>
  <si>
    <t>229</t>
  </si>
  <si>
    <t>59694161</t>
  </si>
  <si>
    <t>Schodovka přírodní kameninová I. jakost, 240 x 330 x 18 mm</t>
  </si>
  <si>
    <t>8*10</t>
  </si>
  <si>
    <t>230</t>
  </si>
  <si>
    <t>771275521.001</t>
  </si>
  <si>
    <t>Montáž kameninových dlaždic na podstupnice, TM</t>
  </si>
  <si>
    <t>231</t>
  </si>
  <si>
    <t>771249111R00</t>
  </si>
  <si>
    <t>Řezání kameninových dlaždic do tl. 22 mm diamantovým kotoučem</t>
  </si>
  <si>
    <t>stupnice</t>
  </si>
  <si>
    <t>podstupnice</t>
  </si>
  <si>
    <t>232</t>
  </si>
  <si>
    <t>771275511R00</t>
  </si>
  <si>
    <t>Montáž keram.dlaždic a schodovek na stupnice,TM</t>
  </si>
  <si>
    <t>3,0+2,76+2,53+2,29+2,05</t>
  </si>
  <si>
    <t>vyrovnávací schod. m.č.0.05</t>
  </si>
  <si>
    <t>22*1,15</t>
  </si>
  <si>
    <t>schody 1PP-1NP</t>
  </si>
  <si>
    <t>233</t>
  </si>
  <si>
    <t>597642407</t>
  </si>
  <si>
    <t>Schodovka slinutá,neglazovaná, kalibrovaná 300 x 600 (R10)</t>
  </si>
  <si>
    <t>26+44</t>
  </si>
  <si>
    <t>234</t>
  </si>
  <si>
    <t>771275521R00</t>
  </si>
  <si>
    <t>Montáž keramických dlaždic na podstupnice, TM</t>
  </si>
  <si>
    <t>235</t>
  </si>
  <si>
    <t>771445034R00</t>
  </si>
  <si>
    <t>Obklad soklíků hutných,schod.stupň.,tmel, v.80 mm</t>
  </si>
  <si>
    <t>(0,3+0,168)*4</t>
  </si>
  <si>
    <t>vyrovnávací schodiště</t>
  </si>
  <si>
    <t>(0,31+0,157)*22</t>
  </si>
  <si>
    <t>236</t>
  </si>
  <si>
    <t>998771101R00</t>
  </si>
  <si>
    <t>Přesun hmot pro podlahy z dlaždic, výšky do 6 m</t>
  </si>
  <si>
    <t>10,58</t>
  </si>
  <si>
    <t>775</t>
  </si>
  <si>
    <t>Podlahy vlysové a parketové</t>
  </si>
  <si>
    <t>237</t>
  </si>
  <si>
    <t>775521800R00</t>
  </si>
  <si>
    <t>Demontáž podlah vlysových přibíjených včetně lišt</t>
  </si>
  <si>
    <t>775_</t>
  </si>
  <si>
    <t>238</t>
  </si>
  <si>
    <t>762522811R00</t>
  </si>
  <si>
    <t>Demontáž podlah s polštáři z prken tl. do 32 mm</t>
  </si>
  <si>
    <t>podklad pod vlysy</t>
  </si>
  <si>
    <t>776</t>
  </si>
  <si>
    <t>Podlahy povlakové</t>
  </si>
  <si>
    <t>239</t>
  </si>
  <si>
    <t>776511810RT3</t>
  </si>
  <si>
    <t>Odstranění PVC a koberců lepených bez podložky</t>
  </si>
  <si>
    <t>776_</t>
  </si>
  <si>
    <t>včetně soklíků</t>
  </si>
  <si>
    <t>33,23*2</t>
  </si>
  <si>
    <t>PVC+koberec chodba byt školníka</t>
  </si>
  <si>
    <t>13,8</t>
  </si>
  <si>
    <t>koberec část m.č.1.05</t>
  </si>
  <si>
    <t>38,2</t>
  </si>
  <si>
    <t>PVC m.č.1,04</t>
  </si>
  <si>
    <t>7,30</t>
  </si>
  <si>
    <t>PVC chodba učebny</t>
  </si>
  <si>
    <t>PVC stávající družina (napojení kanal.WC imobilní)</t>
  </si>
  <si>
    <t>240</t>
  </si>
  <si>
    <t>776521100R00</t>
  </si>
  <si>
    <t>Lepení povlak.podlah z pásů PVC na Chemopren</t>
  </si>
  <si>
    <t>89,90</t>
  </si>
  <si>
    <t>241</t>
  </si>
  <si>
    <t>284122101</t>
  </si>
  <si>
    <t>Podlahovina PVC zátěžová;  min.š. role 3 m;min tl. 2,5 mm, třída zátěže 34 (ztratné 10%)</t>
  </si>
  <si>
    <t>265,98</t>
  </si>
  <si>
    <t>178,8*0,05</t>
  </si>
  <si>
    <t>soklíky</t>
  </si>
  <si>
    <t>;ztratné 10%; 27,492</t>
  </si>
  <si>
    <t>242</t>
  </si>
  <si>
    <t>776431100.1</t>
  </si>
  <si>
    <t>Dod.+mont.podlahových soklík z pásku PVC do lišt v=50mm (lišty lepené)</t>
  </si>
  <si>
    <t>vč dodávky lišt</t>
  </si>
  <si>
    <t>učebny (generovaná výměra)</t>
  </si>
  <si>
    <t>85,8</t>
  </si>
  <si>
    <t>243</t>
  </si>
  <si>
    <t>776996110R00</t>
  </si>
  <si>
    <t>Napuštění povlakových podlah pastou</t>
  </si>
  <si>
    <t>244</t>
  </si>
  <si>
    <t>998776101R00</t>
  </si>
  <si>
    <t>Přesun hmot pro podlahy povlakové, výšky do 6 m</t>
  </si>
  <si>
    <t>1,271-0,135</t>
  </si>
  <si>
    <t>781</t>
  </si>
  <si>
    <t>Obklady (keramické)</t>
  </si>
  <si>
    <t>245</t>
  </si>
  <si>
    <t>781741111.001</t>
  </si>
  <si>
    <t>Obklad vnějších stěn, kamenin.dlažba 240x240x18mm do tmele</t>
  </si>
  <si>
    <t>781_</t>
  </si>
  <si>
    <t>01_78_</t>
  </si>
  <si>
    <t>5,85+1,06</t>
  </si>
  <si>
    <t>svislé plochy (generovaná výměra)</t>
  </si>
  <si>
    <t>0,5*11,8</t>
  </si>
  <si>
    <t>zakrytí zídky</t>
  </si>
  <si>
    <t>0,5*1,25*2</t>
  </si>
  <si>
    <t>vstup kolárna (oprava a doplnění stáv.obkladu)</t>
  </si>
  <si>
    <t>246</t>
  </si>
  <si>
    <t>12,81</t>
  </si>
  <si>
    <t>;ztratné 15%; 1,9215</t>
  </si>
  <si>
    <t>247</t>
  </si>
  <si>
    <t>781749701.001</t>
  </si>
  <si>
    <t>Obklad vnější, hutné - příplatek za ztížení práce</t>
  </si>
  <si>
    <t>napojování svislých vodorovných a šikmých částí-řez hran dlažby pod úhlem</t>
  </si>
  <si>
    <t>248</t>
  </si>
  <si>
    <t>781441111.001</t>
  </si>
  <si>
    <t>Obklad vnitřní stěn kamenin.dlažba 240x240x18mm do tmele</t>
  </si>
  <si>
    <t>vstup šatny (generovaná výměra)</t>
  </si>
  <si>
    <t>249</t>
  </si>
  <si>
    <t>;ztratné 10%; 2,52</t>
  </si>
  <si>
    <t>250</t>
  </si>
  <si>
    <t>781111112RT5</t>
  </si>
  <si>
    <t>Řezání hran 45° - kamenický řez (jolly)</t>
  </si>
  <si>
    <t>střep slinutý (kameninová dlažba), zhotovení na místě</t>
  </si>
  <si>
    <t>1,91+1,8+0,82*2</t>
  </si>
  <si>
    <t>251</t>
  </si>
  <si>
    <t>781475120R00</t>
  </si>
  <si>
    <t>Obklad vnitřní stěn keramický, do tmele, 30 x 60 cm</t>
  </si>
  <si>
    <t>2,27</t>
  </si>
  <si>
    <t>84,72</t>
  </si>
  <si>
    <t>252</t>
  </si>
  <si>
    <t>597813747</t>
  </si>
  <si>
    <t>Obklad. keramický min.rozměr 300x 600mm, kalibrovaný nebo rektifikovaný pro tenké spáry</t>
  </si>
  <si>
    <t>86,99</t>
  </si>
  <si>
    <t>obklady stěn</t>
  </si>
  <si>
    <t>(0,3*0,6)+(0,45*0,6)+(0,15*0,98)</t>
  </si>
  <si>
    <t>parapety, WC</t>
  </si>
  <si>
    <t>;ztratné 15%; 13,1385</t>
  </si>
  <si>
    <t>253</t>
  </si>
  <si>
    <t>781320121R00</t>
  </si>
  <si>
    <t>Obkládání parapetů do tmele šířky do 300 mm</t>
  </si>
  <si>
    <t>horní plocha přizdívky WC</t>
  </si>
  <si>
    <t>0,6</t>
  </si>
  <si>
    <t>parapet okna</t>
  </si>
  <si>
    <t>254</t>
  </si>
  <si>
    <t>781320121.001</t>
  </si>
  <si>
    <t>Obkládání parapetů do tmele šířky do 500 mm</t>
  </si>
  <si>
    <t>vč. flexibil. lepidla</t>
  </si>
  <si>
    <t>255</t>
  </si>
  <si>
    <t>781479705RT3</t>
  </si>
  <si>
    <t>Přípl.za spárovací hmotu - plošně</t>
  </si>
  <si>
    <t>barevná spárovací hmota</t>
  </si>
  <si>
    <t>86,99+0,6</t>
  </si>
  <si>
    <t>256</t>
  </si>
  <si>
    <t>781111112RT1</t>
  </si>
  <si>
    <t>střep standardní, zhotovení na místě</t>
  </si>
  <si>
    <t>0,6+0,6+0,98+3*0,5</t>
  </si>
  <si>
    <t>257</t>
  </si>
  <si>
    <t>998781101R00</t>
  </si>
  <si>
    <t>Přesun hmot pro obklady keramické, výšky do 6 m</t>
  </si>
  <si>
    <t>7,39</t>
  </si>
  <si>
    <t>783</t>
  </si>
  <si>
    <t>Nátěry</t>
  </si>
  <si>
    <t>258</t>
  </si>
  <si>
    <t>783782206R00</t>
  </si>
  <si>
    <t>Nátěr tesařských konstrukcí vodou ředitelným fungicidním a isekticidním přípravkem</t>
  </si>
  <si>
    <t>783_</t>
  </si>
  <si>
    <t>Min účinnost ochranného prostředku - FB, IP, P, 1, 2, 3, D, SP (typové ozn.dle ČSN 49 0600-1)</t>
  </si>
  <si>
    <t>45*(2*0,04+2*0,06)</t>
  </si>
  <si>
    <t>rošt podhledu vstup šatny</t>
  </si>
  <si>
    <t>rubová strana podhledu vstup šatny</t>
  </si>
  <si>
    <t>33,71</t>
  </si>
  <si>
    <t>trámky zastřešení vstup šatny</t>
  </si>
  <si>
    <t>26,1*2</t>
  </si>
  <si>
    <t>bednění zastřeš,vstup šatny</t>
  </si>
  <si>
    <t>259</t>
  </si>
  <si>
    <t>783626211R00</t>
  </si>
  <si>
    <t>Nátěr dřev.kcí.venkovní olejový bebarvý, polomatný  2x</t>
  </si>
  <si>
    <t>ochranný olej s ochranným UV faktorem na bázi přírodních olejů s obsahem biocidní ochrany proti napadení dřeva plísní řasou a houbou</t>
  </si>
  <si>
    <t>pohledová strana podhledu vstup šatny</t>
  </si>
  <si>
    <t>260</t>
  </si>
  <si>
    <t>783222130RT1</t>
  </si>
  <si>
    <t>Nátěr syntetický kov.konstrukcí  2x - zárubně</t>
  </si>
  <si>
    <t>2v1 na železo</t>
  </si>
  <si>
    <t>20,76</t>
  </si>
  <si>
    <t>nové zárubně</t>
  </si>
  <si>
    <t>7,09</t>
  </si>
  <si>
    <t>stávající zárubně</t>
  </si>
  <si>
    <t>261</t>
  </si>
  <si>
    <t>783201831R00</t>
  </si>
  <si>
    <t>Odstr. nátěrů z kovových konstr. chem.odstraňovači</t>
  </si>
  <si>
    <t xml:space="preserve">
</t>
  </si>
  <si>
    <t>784</t>
  </si>
  <si>
    <t>Malby</t>
  </si>
  <si>
    <t>262</t>
  </si>
  <si>
    <t>784403801R00</t>
  </si>
  <si>
    <t>Odstranění maleb (stěna, strop) oškrabáním, omytím v místnosti H do 3,8 m</t>
  </si>
  <si>
    <t>784_</t>
  </si>
  <si>
    <t>školník chodba (stěny)</t>
  </si>
  <si>
    <t>28,8</t>
  </si>
  <si>
    <t>školník chodba (strop)</t>
  </si>
  <si>
    <t>25,81+35,67</t>
  </si>
  <si>
    <t>chodb 1, 2 učebny (strop)</t>
  </si>
  <si>
    <t>chodba 2 učebny (stěny)</t>
  </si>
  <si>
    <t>56,65</t>
  </si>
  <si>
    <t>školník pokoj 1</t>
  </si>
  <si>
    <t>školník pokoj 2</t>
  </si>
  <si>
    <t>chodba 1 učebny (stěny)</t>
  </si>
  <si>
    <t>35,5</t>
  </si>
  <si>
    <t>školník kuchyň</t>
  </si>
  <si>
    <t>2,5*2,85+2,7*2,85</t>
  </si>
  <si>
    <t>86,6-5,85*2,85</t>
  </si>
  <si>
    <t>138,25-13,98</t>
  </si>
  <si>
    <t>m.č.1.15, 1.16, 1.17</t>
  </si>
  <si>
    <t>263</t>
  </si>
  <si>
    <t>784403805R00</t>
  </si>
  <si>
    <t>Odstranění maleb oškrabáním, omytím, schodiště H do 5 m</t>
  </si>
  <si>
    <t>264</t>
  </si>
  <si>
    <t>784111701R00</t>
  </si>
  <si>
    <t>Penetrace podkladu 1x - SDK desky, štukové omítky (stropy,stěny)</t>
  </si>
  <si>
    <t>456,04+13,16+1,83+13,34</t>
  </si>
  <si>
    <t>stěny omítky 1PP</t>
  </si>
  <si>
    <t>898,90</t>
  </si>
  <si>
    <t>stěny omítky 1NP</t>
  </si>
  <si>
    <t>12,05</t>
  </si>
  <si>
    <t>omítky schodiště</t>
  </si>
  <si>
    <t>strop omítka 1PP</t>
  </si>
  <si>
    <t>161,9+12,47+0,86</t>
  </si>
  <si>
    <t>strop SDK 1PP</t>
  </si>
  <si>
    <t>95,01</t>
  </si>
  <si>
    <t>strop omítka 1NP</t>
  </si>
  <si>
    <t>345,78</t>
  </si>
  <si>
    <t>strop SDK 1NP</t>
  </si>
  <si>
    <t>94,20</t>
  </si>
  <si>
    <t>stěny SDK 1NP</t>
  </si>
  <si>
    <t>265</t>
  </si>
  <si>
    <t>784195212R00</t>
  </si>
  <si>
    <t>Malba SDK desek, štuk.omítek barvou tekutou, bílá, 2 x (stěny, strop) - 1/2 plochy</t>
  </si>
  <si>
    <t>barva se zvýšenou otěruvzdorností (odolnost proti oděru za mokra dle ČSN EN 13300 - třída 3); ekvivalent difuz.tloušťka Sd max.0,1m</t>
  </si>
  <si>
    <t>2109,85/2</t>
  </si>
  <si>
    <t>bílá</t>
  </si>
  <si>
    <t>266</t>
  </si>
  <si>
    <t>784195222R00</t>
  </si>
  <si>
    <t>Malba SDK desek, štuk.omítek barvou tekutou, barva, 2 x (stěny, strop) - 1/2 plochy</t>
  </si>
  <si>
    <t>barva se zvýšenou otěruvzdorností (odolnost proti oděru za mokra dle ČSN EN 13300 - třída 3)); ekvivalent difuz.tloušťka Sd max.0,1m</t>
  </si>
  <si>
    <t>barva</t>
  </si>
  <si>
    <t>Ostatní konstrukce a práce PSV</t>
  </si>
  <si>
    <t>267</t>
  </si>
  <si>
    <t>799.001</t>
  </si>
  <si>
    <t>Montáž vnitřního vybavení vč.dopravy a přesunu pracovníků</t>
  </si>
  <si>
    <t>soubor</t>
  </si>
  <si>
    <t>79_</t>
  </si>
  <si>
    <t>01_79_</t>
  </si>
  <si>
    <t>šatní skříňky, lavičky, stojany na kola</t>
  </si>
  <si>
    <t>268</t>
  </si>
  <si>
    <t>55711103</t>
  </si>
  <si>
    <t>Jednodílná šatní skříňka kov.300x500mm (šx hl.), v=1850mm, sokl výšky 150mm,1x ocel.polička s tyčkou, 3x háček, povrch.úprava prášk.barva</t>
  </si>
  <si>
    <t>269</t>
  </si>
  <si>
    <t>55711104</t>
  </si>
  <si>
    <t>Dvojskříňka šatní kov.600x500mm (šx hl.), v=1850mm, sokl výšky 150mm,každý s oddílů-1x ocel.poličkas tyčkou, 3x háček,  povrch.úprava prášk.barva</t>
  </si>
  <si>
    <t>270</t>
  </si>
  <si>
    <t>74910307</t>
  </si>
  <si>
    <t>Lavička do prostoru bez opěradla 400x 450x1200mm (hl.x vx dl.) ocel nosná kce z profilů 25x25mm, povrchová úpravy prášk.barvou</t>
  </si>
  <si>
    <t>271</t>
  </si>
  <si>
    <t>799.002</t>
  </si>
  <si>
    <t>Stojan na kola - E4</t>
  </si>
  <si>
    <t>podrobná specifikace viz výpis ostatních výrobků</t>
  </si>
  <si>
    <t>272</t>
  </si>
  <si>
    <t>799.003</t>
  </si>
  <si>
    <t>Nájezdová rampa přenosná, teleskopická a sklopná D+M - E1</t>
  </si>
  <si>
    <t>273</t>
  </si>
  <si>
    <t>799.004</t>
  </si>
  <si>
    <t>Dod. +mont. ZTP madla pevného - E2</t>
  </si>
  <si>
    <t>274</t>
  </si>
  <si>
    <t>Dod. +mont. ZTP madla sklopné - E3</t>
  </si>
  <si>
    <t>275</t>
  </si>
  <si>
    <t>Revizní dvířkado SDK podhledu 600x600mm  D+M - E5</t>
  </si>
  <si>
    <t>276</t>
  </si>
  <si>
    <t>Revizní dvířka do SDK předstěny 600x1200mm  D+M - E6</t>
  </si>
  <si>
    <t>Potrubí z trub plastických, skleněných a čedičových</t>
  </si>
  <si>
    <t>277</t>
  </si>
  <si>
    <t>841990140RAB</t>
  </si>
  <si>
    <t>Příplatek za trasu v komunikaci asfaltobetonové - odstranění a opětovné zřízení</t>
  </si>
  <si>
    <t>87_</t>
  </si>
  <si>
    <t>01_8_</t>
  </si>
  <si>
    <t>šířka rýhy 80 cm</t>
  </si>
  <si>
    <t>10,5+1,7</t>
  </si>
  <si>
    <t>278</t>
  </si>
  <si>
    <t>831350012RAA</t>
  </si>
  <si>
    <t>Kanalizace z trub PVC hrdlových D 160 mm vč.tvarovek</t>
  </si>
  <si>
    <t>hloubka 2,0 m vč.zemních prací a odvozuá přebytečné zeminy do 6 km</t>
  </si>
  <si>
    <t>3,3+5,75+1,4</t>
  </si>
  <si>
    <t>279</t>
  </si>
  <si>
    <t>831350111RA0</t>
  </si>
  <si>
    <t>Kanalizace z trub PVC, DN 100 mm</t>
  </si>
  <si>
    <t>1,1+0,6</t>
  </si>
  <si>
    <t>Ostatní konstrukce a práce na trubním vedení</t>
  </si>
  <si>
    <t>280</t>
  </si>
  <si>
    <t>899332111R00</t>
  </si>
  <si>
    <t>Výšková úprava vstupu do 20 cm -čerpací šachta - snížení/zvýšení poklopu</t>
  </si>
  <si>
    <t>89_</t>
  </si>
  <si>
    <t>čerpací šachta m.č.0.08</t>
  </si>
  <si>
    <t>281</t>
  </si>
  <si>
    <t>953171001.1</t>
  </si>
  <si>
    <t>Dod.+mont hliníkového poklopu 600x600m vč rámu a ůpravy povrchu keram dlaždicemi</t>
  </si>
  <si>
    <t>282</t>
  </si>
  <si>
    <t>894431311.001</t>
  </si>
  <si>
    <t>Šachta filtrační plast, s přepadem D 425 mm, hl.šachty do 1,5m</t>
  </si>
  <si>
    <t>korugovaná roura se dnem, 1x filtrační koš, 2x spojka in-situ DN160, 1xspojka in-situ DN110, poklop plast 1,5 t</t>
  </si>
  <si>
    <t>Doplňující konstrukce a práce na pozemních komunikacích a zpevněných plochách</t>
  </si>
  <si>
    <t>283</t>
  </si>
  <si>
    <t>917862111R00</t>
  </si>
  <si>
    <t>Osazení stojat. obrub.bet. s opěrou,lože z C 12/15</t>
  </si>
  <si>
    <t>91_</t>
  </si>
  <si>
    <t>01_9_</t>
  </si>
  <si>
    <t>1,0*2+2,25</t>
  </si>
  <si>
    <t>284</t>
  </si>
  <si>
    <t>59217421</t>
  </si>
  <si>
    <t>Obrubník chodníkový ABO 14-10 1000/100/250</t>
  </si>
  <si>
    <t>285</t>
  </si>
  <si>
    <t>917932131RT2</t>
  </si>
  <si>
    <t>Osazení betonové prefa přídlažby do lože z C20/25</t>
  </si>
  <si>
    <t>včetně dodávky silniční přídlažby</t>
  </si>
  <si>
    <t>3,2</t>
  </si>
  <si>
    <t>Lešení a stavební výtahy</t>
  </si>
  <si>
    <t>286</t>
  </si>
  <si>
    <t>941955002R00</t>
  </si>
  <si>
    <t>Lešení lehké pomocné, výška podlahy do 1,9 m</t>
  </si>
  <si>
    <t>94_</t>
  </si>
  <si>
    <t>287</t>
  </si>
  <si>
    <t>941955003R00</t>
  </si>
  <si>
    <t>Lešení lehké pomocné, výška podlahy do 2,5 m</t>
  </si>
  <si>
    <t>Různé dokončovací konstrukce a práce na pozemních stavbách</t>
  </si>
  <si>
    <t>288</t>
  </si>
  <si>
    <t>952901111R00</t>
  </si>
  <si>
    <t>Vyčištění budov o výšce podlaží do 4 m</t>
  </si>
  <si>
    <t>95_</t>
  </si>
  <si>
    <t>326,6</t>
  </si>
  <si>
    <t>298,41+93,71</t>
  </si>
  <si>
    <t>67,90</t>
  </si>
  <si>
    <t>1NP chodba učebny</t>
  </si>
  <si>
    <t>289</t>
  </si>
  <si>
    <t>953941312R00</t>
  </si>
  <si>
    <t>Osazení požárního hasicího přístroje na stěnu</t>
  </si>
  <si>
    <t>290</t>
  </si>
  <si>
    <t>44984114</t>
  </si>
  <si>
    <t>Přístroj hasicí práškový přenosný s hasící schopností 21A</t>
  </si>
  <si>
    <t>291</t>
  </si>
  <si>
    <t>953941319.001</t>
  </si>
  <si>
    <t>Dod.+mont informačních, bezpečnostních a výstražnýxh značek</t>
  </si>
  <si>
    <t>kompl.</t>
  </si>
  <si>
    <t>viz zpráva PBŘ</t>
  </si>
  <si>
    <t>292</t>
  </si>
  <si>
    <t>953981102.001</t>
  </si>
  <si>
    <t>Chemické kotvy do betonu, kotevní hl. 160 mm, M 10, chemická malta D+M</t>
  </si>
  <si>
    <t>8*4</t>
  </si>
  <si>
    <t>293</t>
  </si>
  <si>
    <t>953981303R00</t>
  </si>
  <si>
    <t>Chemické kotvy, cihly, kotvení hl.min 130 mm, M12, chemická malta D+M</t>
  </si>
  <si>
    <t>kotvení vaznic</t>
  </si>
  <si>
    <t>Bourání konstrukcí</t>
  </si>
  <si>
    <t>294</t>
  </si>
  <si>
    <t>962031116R00</t>
  </si>
  <si>
    <t>Bourání příček z cihel pálených plných tl. 140 mm</t>
  </si>
  <si>
    <t>96_</t>
  </si>
  <si>
    <t>5,85*3,25</t>
  </si>
  <si>
    <t>295</t>
  </si>
  <si>
    <t>962081131R00</t>
  </si>
  <si>
    <t>Bourání příček ze skleněných tvárnic tl. 10 cm</t>
  </si>
  <si>
    <t>2,05*3,12-0,9*2,02</t>
  </si>
  <si>
    <t>296</t>
  </si>
  <si>
    <t>962032231R00</t>
  </si>
  <si>
    <t>Bourání zdiva z cihel pálených na MVC</t>
  </si>
  <si>
    <t>2,64*2,5*0,82</t>
  </si>
  <si>
    <t>chodba-m.č.1.01</t>
  </si>
  <si>
    <t>2,18*2,98*0,82</t>
  </si>
  <si>
    <t>chodba-m.č.1,06</t>
  </si>
  <si>
    <t>0,5*0,15*1,5</t>
  </si>
  <si>
    <t>přizdívka m.č.1.04</t>
  </si>
  <si>
    <t>1,85*0,15*1,2</t>
  </si>
  <si>
    <t>přizdívka koupelna byt školník</t>
  </si>
  <si>
    <t>297</t>
  </si>
  <si>
    <t>968061125R00</t>
  </si>
  <si>
    <t>Vyvěšení dřevěných dveřních křídel pl. do 2 m2</t>
  </si>
  <si>
    <t>298</t>
  </si>
  <si>
    <t>968072455R00</t>
  </si>
  <si>
    <t>Vybourání kovových dveřních zárubní pl. do 2 m2</t>
  </si>
  <si>
    <t>8*0,9*1,97+1*0,8*1,97</t>
  </si>
  <si>
    <t>299</t>
  </si>
  <si>
    <t>968062455R00</t>
  </si>
  <si>
    <t>Vybourání dřevěných dveřních zárubní pl. do 2 m2</t>
  </si>
  <si>
    <t>0,6*2,0</t>
  </si>
  <si>
    <t>300</t>
  </si>
  <si>
    <t>968061112R00</t>
  </si>
  <si>
    <t>Vyvěšení dřevěných a plast. okenních křídel pl. do 1,5 m2</t>
  </si>
  <si>
    <t>301</t>
  </si>
  <si>
    <t>968061113R00</t>
  </si>
  <si>
    <t>Vyvěšení dřevěných a plast. okenních křídel pl. nad 1,5 m2</t>
  </si>
  <si>
    <t>302</t>
  </si>
  <si>
    <t>968062357R00</t>
  </si>
  <si>
    <t>Vybourání dřevěných a plast. rámů oken nad  4 m2</t>
  </si>
  <si>
    <t>2,97*2,05</t>
  </si>
  <si>
    <t>303</t>
  </si>
  <si>
    <t>965081723.001</t>
  </si>
  <si>
    <t>Bourání dlažeb kamenin. tl. do 25 mm, pl.nad 1 m2</t>
  </si>
  <si>
    <t xml:space="preserve"> 10% ke zpětnému použití</t>
  </si>
  <si>
    <t>chodba-náhrada poškozených míst (předpoklad)</t>
  </si>
  <si>
    <t>17,8</t>
  </si>
  <si>
    <t>61,4</t>
  </si>
  <si>
    <t>v místě nových hyg. zařízení</t>
  </si>
  <si>
    <t>7,27</t>
  </si>
  <si>
    <t>část m.č.1.06 (původní chodba)</t>
  </si>
  <si>
    <t>33,23</t>
  </si>
  <si>
    <t>chodba byt školníka</t>
  </si>
  <si>
    <t>304</t>
  </si>
  <si>
    <t>965081802R00</t>
  </si>
  <si>
    <t>Bourání soklíků z dlažeb tl.do 2,5cn</t>
  </si>
  <si>
    <t>101,70</t>
  </si>
  <si>
    <t>305</t>
  </si>
  <si>
    <t>965043341RT3</t>
  </si>
  <si>
    <t>Bourání podkladů bet., potěr tl. 10 cm, nad 4 m2</t>
  </si>
  <si>
    <t>maltové lože kamenin.dlažba</t>
  </si>
  <si>
    <t>162,9*0,025</t>
  </si>
  <si>
    <t>306</t>
  </si>
  <si>
    <t>965041341R00</t>
  </si>
  <si>
    <t>Bourání lehčených mazanin škvárobeton. tl. 10 cm, nad 4 m2</t>
  </si>
  <si>
    <t>(162.9-5,0)*0,05</t>
  </si>
  <si>
    <t>307</t>
  </si>
  <si>
    <t>965082933R00</t>
  </si>
  <si>
    <t>Odstranění násypu tl. do 20 cm, plocha nad 2 m2</t>
  </si>
  <si>
    <t>308</t>
  </si>
  <si>
    <t>965081713R00</t>
  </si>
  <si>
    <t>Bourání dlažeb keramických tl.10 mm, nad 1 m2</t>
  </si>
  <si>
    <t>15,9+4,8+3,52</t>
  </si>
  <si>
    <t>část m.č.1,05</t>
  </si>
  <si>
    <t>6,45</t>
  </si>
  <si>
    <t>309</t>
  </si>
  <si>
    <t>965081702R00</t>
  </si>
  <si>
    <t>Bourání soklíků z dlažeb keramických</t>
  </si>
  <si>
    <t>16,5</t>
  </si>
  <si>
    <t>310</t>
  </si>
  <si>
    <t>967031733R00</t>
  </si>
  <si>
    <t>Přisekání plošné zdiva cihelného na MVC tl. 15 cm</t>
  </si>
  <si>
    <t>0,7*1,05</t>
  </si>
  <si>
    <t>rozvaděč 1NP</t>
  </si>
  <si>
    <t>311</t>
  </si>
  <si>
    <t>967031734R00</t>
  </si>
  <si>
    <t>Přisekání plošné zdiva cihelného na MVC tl. 30 cm</t>
  </si>
  <si>
    <t>0,65*0,65*3</t>
  </si>
  <si>
    <t>hydranty 1PP, 1NP</t>
  </si>
  <si>
    <t>312</t>
  </si>
  <si>
    <t>965043341R00</t>
  </si>
  <si>
    <t>Bourání podkladů bet., potěr, stěrka tl. do 10 cm, nad 4 m2</t>
  </si>
  <si>
    <t>potěr předpokl tl.30mm</t>
  </si>
  <si>
    <t>18,53*0,03</t>
  </si>
  <si>
    <t>313</t>
  </si>
  <si>
    <t>965042141R00</t>
  </si>
  <si>
    <t>Bourání mazanin betonových tl. 10 cm, nad 4 m2</t>
  </si>
  <si>
    <t>2,22*2,01*0,1</t>
  </si>
  <si>
    <t>4,9*0,06</t>
  </si>
  <si>
    <t>314</t>
  </si>
  <si>
    <t>965048150R00</t>
  </si>
  <si>
    <t>Dočištění povrchu po vybourání dlažeb, tmel tl.3-5mm</t>
  </si>
  <si>
    <t>15,9+3,52</t>
  </si>
  <si>
    <t>kuchyň+spíž (byt školníka)</t>
  </si>
  <si>
    <t>315</t>
  </si>
  <si>
    <t>963051113R00</t>
  </si>
  <si>
    <t>Bourání ŽB stropů deskových tl. nad 8 cm</t>
  </si>
  <si>
    <t>0,15*(2,78+0,3)*(3,08+0,3)</t>
  </si>
  <si>
    <t>prostor pro nové schodiště</t>
  </si>
  <si>
    <t>316</t>
  </si>
  <si>
    <t>965042241RT1</t>
  </si>
  <si>
    <t>Bourání mazanin betonových tl. nad 10 cm, nad 4 m2</t>
  </si>
  <si>
    <t>7,0*0,6*0,13</t>
  </si>
  <si>
    <t>podkl.beton napojení kanal.WC imobilní</t>
  </si>
  <si>
    <t>317</t>
  </si>
  <si>
    <t>965049111RT1</t>
  </si>
  <si>
    <t>Příplatek, bourání mazanin se svař. síťí tl. 10 cm (jednostranná výztuž svařovanou sítí)</t>
  </si>
  <si>
    <t>podlaha napojení kanal.WC imobilní</t>
  </si>
  <si>
    <t>318</t>
  </si>
  <si>
    <t>965048515R00</t>
  </si>
  <si>
    <t>Broušení betonových povrchů do tl. 5 mm</t>
  </si>
  <si>
    <t>odstr.vyrovnávací stěrky</t>
  </si>
  <si>
    <t>m.č.1,04</t>
  </si>
  <si>
    <t>Prorážení otvorů a ostatní bourací práce</t>
  </si>
  <si>
    <t>319</t>
  </si>
  <si>
    <t>971033381R00</t>
  </si>
  <si>
    <t>Vybourání otv. zeď cihel. pl.0,09 m2, tl.90cm, MVC</t>
  </si>
  <si>
    <t>97_</t>
  </si>
  <si>
    <t>VZT 1PP</t>
  </si>
  <si>
    <t>320</t>
  </si>
  <si>
    <t>971033581R00</t>
  </si>
  <si>
    <t>Vybourání otv. zeď cihel. pl.1 m2, tl.90 cm, MVC</t>
  </si>
  <si>
    <t>(0,4)*2,2*0,81</t>
  </si>
  <si>
    <t>m.č.1.03,1.04</t>
  </si>
  <si>
    <t>0,6*1,55*0,4</t>
  </si>
  <si>
    <t>321</t>
  </si>
  <si>
    <t>971033591R00</t>
  </si>
  <si>
    <t>Vybourání otv. zeď cihel. pl.1 m2, nad 90cm, MVC</t>
  </si>
  <si>
    <t>1*0,6*0,6*1,05</t>
  </si>
  <si>
    <t>výfuk VZT 1PP</t>
  </si>
  <si>
    <t>322</t>
  </si>
  <si>
    <t>971033681R00</t>
  </si>
  <si>
    <t>Vybourání otv. zeď cihel. pl.4 m2, tl.90 cm, MVC</t>
  </si>
  <si>
    <t>1,1*2,2*0,81</t>
  </si>
  <si>
    <t>m.č1.06-1.04</t>
  </si>
  <si>
    <t>0,56*2,2*0,81</t>
  </si>
  <si>
    <t>m.č.1.03-1.04</t>
  </si>
  <si>
    <t>1,15*2,61*0,8</t>
  </si>
  <si>
    <t>1,1*2,2*0,8</t>
  </si>
  <si>
    <t>m.č.1.16-chodba</t>
  </si>
  <si>
    <t>m.č.1.17-chodba</t>
  </si>
  <si>
    <t>323</t>
  </si>
  <si>
    <t>973031325R00</t>
  </si>
  <si>
    <t>Vysekání kapes zeď cihel. MVC, pl. 0,1m2, hl. 30cm</t>
  </si>
  <si>
    <t>324</t>
  </si>
  <si>
    <t>974031164R00</t>
  </si>
  <si>
    <t>Vysekání rýh ve zdi cihelné 15 x 15 cm</t>
  </si>
  <si>
    <t xml:space="preserve">uložení ŽB desek schodiště
</t>
  </si>
  <si>
    <t>1,51*2+1,35*2</t>
  </si>
  <si>
    <t>325</t>
  </si>
  <si>
    <t>974031664R00</t>
  </si>
  <si>
    <t>Vysekání rýh zeď cihelná vtah. nosníků 15 x 15 cm</t>
  </si>
  <si>
    <t>2*0,9*2</t>
  </si>
  <si>
    <t>P.1</t>
  </si>
  <si>
    <t>2*0,9*3</t>
  </si>
  <si>
    <t>1*1,25*1</t>
  </si>
  <si>
    <t>326</t>
  </si>
  <si>
    <t>974031666R00</t>
  </si>
  <si>
    <t>Vysekání rýh zeď cihelná vtah. nosníků 15 x 25 cm</t>
  </si>
  <si>
    <t>6*1,5*4</t>
  </si>
  <si>
    <t>6*2,4*1</t>
  </si>
  <si>
    <t>6*2,7*1</t>
  </si>
  <si>
    <t>6*3,15*1</t>
  </si>
  <si>
    <t>327</t>
  </si>
  <si>
    <t>973031812R00</t>
  </si>
  <si>
    <t>Vysekání kapes pro zavázání příček tl. 10 cm</t>
  </si>
  <si>
    <t>2*3,30</t>
  </si>
  <si>
    <t>2*3,25</t>
  </si>
  <si>
    <t>328</t>
  </si>
  <si>
    <t>973031813R00</t>
  </si>
  <si>
    <t>Vysekání kapes pro zavázání příček tl. 15 cm</t>
  </si>
  <si>
    <t>1*1,7</t>
  </si>
  <si>
    <t>5*3,25+2*2,2</t>
  </si>
  <si>
    <t>329</t>
  </si>
  <si>
    <t>970241100R00</t>
  </si>
  <si>
    <t>Řezání prostého betonu hl. řezu 100 mm</t>
  </si>
  <si>
    <t>2,01</t>
  </si>
  <si>
    <t>úklid.místn.1.PP</t>
  </si>
  <si>
    <t>330</t>
  </si>
  <si>
    <t>978059531R00</t>
  </si>
  <si>
    <t>Odsekání vnitřních obkladů stěn nad 2 m2</t>
  </si>
  <si>
    <t>19,6</t>
  </si>
  <si>
    <t>(0,5+1)*1,5</t>
  </si>
  <si>
    <t>331</t>
  </si>
  <si>
    <t>978013191R00</t>
  </si>
  <si>
    <t>Otlučení omítek vnitřních stěn v rozsahu do 100 %</t>
  </si>
  <si>
    <t>v místě pořizdívky nové schodiště</t>
  </si>
  <si>
    <t>57,71</t>
  </si>
  <si>
    <t>obklaby na stávajících stěnách</t>
  </si>
  <si>
    <t>13,1*0,1+22,35*0,15</t>
  </si>
  <si>
    <t>napojení příček na stávajíoí zdivo</t>
  </si>
  <si>
    <t>332</t>
  </si>
  <si>
    <t>919735.001</t>
  </si>
  <si>
    <t>Řezání stávajících keramických dlažed tl.do 15mm</t>
  </si>
  <si>
    <t>odstranění dlažem m.č.1.15, 1.16, 1.17</t>
  </si>
  <si>
    <t>15,8</t>
  </si>
  <si>
    <t>333</t>
  </si>
  <si>
    <t>970041200R00</t>
  </si>
  <si>
    <t>Vrtání jádrové do prostého betonu do D 200 mm</t>
  </si>
  <si>
    <t>0,9</t>
  </si>
  <si>
    <t>334</t>
  </si>
  <si>
    <t>970251100R00</t>
  </si>
  <si>
    <t>Řezání železobetonu hl. řezu 100 mm (beton mazaniva s výztuží kari sítí)</t>
  </si>
  <si>
    <t>7,4*2+1*2</t>
  </si>
  <si>
    <t>335</t>
  </si>
  <si>
    <t>970251150R00</t>
  </si>
  <si>
    <t>Řezání železobetonu hl. řezu 150 mm (beton mazaniva s výztuží kari sítí)</t>
  </si>
  <si>
    <t>7,0*2+0,6*2</t>
  </si>
  <si>
    <t>336</t>
  </si>
  <si>
    <t>978015291R00</t>
  </si>
  <si>
    <t>Otlučení omítek vnějších MVC v složit.1-4 do 100 %</t>
  </si>
  <si>
    <t>kamenin.obklad (generovaná výměra)</t>
  </si>
  <si>
    <t>337</t>
  </si>
  <si>
    <t>978036191R00</t>
  </si>
  <si>
    <t>Otlučení omítek břízolitových v rozsahu 100 %</t>
  </si>
  <si>
    <t>338</t>
  </si>
  <si>
    <t>978059611.001</t>
  </si>
  <si>
    <t>Odsekání vnějších obkladů stěn k dalšímu použití (min.60%)</t>
  </si>
  <si>
    <t>1,8*1,25</t>
  </si>
  <si>
    <t>339</t>
  </si>
  <si>
    <t>979054442.001</t>
  </si>
  <si>
    <t>Očištění vybouraných dlaždic k dalšímu použití</t>
  </si>
  <si>
    <t>1,4</t>
  </si>
  <si>
    <t>340</t>
  </si>
  <si>
    <t>979900.001</t>
  </si>
  <si>
    <t>Provedení sondy v ŽB podkladní betonové mazanině tl.do 150mm. Velikost sondy 30x 30cm</t>
  </si>
  <si>
    <t>zjištění základu schodiště</t>
  </si>
  <si>
    <t>H99</t>
  </si>
  <si>
    <t>Ostatní přesuny hmot</t>
  </si>
  <si>
    <t>341</t>
  </si>
  <si>
    <t>999281105R00</t>
  </si>
  <si>
    <t>Přesun hmot pro opravy a údržbu do výšky 6 m</t>
  </si>
  <si>
    <t>H99_</t>
  </si>
  <si>
    <t>236,48</t>
  </si>
  <si>
    <t>M43</t>
  </si>
  <si>
    <t>Montáže ocelových konstrukcí</t>
  </si>
  <si>
    <t>342</t>
  </si>
  <si>
    <t>430100.001</t>
  </si>
  <si>
    <t>Výrobní dokumentace-ocelová konstrukce zastřešení vstupu do šaten</t>
  </si>
  <si>
    <t>M43_</t>
  </si>
  <si>
    <t>343</t>
  </si>
  <si>
    <t>430861003R00</t>
  </si>
  <si>
    <t>Dod.+mont. ocelové konstrukce zastřešení vstupu šatny</t>
  </si>
  <si>
    <t xml:space="preserve">hmotnost konstrukce - 543 kg
svary a spojovací materiál - 5% (27kg)
drobný materiál - 11% (60kg)
</t>
  </si>
  <si>
    <t>543+27+60</t>
  </si>
  <si>
    <t>Hodinové zúčtovací sazby (HZS) Slaboproud</t>
  </si>
  <si>
    <t>344</t>
  </si>
  <si>
    <t>900      R02</t>
  </si>
  <si>
    <t>HZS - zednické výpomoci související s pracemi PSV (ZTI, UT, VZT, elektro)</t>
  </si>
  <si>
    <t>h</t>
  </si>
  <si>
    <t>90_</t>
  </si>
  <si>
    <t>stavební dělník v tarifní třídě 5 - zazdění, zaomítání rýh, kapes a drážek.; zazdění, zabetonování konzol, závěsů a objímek. zazdění a zabetonování pr</t>
  </si>
  <si>
    <t>345</t>
  </si>
  <si>
    <t>589001</t>
  </si>
  <si>
    <t>Podružný materiál zednických výpomocí (malty, zdící materiál,beton)</t>
  </si>
  <si>
    <t>346</t>
  </si>
  <si>
    <t>900      R01</t>
  </si>
  <si>
    <t>HZS-neměřitelné práce spojené s bouráním o odtsraněním stávajících a skrytých kcí</t>
  </si>
  <si>
    <t>stavební dělník v tarifní třídě 4</t>
  </si>
  <si>
    <t>347</t>
  </si>
  <si>
    <t>HZS- odstranění konstrukce provizorního zastřešení vstupu do šaten</t>
  </si>
  <si>
    <t>2 pracovníci á 6 hod</t>
  </si>
  <si>
    <t>S</t>
  </si>
  <si>
    <t>Přesuny sutí</t>
  </si>
  <si>
    <t>348</t>
  </si>
  <si>
    <t>979081111R00</t>
  </si>
  <si>
    <t>Odvoz suti a vybour. hmot na skládku do 1 km</t>
  </si>
  <si>
    <t>S_</t>
  </si>
  <si>
    <t>Včetně naložení na dopravní prostředek a složení na skládce, bez poplatku za skládku.</t>
  </si>
  <si>
    <t>128,64</t>
  </si>
  <si>
    <t>stavební část</t>
  </si>
  <si>
    <t>profese elektro</t>
  </si>
  <si>
    <t>provese ZTI, plyn, UT, VZT</t>
  </si>
  <si>
    <t>349</t>
  </si>
  <si>
    <t>979081121R00</t>
  </si>
  <si>
    <t>Příplatek k odvozu za každý další 1 km 5x (celkem 6 km)</t>
  </si>
  <si>
    <t>5*140,64</t>
  </si>
  <si>
    <t>350</t>
  </si>
  <si>
    <t>979082111R00</t>
  </si>
  <si>
    <t>Vnitrostaveništní doprava suti do 10 m</t>
  </si>
  <si>
    <t>140,64</t>
  </si>
  <si>
    <t>351</t>
  </si>
  <si>
    <t>979082121R00</t>
  </si>
  <si>
    <t>Příplatek k vnitrost. dopravě suti za dalších 5 m (3x)</t>
  </si>
  <si>
    <t>3*140,64</t>
  </si>
  <si>
    <t>352</t>
  </si>
  <si>
    <t>979990107.01</t>
  </si>
  <si>
    <t>Poplatek za uložení suti - směsné stavební a demoliční suti bez obsahu nebezpečných látek skupina odpadu 170904</t>
  </si>
  <si>
    <t>353</t>
  </si>
  <si>
    <t>131213701</t>
  </si>
  <si>
    <t>Hloubení nezapažených jam v soudržných horninách třídy těžitelnosti I skupiny 3 ručně</t>
  </si>
  <si>
    <t>02_1_</t>
  </si>
  <si>
    <t>02_</t>
  </si>
  <si>
    <t>354</t>
  </si>
  <si>
    <t>132212121</t>
  </si>
  <si>
    <t>Hloubení zapažených rýh šířky do 800 mm v soudržných horninách třídy těžitelnosti I skupiny 3 ručně</t>
  </si>
  <si>
    <t>355</t>
  </si>
  <si>
    <t>132251102</t>
  </si>
  <si>
    <t>Hloubení rýh nezapažených  š do 800 mm v hornině třídy těžitelnosti I, skupiny 3 objem do 50 m3 strojně</t>
  </si>
  <si>
    <t>356</t>
  </si>
  <si>
    <t>167151101</t>
  </si>
  <si>
    <t>Nakládání výkopku z hornin třídy těžitelnosti I, skupiny 1 až 3 do 100 m3</t>
  </si>
  <si>
    <t>357</t>
  </si>
  <si>
    <t>171201231</t>
  </si>
  <si>
    <t>Poplatek za uložení zeminy a kamení na recyklační skládce (skládkovné) kód odpadu 17 05 04</t>
  </si>
  <si>
    <t>358</t>
  </si>
  <si>
    <t>175111101</t>
  </si>
  <si>
    <t>Obsypání potrubí ručně sypaninou bez prohození, uloženou do 3 m</t>
  </si>
  <si>
    <t>359</t>
  </si>
  <si>
    <t>583331351</t>
  </si>
  <si>
    <t>kamenivo těžené drobné tříděné frakce 0-4</t>
  </si>
  <si>
    <t>360</t>
  </si>
  <si>
    <t>175151101</t>
  </si>
  <si>
    <t>Obsypání potrubí strojně sypaninou bez prohození, uloženou do 3 m</t>
  </si>
  <si>
    <t>361</t>
  </si>
  <si>
    <t>713463111</t>
  </si>
  <si>
    <t>Montáž izolace tepelné potrubí potrubními pouzdry bez úpravy staženými drátem 1x D do 100 mm</t>
  </si>
  <si>
    <t>02_71_</t>
  </si>
  <si>
    <t>362</t>
  </si>
  <si>
    <t>28377119</t>
  </si>
  <si>
    <t>pouzdro izolační potrubní z pěnového polyetylenu 45/13mm</t>
  </si>
  <si>
    <t>363</t>
  </si>
  <si>
    <t>28377123</t>
  </si>
  <si>
    <t>pouzdro izolační potrubní z pěnového polyetylenu 54/13mm</t>
  </si>
  <si>
    <t>364</t>
  </si>
  <si>
    <t>713463112</t>
  </si>
  <si>
    <t>Montáž izolace tepelné potrubí potrubními pouzdry bez úpravy staženými drátem 1x D přes 100 mm</t>
  </si>
  <si>
    <t>365</t>
  </si>
  <si>
    <t>28377078</t>
  </si>
  <si>
    <t>pouzdro izolační potrubní z pěnového polyetylenu 110/13mm</t>
  </si>
  <si>
    <t>721</t>
  </si>
  <si>
    <t>Vnitřní kanalizace</t>
  </si>
  <si>
    <t>366</t>
  </si>
  <si>
    <t>721173401</t>
  </si>
  <si>
    <t>Potrubí kanalizační z PVC SN 4 svodné DN 110</t>
  </si>
  <si>
    <t>721_</t>
  </si>
  <si>
    <t>02_72_</t>
  </si>
  <si>
    <t>367</t>
  </si>
  <si>
    <t>721173403</t>
  </si>
  <si>
    <t>Potrubí kanalizační z PVC SN 4 svodné DN 160</t>
  </si>
  <si>
    <t>výměna stávajícího svodného potrubí pod nepodsklepenou částí, protažení stávajícím betonovým potrubím vč.napojení na stávající vedení</t>
  </si>
  <si>
    <t>368</t>
  </si>
  <si>
    <t>721174025</t>
  </si>
  <si>
    <t>Potrubí kanalizační z PP odpadní systém HT DN 100</t>
  </si>
  <si>
    <t>369</t>
  </si>
  <si>
    <t>721174042</t>
  </si>
  <si>
    <t>Potrubí kanalizační z PP připojovací systém HT DN 40</t>
  </si>
  <si>
    <t>370</t>
  </si>
  <si>
    <t>721174043</t>
  </si>
  <si>
    <t>Potrubí kanalizační z PP připojovací systém HT DN 50</t>
  </si>
  <si>
    <t>371</t>
  </si>
  <si>
    <t>721174045</t>
  </si>
  <si>
    <t>Potrubí kanalizační z PP připojovací systém HT DN 100</t>
  </si>
  <si>
    <t>372</t>
  </si>
  <si>
    <t>721194104</t>
  </si>
  <si>
    <t>Vyvedení a upevnění odpadních výpustek DN 40</t>
  </si>
  <si>
    <t>373</t>
  </si>
  <si>
    <t>721194105</t>
  </si>
  <si>
    <t>Vyvedení a upevnění odpadních výpustek DN 50</t>
  </si>
  <si>
    <t>374</t>
  </si>
  <si>
    <t>721194109</t>
  </si>
  <si>
    <t>Vyvedení a upevnění odpadních výpustek DN 100</t>
  </si>
  <si>
    <t>375</t>
  </si>
  <si>
    <t>7212265111</t>
  </si>
  <si>
    <t>Zápachová uzávěrka nástěnná kontrolovatelná pro OV</t>
  </si>
  <si>
    <t>376</t>
  </si>
  <si>
    <t>7212265121</t>
  </si>
  <si>
    <t>Zápachová uzávěrka podomítková pro VZT</t>
  </si>
  <si>
    <t>377</t>
  </si>
  <si>
    <t>721274126</t>
  </si>
  <si>
    <t>Přivzdušňovací ventil vnitřní odpadních potrubí DN 110</t>
  </si>
  <si>
    <t>378</t>
  </si>
  <si>
    <t>721290111</t>
  </si>
  <si>
    <t>Zkouška těsnosti potrubí kanalizace vodou do DN 125</t>
  </si>
  <si>
    <t>379</t>
  </si>
  <si>
    <t>721290112</t>
  </si>
  <si>
    <t>Zkouška těsnosti potrubí kanalizace vodou do DN 200</t>
  </si>
  <si>
    <t>380</t>
  </si>
  <si>
    <t>998721102</t>
  </si>
  <si>
    <t>Přesun hmot tonážní pro vnitřní kanalizace v objektech v do 12 m</t>
  </si>
  <si>
    <t>722</t>
  </si>
  <si>
    <t>Vnitřní vodovod</t>
  </si>
  <si>
    <t>381</t>
  </si>
  <si>
    <t>722130233</t>
  </si>
  <si>
    <t>Potrubí vodovodní ocelové závitové pozinkované svařované běžné DN 25</t>
  </si>
  <si>
    <t>722_</t>
  </si>
  <si>
    <t>382</t>
  </si>
  <si>
    <t>722130236</t>
  </si>
  <si>
    <t>Potrubí vodovodní ocelové závitové pozinkované svařované běžné DN 50</t>
  </si>
  <si>
    <t>383</t>
  </si>
  <si>
    <t>722174002</t>
  </si>
  <si>
    <t>Potrubí vodovodní plastové PPR svar polyfuze PN 16 D 20 x 2,8 mm</t>
  </si>
  <si>
    <t>384</t>
  </si>
  <si>
    <t>7221740021</t>
  </si>
  <si>
    <t>Potrubí vodovodní plastové PPR svar polyfuze PN 16 D 20 x 2,8 mm - kondenzát</t>
  </si>
  <si>
    <t>385</t>
  </si>
  <si>
    <t>722174003</t>
  </si>
  <si>
    <t>Potrubí vodovodní plastové PPR svar polyfuze PN 16 D 25 x 3,5 mm</t>
  </si>
  <si>
    <t>386</t>
  </si>
  <si>
    <t>722174004</t>
  </si>
  <si>
    <t>Potrubí vodovodní plastové PPR svar polyfúze PN 16 D 32x4,4 mm</t>
  </si>
  <si>
    <t>387</t>
  </si>
  <si>
    <t>722181231</t>
  </si>
  <si>
    <t>Ochrana vodovodního potrubí přilepenými tepelně izolačními trubicemi z PE tl do 15 mm DN do 22 mm</t>
  </si>
  <si>
    <t>388</t>
  </si>
  <si>
    <t>722181252</t>
  </si>
  <si>
    <t>Ochrana vodovodního potrubí přilepenými termoizolačními trubicemi z PE tl přes 20 do 25 mm DN přes 22 do 45 mm</t>
  </si>
  <si>
    <t>389</t>
  </si>
  <si>
    <t>722190401</t>
  </si>
  <si>
    <t>Vyvedení a upevnění výpustku do DN 25</t>
  </si>
  <si>
    <t>390</t>
  </si>
  <si>
    <t>722220111</t>
  </si>
  <si>
    <t>Nástěnka pro výtokový ventil G 1/2 s jedním závitem</t>
  </si>
  <si>
    <t>391</t>
  </si>
  <si>
    <t>722220121</t>
  </si>
  <si>
    <t>Nástěnka pro baterii G 1/2 s jedním závitem</t>
  </si>
  <si>
    <t>pár</t>
  </si>
  <si>
    <t>392</t>
  </si>
  <si>
    <t>722221134</t>
  </si>
  <si>
    <t>Ventil výtokový G 1/2" s jedním závitem</t>
  </si>
  <si>
    <t>393</t>
  </si>
  <si>
    <t>722224115</t>
  </si>
  <si>
    <t>Kohout plnicí nebo vypouštěcí G 1/2" PN 10 s jedním závitem</t>
  </si>
  <si>
    <t>394</t>
  </si>
  <si>
    <t>722224121</t>
  </si>
  <si>
    <t>Ventil odvodňovací G 1/4 s jedním závitem</t>
  </si>
  <si>
    <t>395</t>
  </si>
  <si>
    <t>722231072</t>
  </si>
  <si>
    <t>Ventil zpětný mosazný G 1/2" PN 10 do 110°C se dvěma závity</t>
  </si>
  <si>
    <t>396</t>
  </si>
  <si>
    <t>722231073</t>
  </si>
  <si>
    <t>Ventil zpětný mosazný G 3/4" PN 10 do 110°C se dvěma závity</t>
  </si>
  <si>
    <t>397</t>
  </si>
  <si>
    <t>722231221</t>
  </si>
  <si>
    <t>Ventil pojistný mosazný G 1/2" PN 6 do 100°C k bojleru s vnitřním x vnějším závitem</t>
  </si>
  <si>
    <t>398</t>
  </si>
  <si>
    <t>722232043</t>
  </si>
  <si>
    <t>Kohout kulový přímý G 1/2" PN 42 do 185°C vnitřní závit</t>
  </si>
  <si>
    <t>399</t>
  </si>
  <si>
    <t>722232044</t>
  </si>
  <si>
    <t>Kohout kulový přímý G 3/4 PN 42 do 185°C vnitřní závit</t>
  </si>
  <si>
    <t>400</t>
  </si>
  <si>
    <t>722232063</t>
  </si>
  <si>
    <t>Kohout kulový přímý G 1" PN 42 do 185°C vnitřní závit s vypouštěním</t>
  </si>
  <si>
    <t>401</t>
  </si>
  <si>
    <t>722250133</t>
  </si>
  <si>
    <t>Hydrantový systém s tvarově stálou hadicí D 25 x 30 m celoplechový</t>
  </si>
  <si>
    <t>402</t>
  </si>
  <si>
    <t>722290226</t>
  </si>
  <si>
    <t>Zkouška těsnosti vodovodního potrubí závitového do DN 50</t>
  </si>
  <si>
    <t>403</t>
  </si>
  <si>
    <t>722290234</t>
  </si>
  <si>
    <t>Proplach a dezinfekce vodovodního potrubí do DN 80</t>
  </si>
  <si>
    <t>404</t>
  </si>
  <si>
    <t>998722102</t>
  </si>
  <si>
    <t>Přesun hmot tonážní pro vnitřní vodovod v objektech v do 12 m</t>
  </si>
  <si>
    <t>723</t>
  </si>
  <si>
    <t>Vnitřní plynovod</t>
  </si>
  <si>
    <t>405</t>
  </si>
  <si>
    <t>723111203</t>
  </si>
  <si>
    <t>Potrubí ocelové závitové černé bezešvé svařované běžné DN 20</t>
  </si>
  <si>
    <t>723_</t>
  </si>
  <si>
    <t>406</t>
  </si>
  <si>
    <t>723111206</t>
  </si>
  <si>
    <t>Potrubí ocelové závitové černé bezešvé svařované běžné DN 40</t>
  </si>
  <si>
    <t>407</t>
  </si>
  <si>
    <t>723120804</t>
  </si>
  <si>
    <t>Demontáž potrubí ocelové závitové svařované DN do 25</t>
  </si>
  <si>
    <t>725</t>
  </si>
  <si>
    <t>Zařizovací předměty</t>
  </si>
  <si>
    <t>408</t>
  </si>
  <si>
    <t>725112022</t>
  </si>
  <si>
    <t>Klozet keramický závěsný na nosné stěny s hlubokým splachováním odpad vodorovný</t>
  </si>
  <si>
    <t>725_</t>
  </si>
  <si>
    <t>409</t>
  </si>
  <si>
    <t>7251120221</t>
  </si>
  <si>
    <t>Klozet keramický závěsný na nosné stěny s hlubokým splachováním odpad vodorovný pro ZTP</t>
  </si>
  <si>
    <t>410</t>
  </si>
  <si>
    <t>725121527</t>
  </si>
  <si>
    <t>Pisoárový záchodek automatický s integrovaným napájecím zdrojem</t>
  </si>
  <si>
    <t>411</t>
  </si>
  <si>
    <t>725210821</t>
  </si>
  <si>
    <t>Demontáž umyvadel bez výtokových armatur</t>
  </si>
  <si>
    <t>412</t>
  </si>
  <si>
    <t>725211602</t>
  </si>
  <si>
    <t>Umyvadlo keramické bílé šířky 550 mm bez krytu na sifon připevněné na stěnu šrouby</t>
  </si>
  <si>
    <t>413</t>
  </si>
  <si>
    <t>725211681</t>
  </si>
  <si>
    <t>Umyvadlo keramické zdravotní připevněné na stěnu šrouby bílé 640 mm</t>
  </si>
  <si>
    <t>414</t>
  </si>
  <si>
    <t>725311111</t>
  </si>
  <si>
    <t>Dřez jednoduchý keramický se zápachovou uzávěrkou 590x450 mm</t>
  </si>
  <si>
    <t>415</t>
  </si>
  <si>
    <t>725331111</t>
  </si>
  <si>
    <t>Výlevka bez výtokových armatur keramická se sklopnou plastovou mřížkou 500 mm</t>
  </si>
  <si>
    <t>416</t>
  </si>
  <si>
    <t>7255311011</t>
  </si>
  <si>
    <t>Elektrický ohřívač průtokový 2 kW</t>
  </si>
  <si>
    <t>417</t>
  </si>
  <si>
    <t>725532114</t>
  </si>
  <si>
    <t>Elektrický ohřívač zásobníkový akumulační závěsný svislý 80 l / 3 kW</t>
  </si>
  <si>
    <t>418</t>
  </si>
  <si>
    <t>725532120</t>
  </si>
  <si>
    <t>Elektrický ohřívač zásobníkový akumulační závěsný svislý 125 l / 2 kW</t>
  </si>
  <si>
    <t>419</t>
  </si>
  <si>
    <t>725821316</t>
  </si>
  <si>
    <t>Baterie dřezová nástěnná páková s otáčivým plochým ústím a délkou ramínka 300 mm</t>
  </si>
  <si>
    <t>420</t>
  </si>
  <si>
    <t>725821329</t>
  </si>
  <si>
    <t>Baterie dřezová stojánková páková s vytahovací sprškou</t>
  </si>
  <si>
    <t>421</t>
  </si>
  <si>
    <t>725822612</t>
  </si>
  <si>
    <t>Baterie umyvadlová stojánková páková s výpustí</t>
  </si>
  <si>
    <t>422</t>
  </si>
  <si>
    <t>725851315</t>
  </si>
  <si>
    <t>Ventil odpadní dřezový s přepadem G 6/4"</t>
  </si>
  <si>
    <t>423</t>
  </si>
  <si>
    <t>725980123</t>
  </si>
  <si>
    <t>Dvířka 30/30</t>
  </si>
  <si>
    <t>424</t>
  </si>
  <si>
    <t>998725102</t>
  </si>
  <si>
    <t>Přesun hmot tonážní pro zařizovací předměty v objektech v do 12 m</t>
  </si>
  <si>
    <t>726</t>
  </si>
  <si>
    <t>Instalační prefabrikáty</t>
  </si>
  <si>
    <t>425</t>
  </si>
  <si>
    <t>726131041</t>
  </si>
  <si>
    <t>Instalační předstěna - klozet závěsný v 1120 mm s ovládáním zepředu do lehkých stěn s kovovou kcí</t>
  </si>
  <si>
    <t>726_</t>
  </si>
  <si>
    <t>426</t>
  </si>
  <si>
    <t>998726111</t>
  </si>
  <si>
    <t>Přesun hmot tonážní pro instalační prefabrikáty v objektech v do 6 m</t>
  </si>
  <si>
    <t>427</t>
  </si>
  <si>
    <t>783601713</t>
  </si>
  <si>
    <t>Odmaštění vodou ředitelným odmašťovačem potrubí DN do 50 mm</t>
  </si>
  <si>
    <t>02_78_</t>
  </si>
  <si>
    <t>428</t>
  </si>
  <si>
    <t>783614651</t>
  </si>
  <si>
    <t>Základní antikorozní jednonásobný syntetický potrubí DN do 50 mm</t>
  </si>
  <si>
    <t>429</t>
  </si>
  <si>
    <t>783615551</t>
  </si>
  <si>
    <t>Mezinátěr jednonásobný syntetický nátěr potrubí DN do 50 mm</t>
  </si>
  <si>
    <t>430</t>
  </si>
  <si>
    <t>783617611</t>
  </si>
  <si>
    <t>Krycí dvojnásobný syntetický nátěr potrubí DN do 50 mm</t>
  </si>
  <si>
    <t>431</t>
  </si>
  <si>
    <t>894812311</t>
  </si>
  <si>
    <t>Revizní a čistící šachta z PP typ DN 600/160 šachtové dno průtočné</t>
  </si>
  <si>
    <t>02_8_</t>
  </si>
  <si>
    <t>432</t>
  </si>
  <si>
    <t>894812331</t>
  </si>
  <si>
    <t>Revizní a čistící šachta z PP DN 600 šachtová roura korugovaná světlé hloubky 1000 mm</t>
  </si>
  <si>
    <t>433</t>
  </si>
  <si>
    <t>894812339</t>
  </si>
  <si>
    <t>Příplatek k rourám revizní a čistící šachty z PP DN 600 za uříznutí šachtové roury</t>
  </si>
  <si>
    <t>434</t>
  </si>
  <si>
    <t>894812376</t>
  </si>
  <si>
    <t>Revizní a čistící šachta z PP DN 600 poklop litinový pro třídu zatížení D400 s betonovým prstencem</t>
  </si>
  <si>
    <t>M23</t>
  </si>
  <si>
    <t>Montáže potrubí</t>
  </si>
  <si>
    <t>435</t>
  </si>
  <si>
    <t>230050002</t>
  </si>
  <si>
    <t>Montáž uložení přišroubováním DN přes 25 do 50 mm</t>
  </si>
  <si>
    <t>M23_</t>
  </si>
  <si>
    <t>02_9_</t>
  </si>
  <si>
    <t>436</t>
  </si>
  <si>
    <t>Hitly</t>
  </si>
  <si>
    <t>kotevní prvky</t>
  </si>
  <si>
    <t>HZS</t>
  </si>
  <si>
    <t>Zdravotechnika</t>
  </si>
  <si>
    <t>437</t>
  </si>
  <si>
    <t>HZS22121</t>
  </si>
  <si>
    <t>Hodinová zúčtovací sazba instalatér odborný -dopojení na stávající rozvody vč. mat, přeložky potrubí vody, plynu</t>
  </si>
  <si>
    <t>hod</t>
  </si>
  <si>
    <t>HZS_</t>
  </si>
  <si>
    <t>438</t>
  </si>
  <si>
    <t>HZS2232</t>
  </si>
  <si>
    <t>Hodinová zúčtovací sazba elektrikář odborný</t>
  </si>
  <si>
    <t>439</t>
  </si>
  <si>
    <t>HZS2491</t>
  </si>
  <si>
    <t>Hodinová zúčtovací sazba dělník zednických výpomocí -sekání drážek, prostupy vč. zapravení atp.</t>
  </si>
  <si>
    <t>440</t>
  </si>
  <si>
    <t>HZS4212</t>
  </si>
  <si>
    <t>Hodinová zúčtovací sazba revizní technik specialista</t>
  </si>
  <si>
    <t>441</t>
  </si>
  <si>
    <t>713463311</t>
  </si>
  <si>
    <t>Montáž izolace tepelné potrubí potrubními pouzdry s Al fólií s přesahem Al páskou 1x D do 50 mm</t>
  </si>
  <si>
    <t>03_71_</t>
  </si>
  <si>
    <t>03_</t>
  </si>
  <si>
    <t>442</t>
  </si>
  <si>
    <t>63154531</t>
  </si>
  <si>
    <t>pouzdro izolační potrubní z minerální vlny s Al fólií max. 250/100°C 28/30mm</t>
  </si>
  <si>
    <t>443</t>
  </si>
  <si>
    <t>63154532</t>
  </si>
  <si>
    <t>pouzdro izolační potrubní z minerální vlny s Al fólií max. 250/100°C 35/30mm</t>
  </si>
  <si>
    <t>444</t>
  </si>
  <si>
    <t>63154573</t>
  </si>
  <si>
    <t>pouzdro izolační potrubní z minerální vlny s Al fólií max. 250/100°C 42/40mm</t>
  </si>
  <si>
    <t>733</t>
  </si>
  <si>
    <t>Rozvod potrubí</t>
  </si>
  <si>
    <t>445</t>
  </si>
  <si>
    <t>733110806</t>
  </si>
  <si>
    <t>Demontáž potrubí ocelového závitového DN přes 15 do 32</t>
  </si>
  <si>
    <t>733_</t>
  </si>
  <si>
    <t>03_73_</t>
  </si>
  <si>
    <t>446</t>
  </si>
  <si>
    <t>733110808</t>
  </si>
  <si>
    <t>Demontáž potrubí ocelového závitového DN přes 32 do 50</t>
  </si>
  <si>
    <t>447</t>
  </si>
  <si>
    <t>733111102</t>
  </si>
  <si>
    <t>Potrubí ocelové závitové černé bezešvé běžné nízkotlaké DN 10</t>
  </si>
  <si>
    <t>448</t>
  </si>
  <si>
    <t>733111103</t>
  </si>
  <si>
    <t>Potrubí ocelové závitové černé bezešvé běžné nízkotlaké DN 15</t>
  </si>
  <si>
    <t>449</t>
  </si>
  <si>
    <t>733111104</t>
  </si>
  <si>
    <t>Potrubí ocelové závitové černé bezešvé běžné nízkotlaké DN 20</t>
  </si>
  <si>
    <t>450</t>
  </si>
  <si>
    <t>733111105</t>
  </si>
  <si>
    <t>Potrubí ocelové závitové černé bezešvé běžné nízkotlaké DN 25</t>
  </si>
  <si>
    <t>451</t>
  </si>
  <si>
    <t>733111106</t>
  </si>
  <si>
    <t>Potrubí ocelové závitové černé bezešvé běžné nízkotlaké DN 32</t>
  </si>
  <si>
    <t>452</t>
  </si>
  <si>
    <t>733111107</t>
  </si>
  <si>
    <t>Potrubí ocelové závitové černé bezešvé běžné nízkotlaké DN 40</t>
  </si>
  <si>
    <t>453</t>
  </si>
  <si>
    <t>733190107</t>
  </si>
  <si>
    <t>Zkouška těsnosti potrubí ocelové závitové DN do 40</t>
  </si>
  <si>
    <t>454</t>
  </si>
  <si>
    <t>998733101</t>
  </si>
  <si>
    <t>Přesun hmot tonážní pro rozvody potrubí v objektech v do 6 m</t>
  </si>
  <si>
    <t>734</t>
  </si>
  <si>
    <t>Armatury</t>
  </si>
  <si>
    <t>455</t>
  </si>
  <si>
    <t>734221684</t>
  </si>
  <si>
    <t>Termostatická hlavice kapalinová PN 10 do 110°C pro veřejné prostory</t>
  </si>
  <si>
    <t>734_</t>
  </si>
  <si>
    <t>456</t>
  </si>
  <si>
    <t>734222802aut</t>
  </si>
  <si>
    <t>Ventil závitový termostatický rohový G 1/2 PN 16 do 110°C s ruční hlavou chromovaný s automatickým omezením průtoku</t>
  </si>
  <si>
    <t>457</t>
  </si>
  <si>
    <t>734222812aut</t>
  </si>
  <si>
    <t>Ventil závitový termostatický přímý G 1/2 PN 16 do 110°C s ruční hlavou chromovaný s automatickým omezením průtoku</t>
  </si>
  <si>
    <t>458</t>
  </si>
  <si>
    <t>734261417</t>
  </si>
  <si>
    <t>Šroubení regulační radiátorové rohové G 1/2 s vypouštěním</t>
  </si>
  <si>
    <t>459</t>
  </si>
  <si>
    <t>734261717</t>
  </si>
  <si>
    <t>Šroubení regulační radiátorové přímé G 1/2 s vypouštěním</t>
  </si>
  <si>
    <t>460</t>
  </si>
  <si>
    <t>734291123</t>
  </si>
  <si>
    <t>Kohout plnící a vypouštěcí G 1/2 PN 10 do 90°C závitový</t>
  </si>
  <si>
    <t>461</t>
  </si>
  <si>
    <t>734292715</t>
  </si>
  <si>
    <t>Kohout kulový přímý G 1 PN 42 do 185°C vnitřní závit</t>
  </si>
  <si>
    <t>462</t>
  </si>
  <si>
    <t>734292716</t>
  </si>
  <si>
    <t>Kohout kulový přímý G 1 1/4 PN 42 do 185°C vnitřní závit</t>
  </si>
  <si>
    <t>463</t>
  </si>
  <si>
    <t>734292717</t>
  </si>
  <si>
    <t>Kohout kulový přímý G 1 1/2 PN 42 do 185°C vnitřní závit</t>
  </si>
  <si>
    <t>735</t>
  </si>
  <si>
    <t>Otopná tělesa</t>
  </si>
  <si>
    <t>464</t>
  </si>
  <si>
    <t>735111810</t>
  </si>
  <si>
    <t>Demontáž otopného tělesa litinového článkového</t>
  </si>
  <si>
    <t>735_</t>
  </si>
  <si>
    <t>465</t>
  </si>
  <si>
    <t>735119140</t>
  </si>
  <si>
    <t>Montáž otopného tělesa litinového článkového</t>
  </si>
  <si>
    <t>466</t>
  </si>
  <si>
    <t>735151557</t>
  </si>
  <si>
    <t>Otopné těleso panelové dvoudeskové 2 přídavné přestupní plochy výška/délka 500/1000 mm výkon 1452 W</t>
  </si>
  <si>
    <t>467</t>
  </si>
  <si>
    <t>735151558</t>
  </si>
  <si>
    <t>Otopné těleso panelové dvoudeskové 2 přídavné přestupní plochy výška/délka 500/1100 mm výkon 1597 W</t>
  </si>
  <si>
    <t>468</t>
  </si>
  <si>
    <t>735151560</t>
  </si>
  <si>
    <t>Otopné těleso panelové dvoudeskové 2 přídavné přestupní plochy výška/délka 500/1400 mm výkon 2033 W</t>
  </si>
  <si>
    <t>469</t>
  </si>
  <si>
    <t>735151596</t>
  </si>
  <si>
    <t>Otopné těleso panelové dvoudeskové 2 přídavné přestupní plochy výška/délka 900/900 mm výkon 2082 W</t>
  </si>
  <si>
    <t>470</t>
  </si>
  <si>
    <t>735151597</t>
  </si>
  <si>
    <t>Otopné těleso panelové dvoudeskové 2 přídavné přestupní plochy výška/délka 900/1000 mm výkon 2313 W</t>
  </si>
  <si>
    <t>471</t>
  </si>
  <si>
    <t>735151599</t>
  </si>
  <si>
    <t>Otopné těleso panelové dvoudeskové 2 přídavné přestupní plochy výška/délka 900/1200 mm výkon 2776 W</t>
  </si>
  <si>
    <t>472</t>
  </si>
  <si>
    <t>783601315</t>
  </si>
  <si>
    <t>Odmaštění deskových otopných těles vodou ředitelným odmašťovačem před provedením nátěru</t>
  </si>
  <si>
    <t>03_78_</t>
  </si>
  <si>
    <t>473</t>
  </si>
  <si>
    <t>783601345</t>
  </si>
  <si>
    <t>Odmaštění litinových otopných těles odmašťovačem vodou ředitelným před provedením nátěru</t>
  </si>
  <si>
    <t>474</t>
  </si>
  <si>
    <t>783601411</t>
  </si>
  <si>
    <t>Ometení deskových otopných těles před provedením nátěru</t>
  </si>
  <si>
    <t>475</t>
  </si>
  <si>
    <t>476</t>
  </si>
  <si>
    <t>783614121</t>
  </si>
  <si>
    <t>Základní jednonásobný syntetický nátěr deskových otopných těles</t>
  </si>
  <si>
    <t>477</t>
  </si>
  <si>
    <t>478</t>
  </si>
  <si>
    <t>479</t>
  </si>
  <si>
    <t>783617117</t>
  </si>
  <si>
    <t>Krycí dvojnásobný syntetický nátěr článkových otopných těles</t>
  </si>
  <si>
    <t>480</t>
  </si>
  <si>
    <t>481</t>
  </si>
  <si>
    <t>783624141</t>
  </si>
  <si>
    <t>Základní jednonásobný akrylátový nátěr litinových otopných těles</t>
  </si>
  <si>
    <t>482</t>
  </si>
  <si>
    <t>783627147</t>
  </si>
  <si>
    <t>Krycí dvojnásobný akrylátový nátěr litinových otopných těles</t>
  </si>
  <si>
    <t>483</t>
  </si>
  <si>
    <t>783652141</t>
  </si>
  <si>
    <t>Tmelení litinových otopných těles polyesterovým tmelem</t>
  </si>
  <si>
    <t>484</t>
  </si>
  <si>
    <t>03_9_</t>
  </si>
  <si>
    <t>485</t>
  </si>
  <si>
    <t>Ústřední vytápění</t>
  </si>
  <si>
    <t>486</t>
  </si>
  <si>
    <t>HZS13311</t>
  </si>
  <si>
    <t>Hodinová zúčtovací sazba montér konstrukcí- přípomoc, dmt plynového kotle, likvidace dmt zařízení, zapravení</t>
  </si>
  <si>
    <t>487</t>
  </si>
  <si>
    <t>HZS22224</t>
  </si>
  <si>
    <t>Hodinová zúčtovací sazba topenář odborný- dopojení na stávající soustavy UT vč. materiálu</t>
  </si>
  <si>
    <t>488</t>
  </si>
  <si>
    <t>HZS24911</t>
  </si>
  <si>
    <t>Hodinová zúčtovací sazba dělník zednických výpomocí -sekání drážek,  prostupy vč. chrániček, zapravení,atp.</t>
  </si>
  <si>
    <t>489</t>
  </si>
  <si>
    <t>HZS31121</t>
  </si>
  <si>
    <t>Hodinová zúčtovací sazba montér potrubí odborný - TOPNÁ ZKOUŠKA</t>
  </si>
  <si>
    <t>490</t>
  </si>
  <si>
    <t>751122051</t>
  </si>
  <si>
    <t>Montáž ventilátoru radiálního nízkotlakého podhledového základního D do 100 mm</t>
  </si>
  <si>
    <t>04_75_</t>
  </si>
  <si>
    <t>04_</t>
  </si>
  <si>
    <t>491</t>
  </si>
  <si>
    <t>54233103</t>
  </si>
  <si>
    <t>ventilátor radiální malý plastový spínač časový a snímač vlhkosti D 100mm</t>
  </si>
  <si>
    <t>492</t>
  </si>
  <si>
    <t>751122092</t>
  </si>
  <si>
    <t>Montáž ventilátoru radiálního nízkotlakého potrubního základního do kruhového potrubí D přes 100 do 200 mm</t>
  </si>
  <si>
    <t>493</t>
  </si>
  <si>
    <t>42914543</t>
  </si>
  <si>
    <t>ventilátor radiální potrubní ocelový IP44 výkon 60-110W D 160mm</t>
  </si>
  <si>
    <t>494</t>
  </si>
  <si>
    <t>751122094</t>
  </si>
  <si>
    <t>Montáž ventilátoru radiálního nízkotlakého potrubního základního do kruhového potrubí D přes 300 do 400 mm</t>
  </si>
  <si>
    <t>495</t>
  </si>
  <si>
    <t>42914522</t>
  </si>
  <si>
    <t>ventilátor radiální potrubní úsporný ocelový IP44 výkon 230-250W D 355mm</t>
  </si>
  <si>
    <t>496</t>
  </si>
  <si>
    <t>ventpřísl</t>
  </si>
  <si>
    <t>regulátor otáček, čidlo kvality vzduchu, čidlo vlhkosti vč. mnt</t>
  </si>
  <si>
    <t>497</t>
  </si>
  <si>
    <t>751311111</t>
  </si>
  <si>
    <t>Montáž vyústi čtyřhranné do kruhového potrubí do 0,040 m2</t>
  </si>
  <si>
    <t>498</t>
  </si>
  <si>
    <t>42973059</t>
  </si>
  <si>
    <t>výusť jednořadá do kruhového potrubí SPIRO s regulační klapkou Pz 425x75mm</t>
  </si>
  <si>
    <t>499</t>
  </si>
  <si>
    <t>751322012</t>
  </si>
  <si>
    <t>Montáž talířového ventilu D přes 100 do 200 mm</t>
  </si>
  <si>
    <t>500</t>
  </si>
  <si>
    <t>42972201</t>
  </si>
  <si>
    <t>ventil talířový pro přívod a odvod vzduchu plastový D 100mm</t>
  </si>
  <si>
    <t>501</t>
  </si>
  <si>
    <t>751344114</t>
  </si>
  <si>
    <t>Montáž tlumiče hluku pro kruhové potrubí D přes 300 do 400 mm</t>
  </si>
  <si>
    <t>502</t>
  </si>
  <si>
    <t>42976011</t>
  </si>
  <si>
    <t>tlumič hluku kruhový Pz, D 355mm, l=1000mm</t>
  </si>
  <si>
    <t>503</t>
  </si>
  <si>
    <t>751398011</t>
  </si>
  <si>
    <t>Montáž větrací mřížky na kruhové potrubí D do 100 mm</t>
  </si>
  <si>
    <t>504</t>
  </si>
  <si>
    <t>42972838</t>
  </si>
  <si>
    <t>mřížka větrací kruhová plastová s okapničkou a síťkou D 100mm</t>
  </si>
  <si>
    <t>505</t>
  </si>
  <si>
    <t>751398012</t>
  </si>
  <si>
    <t>Montáž větrací mřížky na kruhové potrubí D přes 100 do 200 mm</t>
  </si>
  <si>
    <t>506</t>
  </si>
  <si>
    <t>42972567</t>
  </si>
  <si>
    <t>mřížka větrací plastová na kruhové potrubí D180-200 mm</t>
  </si>
  <si>
    <t>507</t>
  </si>
  <si>
    <t>42972840</t>
  </si>
  <si>
    <t>mřížka větrací kruhová plastová s okapničkou a síťkou D 150mm</t>
  </si>
  <si>
    <t>508</t>
  </si>
  <si>
    <t>751398022</t>
  </si>
  <si>
    <t>Montáž větrací mřížky stěnové přes 0,040 do 0,100 m2</t>
  </si>
  <si>
    <t>509</t>
  </si>
  <si>
    <t>42972309</t>
  </si>
  <si>
    <t>mřížka stěnová otevřená jednořadá kovová úhel lamel 0° 500x150mm</t>
  </si>
  <si>
    <t>510</t>
  </si>
  <si>
    <t>751398042</t>
  </si>
  <si>
    <t>Montáž protidešťové žaluzie nebo žaluziové klapky na kruhové potrubí D přes 300 do 400 mm</t>
  </si>
  <si>
    <t>511</t>
  </si>
  <si>
    <t>42972905</t>
  </si>
  <si>
    <t>žaluzie protidešťová plastová s pevnými lamelami, pro potrubí D 355mm</t>
  </si>
  <si>
    <t>512</t>
  </si>
  <si>
    <t>751510042</t>
  </si>
  <si>
    <t>Vzduchotechnické potrubí pozink kruhové spirálně vinuté D do 200 mm</t>
  </si>
  <si>
    <t>513</t>
  </si>
  <si>
    <t>751510044</t>
  </si>
  <si>
    <t>Vzduchotechnické potrubí z pozinkovaného plechu kruhové spirálně vinutá trouba bez příruby D přes 300 do 400 mm</t>
  </si>
  <si>
    <t>514</t>
  </si>
  <si>
    <t>odvl</t>
  </si>
  <si>
    <t>odvlhčovač 240 m3/hod, 20l/24 hod, 490 W, 230 V, 22 kg 305x355x580 mm</t>
  </si>
  <si>
    <t>515</t>
  </si>
  <si>
    <t>odvlmnt</t>
  </si>
  <si>
    <t>montáž zařízení vč. závěsů, ochranné konstrukce, čerpadla kondenzátu</t>
  </si>
  <si>
    <t>516</t>
  </si>
  <si>
    <t>751514664</t>
  </si>
  <si>
    <t>Montáž škrtící klapky nebo zpětné klapky do plechového potrubí kruhové s přírubou D přes 300 do 400 mm</t>
  </si>
  <si>
    <t>517</t>
  </si>
  <si>
    <t>42981011</t>
  </si>
  <si>
    <t>klapka kruhová regulační Pz D 355mm</t>
  </si>
  <si>
    <t>518</t>
  </si>
  <si>
    <t>751537011</t>
  </si>
  <si>
    <t>Montáž potrubí ohebného kruhového neizolovaného z Al laminátové hadice D do 100 mm</t>
  </si>
  <si>
    <t>519</t>
  </si>
  <si>
    <t>42981621</t>
  </si>
  <si>
    <t>hadice neizolovaná z Al-polyesteru vyztužená drátem D 82mm, l=10m</t>
  </si>
  <si>
    <t>520</t>
  </si>
  <si>
    <t>751537014</t>
  </si>
  <si>
    <t>Montáž potrubí ohebného kruhového neizolovaného z Al laminátové hadice D přes 300 do 400 mm</t>
  </si>
  <si>
    <t>521</t>
  </si>
  <si>
    <t>42981631</t>
  </si>
  <si>
    <t>hadice neizolovaná z Al-polyesteru vyztužená drátem D 356mm, l=10m</t>
  </si>
  <si>
    <t>522</t>
  </si>
  <si>
    <t>751572104</t>
  </si>
  <si>
    <t>Uchycení potrubí kruhového pomocí objímky kotvené do betonu D přes 300 do 400 mm</t>
  </si>
  <si>
    <t>523</t>
  </si>
  <si>
    <t>VZTpůvodní</t>
  </si>
  <si>
    <t>Komplet VZT odsávání v dílně 1.PP</t>
  </si>
  <si>
    <t>524</t>
  </si>
  <si>
    <t>HZS13011</t>
  </si>
  <si>
    <t>Hodinová zúčtovací sazba zedník - stavební přípomoc - sekání drážek, prostupy vč. zapravení</t>
  </si>
  <si>
    <t>04_9_</t>
  </si>
  <si>
    <t>525</t>
  </si>
  <si>
    <t>H01</t>
  </si>
  <si>
    <t>Strukturovaná kabeláž</t>
  </si>
  <si>
    <t>526</t>
  </si>
  <si>
    <t>741310412</t>
  </si>
  <si>
    <t>Montáž spínačů tří nebo čtyřpólových nástěnných se zapojením vodičů, pro prostředí venkovní nebo mokré do 25 A</t>
  </si>
  <si>
    <t>H01_</t>
  </si>
  <si>
    <t>05_9_</t>
  </si>
  <si>
    <t>05_</t>
  </si>
  <si>
    <t>527</t>
  </si>
  <si>
    <t>ELT10.641.502</t>
  </si>
  <si>
    <t>Spínač stiskací, zapuštěný č.3, 25A/400V, bílý, IP55</t>
  </si>
  <si>
    <t>KS</t>
  </si>
  <si>
    <t>528</t>
  </si>
  <si>
    <t>ELT10.071.439</t>
  </si>
  <si>
    <t>Rámeček jednonásobný pro domovní elektroinstalační přístroje, bílý</t>
  </si>
  <si>
    <t>529</t>
  </si>
  <si>
    <t>741310232</t>
  </si>
  <si>
    <t>Montáž spínačů jedno nebo dvoupólových polozapuštěných nebo zapuštěných se zapojením vodičů šroubové připojení, pro prostředí normální přepínačů, řaze</t>
  </si>
  <si>
    <t>530</t>
  </si>
  <si>
    <t>ELT10.739.420</t>
  </si>
  <si>
    <t>Relé univerzální do krabice</t>
  </si>
  <si>
    <t>531</t>
  </si>
  <si>
    <t>ELT10.739.469</t>
  </si>
  <si>
    <t>Krabice do zdiva hluboká s víčkem</t>
  </si>
  <si>
    <t>532</t>
  </si>
  <si>
    <t>741310233</t>
  </si>
  <si>
    <t>533</t>
  </si>
  <si>
    <t>ELT11.223.918</t>
  </si>
  <si>
    <t>Snímač automatického spínače, s rovinným snímáním, bílý, úhel pokrytí: cca 120° (1 snímací rovina)</t>
  </si>
  <si>
    <t>534</t>
  </si>
  <si>
    <t>ELT11.223.962</t>
  </si>
  <si>
    <t>Přístroj spínací pro snímače pohybu, 1 relé, 2300W/AC1, 3 vodičové připojení, šroubové svorky</t>
  </si>
  <si>
    <t>535</t>
  </si>
  <si>
    <t>741310042</t>
  </si>
  <si>
    <t>Montáž spínačů jedno nebo dvoupólových nástěnných se zapojením vodičů, pro prostředí venkovní nebo mokré přepínačů, řazení 6-střídavých</t>
  </si>
  <si>
    <t>536</t>
  </si>
  <si>
    <t>ELT10.042.218</t>
  </si>
  <si>
    <t>Snímač automatického spínače, s kombinovanou čočkou, bílý, úhel pokrytí: cca 180° (3 snímací roviny), IP44</t>
  </si>
  <si>
    <t>537</t>
  </si>
  <si>
    <t>ELT10.070.034</t>
  </si>
  <si>
    <t>Přístroj relé univerzálního, 1 relé, 2300W/AC1, 3 vodičové připojení, šroubové svorky</t>
  </si>
  <si>
    <t>538</t>
  </si>
  <si>
    <t>ELT10.081.346</t>
  </si>
  <si>
    <t>Rámeček pro elektroinstalační přístroje IP 44, jednonásobný, slonová kost</t>
  </si>
  <si>
    <t>539</t>
  </si>
  <si>
    <t>741112104</t>
  </si>
  <si>
    <t>Montáž krabic elektroinstalačních bez napojení na trubky a lišty, demontáže a montáže víčka a přístroje rozvodek se zapojením vodičů na svorkovnici za</t>
  </si>
  <si>
    <t>540</t>
  </si>
  <si>
    <t>741130003</t>
  </si>
  <si>
    <t>Ukončení vodičů izolovaných s označením a zapojením v rozváděči nebo na přístroji, průřezu žíly do 4 mm2</t>
  </si>
  <si>
    <t>541</t>
  </si>
  <si>
    <t>741112352</t>
  </si>
  <si>
    <t>Montáž krabic pancéřových bez napojení na trubky a lišty a demontáže a montáže víčka otevření nebo uzavření krabic víčkem na 2 šrouby</t>
  </si>
  <si>
    <t>542</t>
  </si>
  <si>
    <t>543</t>
  </si>
  <si>
    <t>741310231</t>
  </si>
  <si>
    <t>544</t>
  </si>
  <si>
    <t>ELT10.071.423</t>
  </si>
  <si>
    <t>Přístroj přepínače sériového, 10A/250V, šroubové svorky, řazení č.5</t>
  </si>
  <si>
    <t>545</t>
  </si>
  <si>
    <t>ELT10.071.435</t>
  </si>
  <si>
    <t>Kryt spínače kolébkového, dvojitý, bílý</t>
  </si>
  <si>
    <t>546</t>
  </si>
  <si>
    <t>547</t>
  </si>
  <si>
    <t>ELT10.069.833</t>
  </si>
  <si>
    <t>Přístroj přepínače střídavého, 10A/250V, šroubové svorky, řazení č.6</t>
  </si>
  <si>
    <t>548</t>
  </si>
  <si>
    <t>ELT10.071.430</t>
  </si>
  <si>
    <t>Kryt spínače kolébkového, jednoduchý, bílý</t>
  </si>
  <si>
    <t>549</t>
  </si>
  <si>
    <t>741310206</t>
  </si>
  <si>
    <t>Montáž spínačů jedno nebo dvoupólových polozapuštěných nebo zapuštěných se zapojením vodičů šroubové připojení, pro prostředí normální spínačů, řazení</t>
  </si>
  <si>
    <t>550</t>
  </si>
  <si>
    <t>ELT10.069.584</t>
  </si>
  <si>
    <t>Přístroj spínače dvojpólového, 10A/250V, šroubové svorky, řazení č.2S</t>
  </si>
  <si>
    <t>551</t>
  </si>
  <si>
    <t>ELT10.069.909</t>
  </si>
  <si>
    <t>Kryt spínače kolébkového, jednoduchý, bílý, s čirým průzorem a potiskem (polohy 0 a 1)</t>
  </si>
  <si>
    <t>552</t>
  </si>
  <si>
    <t>ELT10.024.835</t>
  </si>
  <si>
    <t>Doutnavka signalizační, 2mA, 230V pro domovní přístroje</t>
  </si>
  <si>
    <t>553</t>
  </si>
  <si>
    <t>741310201</t>
  </si>
  <si>
    <t>554</t>
  </si>
  <si>
    <t>ELT10.071.422</t>
  </si>
  <si>
    <t>Přístroj spínače jednopólového, 10A/250V, šroubové svorky, řazení č.1</t>
  </si>
  <si>
    <t>555</t>
  </si>
  <si>
    <t>556</t>
  </si>
  <si>
    <t>741310212</t>
  </si>
  <si>
    <t>Montáž spínačů jedno nebo dvoupólových polozapuštěných nebo zapuštěných se zapojením vodičů šroubové připojení, pro prostředí normální ovladačů, řazen</t>
  </si>
  <si>
    <t>557</t>
  </si>
  <si>
    <t>ELT10.072.639</t>
  </si>
  <si>
    <t>Přístroj spínače zapínacího se svorkou N, 10A/250V, šroubové svorky, řazení č.1/0So</t>
  </si>
  <si>
    <t>558</t>
  </si>
  <si>
    <t>559</t>
  </si>
  <si>
    <t>741112101</t>
  </si>
  <si>
    <t>560</t>
  </si>
  <si>
    <t>ELT10.074.803</t>
  </si>
  <si>
    <t>Krabice rozvodná s víčkem a svorkovnicí, D71, H43,5 mm, PVC, A1-D</t>
  </si>
  <si>
    <t>561</t>
  </si>
  <si>
    <t>741120501</t>
  </si>
  <si>
    <t>Montáž kabelů flexibilních měděných bez ukončení uložených volně lehkých a středních (např. CGSG), počtu žil do 7</t>
  </si>
  <si>
    <t>562</t>
  </si>
  <si>
    <t>ELT10.048.287</t>
  </si>
  <si>
    <t>Šňůra H05RR-F 3G2,5 (CGSG 3Cx2,5)</t>
  </si>
  <si>
    <t>M</t>
  </si>
  <si>
    <t>563</t>
  </si>
  <si>
    <t>741112001</t>
  </si>
  <si>
    <t>Montáž krabic elektroinstalačních bez napojení na trubky a lišty, demontáže a montáže víčka a přístroje protahovacích nebo odbočných zapuštěných plast</t>
  </si>
  <si>
    <t>564</t>
  </si>
  <si>
    <t>ELT10.079.363</t>
  </si>
  <si>
    <t>Krabice odbočná s víčkem, D71, H43,5 mm, PVC, A1-D</t>
  </si>
  <si>
    <t>565</t>
  </si>
  <si>
    <t>741112061</t>
  </si>
  <si>
    <t>Montáž krabic elektroinstalačních bez napojení na trubky a lišty, demontáže a montáže víčka a přístroje přístrojových zapuštěných plastových kruhových</t>
  </si>
  <si>
    <t>566</t>
  </si>
  <si>
    <t>ELT10.079.107</t>
  </si>
  <si>
    <t>Krabice přístrojová, H43 mm, PVC, A1-D, pro spojení ve svislém i vodorovném směru s roztečí 71 nebo 81 mm</t>
  </si>
  <si>
    <t>567</t>
  </si>
  <si>
    <t>741124701</t>
  </si>
  <si>
    <t>Montáž kabelů měděných ovládacích bez ukončení uložených volně stíněných ovládacích s plným jádrem (např. JYTY) počtu a průměru žil 2 až 19x0,8 mm2</t>
  </si>
  <si>
    <t>568</t>
  </si>
  <si>
    <t>ELT10.048.334</t>
  </si>
  <si>
    <t>Kabel JYTY-O 4x1 (4D)</t>
  </si>
  <si>
    <t>569</t>
  </si>
  <si>
    <t>741122011</t>
  </si>
  <si>
    <t>Montáž kabelů měděných bez ukončení uložených pod omítku plných kulatých (např. CYKY), počtu a průřezu žil 2x1,5 až 2,5 mm2</t>
  </si>
  <si>
    <t>570</t>
  </si>
  <si>
    <t>ELT10.049.640</t>
  </si>
  <si>
    <t>Kabel CYKY-O 2x1,5 (2A)</t>
  </si>
  <si>
    <t>571</t>
  </si>
  <si>
    <t>741122015</t>
  </si>
  <si>
    <t>Montáž kabelů měděných bez ukončení uložených pod omítku plných kulatých (např. CYKY), počtu a průřezu žil 3x1,5 mm2</t>
  </si>
  <si>
    <t>572</t>
  </si>
  <si>
    <t>ELT10.048.186</t>
  </si>
  <si>
    <t>Kabel CYKY-O 3x1,5 (3A)</t>
  </si>
  <si>
    <t>573</t>
  </si>
  <si>
    <t>741122211</t>
  </si>
  <si>
    <t>Montáž kabelů měděných bez ukončení uložených volně nebo v liště plných kulatých (např. CYKY) počtu a průřezu žil 3x1,5 až 6 mm2</t>
  </si>
  <si>
    <t>574</t>
  </si>
  <si>
    <t>ELT10.051.448</t>
  </si>
  <si>
    <t>Kabel CYKY-J 3x1,5 (3C)</t>
  </si>
  <si>
    <t>575</t>
  </si>
  <si>
    <t>576</t>
  </si>
  <si>
    <t>ELT10.048.482</t>
  </si>
  <si>
    <t>Kabel CYKY-J 3x2,5 (3C)</t>
  </si>
  <si>
    <t>577</t>
  </si>
  <si>
    <t>741122231</t>
  </si>
  <si>
    <t>Montáž kabelů měděných bez ukončení uložených volně nebo v liště plných kulatých (např. CYKY) počtu a průřezu žil 5x1,5 až 2,5 mm2</t>
  </si>
  <si>
    <t>578</t>
  </si>
  <si>
    <t>ELT10.048.243</t>
  </si>
  <si>
    <t>Kabel CYKY-J 5x1,5 (5C)</t>
  </si>
  <si>
    <t>579</t>
  </si>
  <si>
    <t>PVLOIDHIUOHO</t>
  </si>
  <si>
    <t>Kabel CYKY-O 5x1,5 (5C)</t>
  </si>
  <si>
    <t>580</t>
  </si>
  <si>
    <t>741122233</t>
  </si>
  <si>
    <t>Montáž kabelů měděných bez ukončení uložených volně nebo v liště plných kulatých (např. CYKY) počtu a průřezu žil 5x10 mm2</t>
  </si>
  <si>
    <t>581</t>
  </si>
  <si>
    <t>ELT10.051.282</t>
  </si>
  <si>
    <t>Kabel CYKY-J 5x10 (5C)</t>
  </si>
  <si>
    <t>582</t>
  </si>
  <si>
    <t>741122234</t>
  </si>
  <si>
    <t>Montáž kabelů měděných bez ukončení uložených volně nebo v liště plných kulatých (např. CYKY) počtu a průřezu žil 5x16 mm2</t>
  </si>
  <si>
    <t>583</t>
  </si>
  <si>
    <t>ELT10.049.436</t>
  </si>
  <si>
    <t>Kabel CYKY-J 5x16 (5C)</t>
  </si>
  <si>
    <t>584</t>
  </si>
  <si>
    <t>741120303</t>
  </si>
  <si>
    <t>Montáž vodičů izolovaných měděných bez ukončení uložených pevně plných a laněných s PVC pláštěm, bezhalogenových, ohniodolných (např. CY, CHAH-V) průř</t>
  </si>
  <si>
    <t>585</t>
  </si>
  <si>
    <t>ELT10.050.258</t>
  </si>
  <si>
    <t>Vodič H07V-K 25 Z/ZL (CYA 25 zlž)</t>
  </si>
  <si>
    <t>586</t>
  </si>
  <si>
    <t>587</t>
  </si>
  <si>
    <t>JNC4875195</t>
  </si>
  <si>
    <t>Kabel silový oheň retardující bezhalogenový s funkčností při požáru 180min a P60-R  reakce na oheň B2cas1d1a1 jádro Cu 0,6/1kV 3Jx1,5mm2</t>
  </si>
  <si>
    <t>588</t>
  </si>
  <si>
    <t>741313042</t>
  </si>
  <si>
    <t>Montáž zásuvek domovních se zapojením vodičů šroubové připojení polozapuštěných nebo zapuštěných 10/16 A, provedení 2P + PE dvojí zapojení pro průběžn</t>
  </si>
  <si>
    <t>589</t>
  </si>
  <si>
    <t>ELT10.081.243</t>
  </si>
  <si>
    <t>Zásuvka domovní jednonásobná s ochranným kolíkem a clonkami, 2P+PE, 250V/16A, bílá</t>
  </si>
  <si>
    <t>590</t>
  </si>
  <si>
    <t>741313002</t>
  </si>
  <si>
    <t>Montáž zásuvek domovních se zapojením vodičů bezšroubové připojení polozapuštěných nebo zapuštěných 10/16 A, provedení 2P + PE dvojí zapojení pro průb</t>
  </si>
  <si>
    <t>591</t>
  </si>
  <si>
    <t>ELT10.080.442</t>
  </si>
  <si>
    <t>Zásuvka domovní jednonásobná s ochranným kolíkem a clonkami, 2P+PE, 250V/16A, bílá, přepěťová, s optickou signalizací</t>
  </si>
  <si>
    <t>592</t>
  </si>
  <si>
    <t>741130001</t>
  </si>
  <si>
    <t>Ukončení vodičů izolovaných s označením a zapojením v rozváděči nebo na přístroji, průřezu žíly do 2,5 mm2</t>
  </si>
  <si>
    <t>593</t>
  </si>
  <si>
    <t>741130006</t>
  </si>
  <si>
    <t>Ukončení vodičů izolovaných s označením a zapojením v rozváděči nebo na přístroji, průřezu žíly do 16 mm2</t>
  </si>
  <si>
    <t>594</t>
  </si>
  <si>
    <t>741112111</t>
  </si>
  <si>
    <t>Montáž krabic elektroinstalačních bez napojení na trubky a lišty, demontáže a montáže víčka a přístroje rozvodek se zapojením vodičů na svorkovnici ná</t>
  </si>
  <si>
    <t>595</t>
  </si>
  <si>
    <t>ELT10.955.893</t>
  </si>
  <si>
    <t>Krabice na povrch, plastová, 122x122x45mm, IP67, 4x svorkovnice do 4mm2</t>
  </si>
  <si>
    <t>596</t>
  </si>
  <si>
    <t>998741101</t>
  </si>
  <si>
    <t>Přesun hmot pro silnoproud stanovený z hmotnosti přesunovaného materiálu vodorovná dopravní vzdálenost do 50 m základní v objektech výšky do 6 m</t>
  </si>
  <si>
    <t>597</t>
  </si>
  <si>
    <t>741372022</t>
  </si>
  <si>
    <t>Montáž svítidel s integrovaným zdrojem LED se zapojením vodičů interiérových přisazených nástěnných hranatých nebo kruhových, plochy přes 0,09 do 0,36</t>
  </si>
  <si>
    <t>598</t>
  </si>
  <si>
    <t>SVIN1</t>
  </si>
  <si>
    <t>Svítidlo N1 viz kniha svítidel</t>
  </si>
  <si>
    <t>599</t>
  </si>
  <si>
    <t>SVIN2</t>
  </si>
  <si>
    <t>Svítidlo N2 viz kniha svítidel</t>
  </si>
  <si>
    <t>600</t>
  </si>
  <si>
    <t>SVID1</t>
  </si>
  <si>
    <t>Svítidlo D1 viz kniha svítidel</t>
  </si>
  <si>
    <t>601</t>
  </si>
  <si>
    <t>SVID2</t>
  </si>
  <si>
    <t>Svítidlo D2 viz kniha svítidel</t>
  </si>
  <si>
    <t>602</t>
  </si>
  <si>
    <t>SVID3</t>
  </si>
  <si>
    <t>Svítidlo D3 viz kniha svítidel</t>
  </si>
  <si>
    <t>603</t>
  </si>
  <si>
    <t>SVIT1</t>
  </si>
  <si>
    <t>Svítidlo T1 viz kniha svítidel</t>
  </si>
  <si>
    <t>604</t>
  </si>
  <si>
    <t>SVIT2</t>
  </si>
  <si>
    <t>Svítidlo T2 viz kniha svítidel</t>
  </si>
  <si>
    <t>605</t>
  </si>
  <si>
    <t>SVIT3</t>
  </si>
  <si>
    <t>Svítidlo T3 viz kniha svítidel</t>
  </si>
  <si>
    <t>606</t>
  </si>
  <si>
    <t>SVIT4</t>
  </si>
  <si>
    <t>Svítidlo T4 viz kniha svítidel</t>
  </si>
  <si>
    <t>607</t>
  </si>
  <si>
    <t>SVIL1</t>
  </si>
  <si>
    <t>Svítidlo L1 viz kniha svítidel</t>
  </si>
  <si>
    <t>608</t>
  </si>
  <si>
    <t>SVIL2</t>
  </si>
  <si>
    <t>Svítidlo L2 viz kniha svítidel</t>
  </si>
  <si>
    <t>609</t>
  </si>
  <si>
    <t>SVIV1</t>
  </si>
  <si>
    <t>Svítidlo V1 viz kniha svítidel</t>
  </si>
  <si>
    <t>610</t>
  </si>
  <si>
    <t>DALSN1</t>
  </si>
  <si>
    <t>Dali snímač příspěvku denního osvětlení</t>
  </si>
  <si>
    <t>611</t>
  </si>
  <si>
    <t>DALSN2</t>
  </si>
  <si>
    <t>Dali snímač tlačítkovách stupů do krabice, 4x INPUT</t>
  </si>
  <si>
    <t>612</t>
  </si>
  <si>
    <t>741360431</t>
  </si>
  <si>
    <t>Montáž ostatních měnicích prvků jinde neuvedených bez zapojení, hmotnosti do 2 kg</t>
  </si>
  <si>
    <t>613</t>
  </si>
  <si>
    <t>614</t>
  </si>
  <si>
    <t>615</t>
  </si>
  <si>
    <t>616</t>
  </si>
  <si>
    <t>CNR560145</t>
  </si>
  <si>
    <t>Hygrostat pokojový, nástěnný, bílý, IP30, 35 - 100 % rel. vlhkosti, 1x přepínací kontakt 230 V/5 (0,2) A</t>
  </si>
  <si>
    <t>617</t>
  </si>
  <si>
    <t>618</t>
  </si>
  <si>
    <t>619</t>
  </si>
  <si>
    <t>HZS2231</t>
  </si>
  <si>
    <t>Hodinové zúčtovací sazby profesí PSV provádění stavebních instalací elektrikář</t>
  </si>
  <si>
    <t>Montážní práce podružného a spojovacího materiálu</t>
  </si>
  <si>
    <t>620</t>
  </si>
  <si>
    <t>PSM722110402NS3I</t>
  </si>
  <si>
    <t>Podružný a spojovací materiál, včetně ostatního příslušenství</t>
  </si>
  <si>
    <t>SET</t>
  </si>
  <si>
    <t>744VD</t>
  </si>
  <si>
    <t>Rozváděče</t>
  </si>
  <si>
    <t>621</t>
  </si>
  <si>
    <t>744VD_</t>
  </si>
  <si>
    <t>05_74_</t>
  </si>
  <si>
    <t>RH - Doplnění výzbroje do stávajícího rozváděče</t>
  </si>
  <si>
    <t>622</t>
  </si>
  <si>
    <t>PVL7220703SB1RH0</t>
  </si>
  <si>
    <t>Propojovací sběrnice, vodiče, označení, popisy, výstražné tabulky a ostatní příslušenství</t>
  </si>
  <si>
    <t>623</t>
  </si>
  <si>
    <t>PVL7220703KSZRH0</t>
  </si>
  <si>
    <t>Protokol o kusové zkoušce, výrobní dokumentace</t>
  </si>
  <si>
    <t>624</t>
  </si>
  <si>
    <t>ELT10.059.846</t>
  </si>
  <si>
    <t>Napěťová spoušť, AC 230 k jističům do výkonu 250A</t>
  </si>
  <si>
    <t>625</t>
  </si>
  <si>
    <t>ELT10.055.143</t>
  </si>
  <si>
    <t>Jistič modulový 2A/1/B, 1-pólový, In=2A, charakteristika B, Ik=10kA</t>
  </si>
  <si>
    <t>626</t>
  </si>
  <si>
    <t>PVLSVORKA001</t>
  </si>
  <si>
    <t>Svorka řadová, šroubová, na DIN lištu, drát 2,5mm2, šířka 5mm, In=24A, bílá</t>
  </si>
  <si>
    <t>627</t>
  </si>
  <si>
    <t>PVLSVORKA002</t>
  </si>
  <si>
    <t>Svorka řadová, šroubová, na DIN lištu, drát 2,5mm2, šířka 5mm, In=24A, světle modrá</t>
  </si>
  <si>
    <t>628</t>
  </si>
  <si>
    <t>PVLSVORKA003</t>
  </si>
  <si>
    <t>Svorka řadová, šroubová, na DIN lištu, drát 2,5mm2, šířka 5mm, In=24A, zelená</t>
  </si>
  <si>
    <t>629</t>
  </si>
  <si>
    <t>RS01 - Doplnění výzbroje do stávajícího rozváděče</t>
  </si>
  <si>
    <t>630</t>
  </si>
  <si>
    <t>PVL7220703SB1RS0</t>
  </si>
  <si>
    <t>631</t>
  </si>
  <si>
    <t>PVL7220703KSZRS0</t>
  </si>
  <si>
    <t>632</t>
  </si>
  <si>
    <t>ELT11.020.230</t>
  </si>
  <si>
    <t>Jistič modulový 32A/4/B, 4-pólový, In=32A, charakteristika B, Ik=10kA</t>
  </si>
  <si>
    <t>633</t>
  </si>
  <si>
    <t>PVLSVORKA016</t>
  </si>
  <si>
    <t>Svorka řadová, šroubová, na DIN lištu, drát 16mm2, šířka 10mm, In=57A, bílá</t>
  </si>
  <si>
    <t>634</t>
  </si>
  <si>
    <t>PVLSVORKA016B</t>
  </si>
  <si>
    <t>Svorka řadová, šroubová, na DIN lištu, drát 16mm2, šířka 10mm, In=57A, světle modrá</t>
  </si>
  <si>
    <t>635</t>
  </si>
  <si>
    <t>PVLSVORKA016C</t>
  </si>
  <si>
    <t>Svorka řadová, šroubová, na DIN lištu, drát 16mm2, šířka 10mm, In=57A, zelená</t>
  </si>
  <si>
    <t>636</t>
  </si>
  <si>
    <t>RS03 - Doplnění výzbroje do stávající prázdné skříně</t>
  </si>
  <si>
    <t>637</t>
  </si>
  <si>
    <t>638</t>
  </si>
  <si>
    <t>639</t>
  </si>
  <si>
    <t>ELT10.337.165</t>
  </si>
  <si>
    <t>Hlavní vypínač na DIN lištu, modulový, 4-pólový, Ith=80A, 45A/22kW/AC-23A/415V, uzamykatelný na visací zámek</t>
  </si>
  <si>
    <t>640</t>
  </si>
  <si>
    <t>ELT10.840.360</t>
  </si>
  <si>
    <t>Pojistkový odpínač válcových pojistek 14x51, 690V/63A AC, modulární, 3 pólový, bez signalizace</t>
  </si>
  <si>
    <t>641</t>
  </si>
  <si>
    <t>ELT10.081.668</t>
  </si>
  <si>
    <t>Pojistková vložka válcová 14x51, 500V/63A AC, charakteristika gG</t>
  </si>
  <si>
    <t>642</t>
  </si>
  <si>
    <t>ELT10.862.310</t>
  </si>
  <si>
    <t>L1-L2-L3-N - Modulový svodič přepětí třídy T2 (II, C) pro sítě TN-C-S 400V/230V/50Hz, Iimp=20kA (8/20 µs), Up(5kA)=1000V (8/20 µs), Imax=40kA</t>
  </si>
  <si>
    <t>643</t>
  </si>
  <si>
    <t>ELT10.060.473</t>
  </si>
  <si>
    <t>Proudový chránič s nadproudovou ochranou modulový, 1+N/6A/B/0,03/AC, 1+N-pólový, In=6A, I?n=30mA, charakteristika B, typ AC, Iraz=250A/8/20 µs, Ik=10k</t>
  </si>
  <si>
    <t>644</t>
  </si>
  <si>
    <t>ELT10.060.031</t>
  </si>
  <si>
    <t>Proudový chránič s nadproudovou ochranou modulový, 1+N/10A/B/0,03/AC, 1+N-pólový, In=10A, I?n=30mA, charakteristika B, typ AC, Iraz=250A/8/20 µs, Ik=1</t>
  </si>
  <si>
    <t>645</t>
  </si>
  <si>
    <t>ELT10.059.994</t>
  </si>
  <si>
    <t>Proudový chránič s nadproudovou ochranou modulový, 1+N/16A/B/0,03/AC, 1+N-pólový, In=16A, I?n=30mA, charakteristika B, typ AC, Iraz=250A/8/20 µs, Ik=1</t>
  </si>
  <si>
    <t>646</t>
  </si>
  <si>
    <t>ELT10.072.725</t>
  </si>
  <si>
    <t>Přepínač modulový 16A/230V, 1 PŘEP I-0-II, In=16A/AC1, páčkový</t>
  </si>
  <si>
    <t>647</t>
  </si>
  <si>
    <t>ELT10.918.751</t>
  </si>
  <si>
    <t>Časové relé univerzální modulové 8A/230V, 1 PŘEP, In=8A/AC1, max 2000VA, napětí cívky 12 ÷ 230 V AC/DC</t>
  </si>
  <si>
    <t>648</t>
  </si>
  <si>
    <t>NONOEZ35570</t>
  </si>
  <si>
    <t>Časové relé taktovací modulové 8A/230V, 1 PŘEP, In=8A/AC1, max 2000VA, napětí cívky 12 ÷ 230 V AC/DC</t>
  </si>
  <si>
    <t>649</t>
  </si>
  <si>
    <t>650</t>
  </si>
  <si>
    <t>651</t>
  </si>
  <si>
    <t>652</t>
  </si>
  <si>
    <t>653</t>
  </si>
  <si>
    <t>654</t>
  </si>
  <si>
    <t>655</t>
  </si>
  <si>
    <t>656</t>
  </si>
  <si>
    <t>RS1.8 - Doplnění výzbroje do stávajícího rozváděče</t>
  </si>
  <si>
    <t>657</t>
  </si>
  <si>
    <t>PVL7220703SB1RS1</t>
  </si>
  <si>
    <t>658</t>
  </si>
  <si>
    <t>PVL7220703KSZRS1</t>
  </si>
  <si>
    <t>659</t>
  </si>
  <si>
    <t>660</t>
  </si>
  <si>
    <t>661</t>
  </si>
  <si>
    <t>662</t>
  </si>
  <si>
    <t>663</t>
  </si>
  <si>
    <t>664</t>
  </si>
  <si>
    <t>RS1.6 - Nový rozváděč</t>
  </si>
  <si>
    <t>665</t>
  </si>
  <si>
    <t>666</t>
  </si>
  <si>
    <t>667</t>
  </si>
  <si>
    <t>ELT10.037.845</t>
  </si>
  <si>
    <t>Domovní rozváděč pro zapuštěnou montáž - do zdiva, 6 řad přístrojů, 198 TE, IP30/20, tř. ochr. I, dveře a skříň z ocelového plechu, bílý, pozinkované</t>
  </si>
  <si>
    <t>668</t>
  </si>
  <si>
    <t>ELT10.031.786</t>
  </si>
  <si>
    <t>Hlavní vypínač na DIN lištu, modulový, 3-pólový, Ith=80A, 75A/37kW/AC-23A/415V, uzamykatelný na visací zámek [ABB: 1SCA022530R5770, OT63ML3, EAN 64170</t>
  </si>
  <si>
    <t>669</t>
  </si>
  <si>
    <t>670</t>
  </si>
  <si>
    <t>671</t>
  </si>
  <si>
    <t>ELT10.847.664</t>
  </si>
  <si>
    <t>L1-L2-L3 - Modulový kombinovaný svodič přepětí třídy T1+T2 (I+II, B+C) pro sítě TN-C 400V/230V/50Hz, Iimp=12,5kA (10/350 µs), Up(5kA)=920V (8/20 µs),</t>
  </si>
  <si>
    <t>672</t>
  </si>
  <si>
    <t>TRL7861500</t>
  </si>
  <si>
    <t>Řídící jednotka - Systémová součást pro ovládání osvětlení protokolem DALI, 2x ETHERNET, 1x linka DALI 64 adres, napájení 230V AC, programovatelná</t>
  </si>
  <si>
    <t>673</t>
  </si>
  <si>
    <t>ELT11.020.227</t>
  </si>
  <si>
    <t>Jistič modulový 25A/4/B, 4-pólový, In=25A, charakteristika B, Ik=10kA</t>
  </si>
  <si>
    <t>674</t>
  </si>
  <si>
    <t>ELT10.059.904</t>
  </si>
  <si>
    <t>Jistič modulový 4A/1/B, 1-pólový, In=4A, charakteristika B, Ik=10kA [EATON: 264850, PL7-B4/1, EAN 9007912314035]</t>
  </si>
  <si>
    <t>675</t>
  </si>
  <si>
    <t>676</t>
  </si>
  <si>
    <t>677</t>
  </si>
  <si>
    <t>678</t>
  </si>
  <si>
    <t>SEZ0090903</t>
  </si>
  <si>
    <t>Proudový chránič s nadproudovou ochranou modulový, 3+N/16A/B/0,03/A, 3+N-pólový, In=16A, I?n=30mA, charakteristika B, typ A, Ik=10kA [SEZ: 0090903, PF</t>
  </si>
  <si>
    <t>679</t>
  </si>
  <si>
    <t>680</t>
  </si>
  <si>
    <t>681</t>
  </si>
  <si>
    <t>682</t>
  </si>
  <si>
    <t>683</t>
  </si>
  <si>
    <t>684</t>
  </si>
  <si>
    <t>685</t>
  </si>
  <si>
    <t>PVLSVORKA004</t>
  </si>
  <si>
    <t>Svorka řadová, šroubová, na DIN lištu, drát 2,5mm2, šířka 5mm, In=24A, tmavě modrá</t>
  </si>
  <si>
    <t>686</t>
  </si>
  <si>
    <t>PVLSVORKA005</t>
  </si>
  <si>
    <t>Svorka řadová, šroubová, na DIN lištu, drát 2,5mm2, šířka 5mm, In=24A, rudá</t>
  </si>
  <si>
    <t>687</t>
  </si>
  <si>
    <t>688</t>
  </si>
  <si>
    <t>689</t>
  </si>
  <si>
    <t>690</t>
  </si>
  <si>
    <t>691</t>
  </si>
  <si>
    <t>692</t>
  </si>
  <si>
    <t>RS1.6.1 - Nový rozváděč</t>
  </si>
  <si>
    <t>693</t>
  </si>
  <si>
    <t>ELT11.019.192</t>
  </si>
  <si>
    <t>Domovní rozváděč pro zapuštěnou montáž - do zdiva, 4 řady přístrojů, 48+8 TE, IP30/20, tř. ochr. II, plastové tělo, ocelová dvířka, pozinkované lišty,</t>
  </si>
  <si>
    <t>694</t>
  </si>
  <si>
    <t>695</t>
  </si>
  <si>
    <t>696</t>
  </si>
  <si>
    <t>ELT10.317.536</t>
  </si>
  <si>
    <t>Hlavní vypínač na DIN lištu, modulový, 4-pólový, Ith=40A, 23A/11kW/AC-23A/415V, uzamykatelný na visací zámek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</si>
  <si>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</si>
  <si>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</si>
  <si>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</si>
  <si>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</si>
  <si>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</si>
  <si>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</si>
  <si>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</si>
  <si>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</si>
  <si>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</si>
  <si>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</si>
  <si>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</si>
  <si>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Práce a dodávky M Slaboproud</t>
  </si>
  <si>
    <t>708</t>
  </si>
  <si>
    <t>468101412</t>
  </si>
  <si>
    <t>Vysekání rýh pro montáž trubek a kabelů v cihelných zdech hloubky do 5 cm a šířky přes 3 do 5 cm</t>
  </si>
  <si>
    <t>M_</t>
  </si>
  <si>
    <t>709</t>
  </si>
  <si>
    <t>468091111</t>
  </si>
  <si>
    <t>Vysekání kapes nebo výklenků ve zdivu cihelném pro osazení kotevních prvků nebo elektroinstalačního zařízení  veliklosti7x7x5 cm</t>
  </si>
  <si>
    <t>710</t>
  </si>
  <si>
    <t>HZS3232</t>
  </si>
  <si>
    <t>Hodinové zúčtovací sazby montáží technologických zařízení na stavebních objektech montér měřících zařízení odborný</t>
  </si>
  <si>
    <t>Závěrečné měření umělého osvětlení včetně vypracování protokolu</t>
  </si>
  <si>
    <t>711</t>
  </si>
  <si>
    <t>Nastavení systému, oživení a uvedení do provozu</t>
  </si>
  <si>
    <t>Koordinace profesí, příprava stavby</t>
  </si>
  <si>
    <t>HZS4211</t>
  </si>
  <si>
    <t>Hodinové zúčtovací sazby ostatních profesí revizní a kontrolní činnost revizní technik</t>
  </si>
  <si>
    <t>Vyhotovení výchozí revize</t>
  </si>
  <si>
    <t>714</t>
  </si>
  <si>
    <t>Hodinové zúčtovací sazby profesí PSV provádění stavebních instalací elektrikář odborný</t>
  </si>
  <si>
    <t>Vyhotovení dokumentace skutečného stavu</t>
  </si>
  <si>
    <t>715</t>
  </si>
  <si>
    <t>Ostatní montážní práce a přepojení</t>
  </si>
  <si>
    <t>716</t>
  </si>
  <si>
    <t>06_9_</t>
  </si>
  <si>
    <t>06_</t>
  </si>
  <si>
    <t>717</t>
  </si>
  <si>
    <t>STNART02279</t>
  </si>
  <si>
    <t>Kabel datový, metalický, stíněný, pro horizontální rozvody strukturované kabeláže, cat. 6A, STP LSOH</t>
  </si>
  <si>
    <t>718</t>
  </si>
  <si>
    <t>210290862</t>
  </si>
  <si>
    <t>Doplnění orientačních štítků na kovovou desku nebo plast. hmotu</t>
  </si>
  <si>
    <t>Požární kabelová ucpávka 0.01m2 ve stěnovém průchodu do tloušťky 0,3m</t>
  </si>
  <si>
    <t>719</t>
  </si>
  <si>
    <t>741920052</t>
  </si>
  <si>
    <t>Montáž a zhotovení ohnivzdorných konstrukcí pro elektrozařízení přepážek z desek nebo vyztužených omítek silikátových s výplní ve stěnovém průchodu,</t>
  </si>
  <si>
    <t>tl. přes 150 do 300 mm</t>
  </si>
  <si>
    <t>720</t>
  </si>
  <si>
    <t>59081026</t>
  </si>
  <si>
    <t>zátka protipožární kabelová pro max. průměr otvoru 107mm</t>
  </si>
  <si>
    <t>Montáž krabic elektroinstal.bez napojení na trubky a lišty, demontáže a montáže víčka a přístroje přístrojových zapuštěných plast.kruhových do zdiva</t>
  </si>
  <si>
    <t>724</t>
  </si>
  <si>
    <t>741313471</t>
  </si>
  <si>
    <t>Montáž zásuvek vícepólových bez zapojení vodičů s krytem</t>
  </si>
  <si>
    <t>741134031</t>
  </si>
  <si>
    <t>Ukončení kabelů uzávěry nebo formami, se zapojením formami s prozvoněním, pro počet žil do 5x2</t>
  </si>
  <si>
    <t>INT23100203</t>
  </si>
  <si>
    <t>Datová zásuvka modulární 45x45, modul přímý pro 2 keystony, RAL 9003, vyměnitelné popisové pole, protiprachová krytka s pružinou</t>
  </si>
  <si>
    <t>727</t>
  </si>
  <si>
    <t>HDE001056</t>
  </si>
  <si>
    <t>10G keystone modul 1xRJ45 CAT6A STP</t>
  </si>
  <si>
    <t>728</t>
  </si>
  <si>
    <t>ELT10.642.969</t>
  </si>
  <si>
    <t>Adaptér pro přístroje MODUL 45x45</t>
  </si>
  <si>
    <t>729</t>
  </si>
  <si>
    <t>ELT10.074.097</t>
  </si>
  <si>
    <t>Kryt přístroje pro MODUL 45x45, bílý</t>
  </si>
  <si>
    <t>730</t>
  </si>
  <si>
    <t>731</t>
  </si>
  <si>
    <t>732</t>
  </si>
  <si>
    <t>PSM722070302ŠR</t>
  </si>
  <si>
    <t>220490845</t>
  </si>
  <si>
    <t>Montáž příslušenství pro telefonní přístroje portu strukturované kabeláže</t>
  </si>
  <si>
    <t>Krimplovací konektor RJ45 cat 6A STP</t>
  </si>
  <si>
    <t>220490846</t>
  </si>
  <si>
    <t>Měření strukturované kabeláže jednoho portu</t>
  </si>
  <si>
    <t>220450007</t>
  </si>
  <si>
    <t>Montáž datové skříně rack</t>
  </si>
  <si>
    <t>Výzbroj datového rozváděče R-DAT [1.03] a doplnění hlavního datového rozváděče</t>
  </si>
  <si>
    <t>736</t>
  </si>
  <si>
    <t>STNART04647</t>
  </si>
  <si>
    <t>10G keystone CAT6A STP RJ45</t>
  </si>
  <si>
    <t>737</t>
  </si>
  <si>
    <t>STNART03764</t>
  </si>
  <si>
    <t>Datový rozváděč nástěnný, 18U, 600x600x901 mm (šířka x hloubka x výška)</t>
  </si>
  <si>
    <t>738</t>
  </si>
  <si>
    <t>STNART04273</t>
  </si>
  <si>
    <t>19" napájecí panel, 6x230V, vypínač, přepěťová ochrana</t>
  </si>
  <si>
    <t>739</t>
  </si>
  <si>
    <t>ALZTP667k2</t>
  </si>
  <si>
    <t>Switch - 16 portový gigabitový switch, bezvětrákový, desktop/rack, 294x180x44 mm</t>
  </si>
  <si>
    <t>740</t>
  </si>
  <si>
    <t>INT28630109</t>
  </si>
  <si>
    <t>Propojovací patch kabel CAT6 UTP PVC 1m modrý snag-proof</t>
  </si>
  <si>
    <t>741</t>
  </si>
  <si>
    <t>INT28630209</t>
  </si>
  <si>
    <t>Propojovací patch kabel CAT6 UTP PVC 2m modrý snag-proof</t>
  </si>
  <si>
    <t>742</t>
  </si>
  <si>
    <t>INT86010306</t>
  </si>
  <si>
    <t>Optická vana s výsuvnou policí eloxovaný hliník 1U bez čela, 44 x 480 x 210 mm (VxŠxH), včetně montážní sady (průchodky PG13, vyvazovací pásky se samo</t>
  </si>
  <si>
    <t>743</t>
  </si>
  <si>
    <t>INT80190183</t>
  </si>
  <si>
    <t>Čelo optické vany 1U ALU pro 24 SC duplex, eloxovaný hliník</t>
  </si>
  <si>
    <t>744</t>
  </si>
  <si>
    <t>INT70250024</t>
  </si>
  <si>
    <t>Optická kazeta pro 24 svárů, 12x168x124mm (VxŠxH), včetně dvou dvoupatrových hřebínků, které společně pojmou kapacitu až 24 ochran svárů do průměru ma</t>
  </si>
  <si>
    <t>H02</t>
  </si>
  <si>
    <t>Interaktivní tabule</t>
  </si>
  <si>
    <t>745</t>
  </si>
  <si>
    <t>H02_</t>
  </si>
  <si>
    <t>746</t>
  </si>
  <si>
    <t>Montáž a zhotovení ohnivzdor.kcí pro elektrozařízení přepážek z desek nebo vyztužených omítek silikátových s výplní ve stěnovém průchodu, tl.150-300mm</t>
  </si>
  <si>
    <t>747</t>
  </si>
  <si>
    <t>748</t>
  </si>
  <si>
    <t>749</t>
  </si>
  <si>
    <t>741128021</t>
  </si>
  <si>
    <t>Ostatní práce při montáži vodičů a kabelů Příplatek k cenám montáže vodičů a kabelů za zatahování vodičů a kabelů do tvárnicových tras s komorami nebo</t>
  </si>
  <si>
    <t>750</t>
  </si>
  <si>
    <t>MRN96008865</t>
  </si>
  <si>
    <t>Kabel metalický, propojovací HDMI  celková délka cca 10m</t>
  </si>
  <si>
    <t>752</t>
  </si>
  <si>
    <t>753</t>
  </si>
  <si>
    <t>754</t>
  </si>
  <si>
    <t>755</t>
  </si>
  <si>
    <t>756</t>
  </si>
  <si>
    <t>PANCMHDMIWH</t>
  </si>
  <si>
    <t>Modul A female/female, bílý, velikost - 2 moduly</t>
  </si>
  <si>
    <t>757</t>
  </si>
  <si>
    <t>PANCFPFF2AW</t>
  </si>
  <si>
    <t>Zásuvka modulární 45x45 pro dva moduly MINI-COM</t>
  </si>
  <si>
    <t>758</t>
  </si>
  <si>
    <t>759</t>
  </si>
  <si>
    <t>760</t>
  </si>
  <si>
    <t>761</t>
  </si>
  <si>
    <t>741110062</t>
  </si>
  <si>
    <t>Montáž trubek elektroinstalačních s nasunutím nebo našroubováním do krabic plastových ohebných, uložených pod omítku, vnější O přes 23 do 35 mm</t>
  </si>
  <si>
    <t>Trubka ohebná PVC 25 pod omítkou - střední mechanická odolnost (750 N/5 cm)</t>
  </si>
  <si>
    <t>ELT10.075.430</t>
  </si>
  <si>
    <t>Trubka, pro instalaci na povrch, do omítky nebo pod omítku, vhodná pro montáž do dutých zdí, příček, stropů, střední mechanická odolnost (750 N/5 cm),</t>
  </si>
  <si>
    <t>763</t>
  </si>
  <si>
    <t>PSM722070302IR</t>
  </si>
  <si>
    <t>765</t>
  </si>
  <si>
    <t>Projektor školní s krátkou projekční vzdáleností</t>
  </si>
  <si>
    <t>ALZEBXNJD89</t>
  </si>
  <si>
    <t>Projektor DLP LED, Full HD, nativní rozlišení 1920 × 1080, 16:9, 3D, svítivost 1500 ANSI lm, HDMI 2.0, LAN, Android</t>
  </si>
  <si>
    <t>768</t>
  </si>
  <si>
    <t>ALZAN010d1</t>
  </si>
  <si>
    <t>Interaktivní tabule 16:10</t>
  </si>
  <si>
    <t>H03</t>
  </si>
  <si>
    <t>Školní zvonek</t>
  </si>
  <si>
    <t>769</t>
  </si>
  <si>
    <t>H03_</t>
  </si>
  <si>
    <t>770</t>
  </si>
  <si>
    <t>ELT10.048.299</t>
  </si>
  <si>
    <t>Kabel CYKY-O 2x2,5 (2D)</t>
  </si>
  <si>
    <t>772</t>
  </si>
  <si>
    <t>Montáž a zhotovení ohnivzdor kcí pro elektrozařízení přepážek z desek nebo vyztužených omítek silikátových s výplní ve stěnovém průchodu, tl.150-300mm</t>
  </si>
  <si>
    <t>773</t>
  </si>
  <si>
    <t>774</t>
  </si>
  <si>
    <t>777</t>
  </si>
  <si>
    <t>778</t>
  </si>
  <si>
    <t>779</t>
  </si>
  <si>
    <t>741128002</t>
  </si>
  <si>
    <t>Ostatní práce při montáži vodičů a kabelů úpravy vodičů a kabelů označování dalším štítkem</t>
  </si>
  <si>
    <t>780</t>
  </si>
  <si>
    <t>CNR394053</t>
  </si>
  <si>
    <t>Štítek označovací se stahovamím páskem, transparetní, polypropylen, 30x8x3,5mm (délka x šířka x výška) včetně terminální značky 27x6,3 mm (pásek)</t>
  </si>
  <si>
    <t>220320201</t>
  </si>
  <si>
    <t>Montáž zvonku pro vnitřní použití na střídavý nebo stejnosměrný proud napětí 3 až 24 V</t>
  </si>
  <si>
    <t>782</t>
  </si>
  <si>
    <t>ALC9730072</t>
  </si>
  <si>
    <t>Školní zvonek pro standardní použití</t>
  </si>
  <si>
    <t>PSM722070302ŠZ</t>
  </si>
  <si>
    <t>H04</t>
  </si>
  <si>
    <t>Školní rozhlas</t>
  </si>
  <si>
    <t>785</t>
  </si>
  <si>
    <t>H04_</t>
  </si>
  <si>
    <t>786</t>
  </si>
  <si>
    <t>787</t>
  </si>
  <si>
    <t>741122031</t>
  </si>
  <si>
    <t>Montáž kabelů měděných bez ukončení uložených pod omítku plných kulatých (např. CYKY), počtu a průřezu žil 5x1,5 až 2,5 mm2</t>
  </si>
  <si>
    <t>788</t>
  </si>
  <si>
    <t>ELT10.048.403</t>
  </si>
  <si>
    <t>Kabel CYKY-J 5x2,5 (5C)</t>
  </si>
  <si>
    <t>789</t>
  </si>
  <si>
    <t>790</t>
  </si>
  <si>
    <t>Montáž a zhotovení ohnivzdorných konstrukcí pro elektrozařízení přepážek z desek nebo vyztužených omítek silikátových s výplní ve stěnovém průchodu, t</t>
  </si>
  <si>
    <t>791</t>
  </si>
  <si>
    <t>792</t>
  </si>
  <si>
    <t>793</t>
  </si>
  <si>
    <t>794</t>
  </si>
  <si>
    <t>Montáž krabic elektroinstalačních bez napojení na trubky a lišty, demontáže a montáže víčka a přístroje rozvodek se zapojením vodičů na svorkovnici</t>
  </si>
  <si>
    <t>krabice zapuštěná plastová kruhová do zdiva</t>
  </si>
  <si>
    <t>795</t>
  </si>
  <si>
    <t>796</t>
  </si>
  <si>
    <t>797</t>
  </si>
  <si>
    <t>741310401</t>
  </si>
  <si>
    <t>Montáž spínačů tří nebo čtyřpólových nástěnných se zapojením vodičů, pro prostředí normální do 16 A</t>
  </si>
  <si>
    <t>Regulátor hlasitosti, s nuceným poslechem, bílý</t>
  </si>
  <si>
    <t>798</t>
  </si>
  <si>
    <t>799</t>
  </si>
  <si>
    <t>ELT10.043.676</t>
  </si>
  <si>
    <t>Regulátor hlasitosti otočný, s nuceným poslechem po systémy 100V, regulovaný výstupní nf výkon: 0 - 5 W, šroubové svorky, bílý</t>
  </si>
  <si>
    <t>800</t>
  </si>
  <si>
    <t>801</t>
  </si>
  <si>
    <t>220370536</t>
  </si>
  <si>
    <t>Montáž reproduktoru bez připojeného regulátoru hlasitosti skříňového do 6 W nástěnného</t>
  </si>
  <si>
    <t>Skříň reproduktorová, nástěnná, bílá, 100V</t>
  </si>
  <si>
    <t>802</t>
  </si>
  <si>
    <t>DEX03465</t>
  </si>
  <si>
    <t>Skříň reproduktorová 3-6 W rms / 100 V, ekv. citlivost 92 dB / 1W, 1m, frekv. rozsah 130 – 17 000 Hz, rozměry 266×165×76 mm, plast ABS, bílá</t>
  </si>
  <si>
    <t>803</t>
  </si>
  <si>
    <t>804</t>
  </si>
  <si>
    <t>805</t>
  </si>
  <si>
    <t>slaboproud</t>
  </si>
  <si>
    <t>strukturovaná kabeláž</t>
  </si>
  <si>
    <t>interaktivní tabule</t>
  </si>
  <si>
    <t>školní zvonek</t>
  </si>
  <si>
    <t>školní rozhlas</t>
  </si>
  <si>
    <t>806</t>
  </si>
  <si>
    <t>807</t>
  </si>
  <si>
    <t>nastavení systému, oživení a uvedení do provozu</t>
  </si>
  <si>
    <t>808</t>
  </si>
  <si>
    <t>koordinace profesí, příprava stavby</t>
  </si>
  <si>
    <t>809</t>
  </si>
  <si>
    <t>vyhotovení výchozí revize</t>
  </si>
  <si>
    <t>810</t>
  </si>
  <si>
    <t>vyhotovení dokumentace skutečného stavu</t>
  </si>
  <si>
    <t>VORN - Vedlejší a ostatní rozpočtové náklady</t>
  </si>
  <si>
    <t>03VRN</t>
  </si>
  <si>
    <t>811</t>
  </si>
  <si>
    <t>030001VRN</t>
  </si>
  <si>
    <t>Soubor</t>
  </si>
  <si>
    <t>03VRN_</t>
  </si>
  <si>
    <t>VORN_ _</t>
  </si>
  <si>
    <t>VORN_</t>
  </si>
  <si>
    <t>vybudování, provoz a odstranění - oplocení, hygienické a pracovní zázemí pro pracovníky; spotřebované energie, provádění bezpečnostních a hygienických opatření na staveništi</t>
  </si>
  <si>
    <t>07VRN</t>
  </si>
  <si>
    <t>812</t>
  </si>
  <si>
    <t>079002VRN</t>
  </si>
  <si>
    <t>07VRN_</t>
  </si>
  <si>
    <t>provoz investora (ztížení provádění prací provozem školy)</t>
  </si>
  <si>
    <t>09VRN</t>
  </si>
  <si>
    <t>813</t>
  </si>
  <si>
    <t>090001VRN</t>
  </si>
  <si>
    <t>Kompletační a koordinjační činnost zhotovitele</t>
  </si>
  <si>
    <t>09VRN_</t>
  </si>
  <si>
    <t>814</t>
  </si>
  <si>
    <t>090002VRN</t>
  </si>
  <si>
    <t>Dokumentace skutečného provedení</t>
  </si>
  <si>
    <t>815</t>
  </si>
  <si>
    <t>090003VRN</t>
  </si>
  <si>
    <t>Geometrický plán</t>
  </si>
  <si>
    <t>Slepý stavební rozpočet (01 - Stavební část)</t>
  </si>
  <si>
    <t>Slepý stavební rozpočet (02 - ZTI, plyn)</t>
  </si>
  <si>
    <t>Slepý stavební rozpočet (03 - UT)</t>
  </si>
  <si>
    <t>Slepý stavební rozpočet (04 - VZT)</t>
  </si>
  <si>
    <t>Slepý stavební rozpočet (05 - Elektro silnoproud)</t>
  </si>
  <si>
    <t>Slepý stavební rozpočet (06 - Elektro slaboproud)</t>
  </si>
  <si>
    <t>Slepý stavební rozpočet (VORN - Vedlejší a ostatní rozpočtové náklady)</t>
  </si>
  <si>
    <t>Rekapitulace - Objekty</t>
  </si>
  <si>
    <t>Rekapitulace - Stavební část</t>
  </si>
  <si>
    <t>Rekapitulace - ZTI, plyn</t>
  </si>
  <si>
    <t>Rekapitulace - UT</t>
  </si>
  <si>
    <t>Rekapitulace - VZT</t>
  </si>
  <si>
    <t>Rekapitulace - Silnoproud</t>
  </si>
  <si>
    <t>Rekapitulace - Slaboproud</t>
  </si>
  <si>
    <t>Rekapitulace - Vedlejší a ostatní rozpočtové náklady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</si>
</sst>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0"/>
      <name val="Arial"/>
      <family val="2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4" fontId="9" fillId="0" borderId="7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8" fillId="2" borderId="5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9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right"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" fontId="4" fillId="2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2" fillId="3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4" fontId="11" fillId="0" borderId="3" xfId="0" applyNumberFormat="1" applyFont="1" applyFill="1" applyBorder="1" applyAlignment="1" applyProtection="1">
      <alignment horizontal="right" vertical="center"/>
      <protection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2" borderId="27" xfId="0" applyNumberFormat="1" applyFont="1" applyFill="1" applyBorder="1" applyAlignment="1" applyProtection="1">
      <alignment horizontal="lef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6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3" borderId="24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3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0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C16" sqref="C16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7.140625" style="0" customWidth="1"/>
    <col min="4" max="4" width="10.00390625" style="0" customWidth="1"/>
    <col min="5" max="5" width="14.00390625" style="0" customWidth="1"/>
    <col min="6" max="6" width="27.140625" style="0" customWidth="1"/>
    <col min="7" max="7" width="9.140625" style="0" customWidth="1"/>
    <col min="8" max="8" width="12.8515625" style="0" customWidth="1"/>
    <col min="9" max="9" width="27.140625" style="0" customWidth="1"/>
  </cols>
  <sheetData>
    <row r="1" spans="1:9" ht="54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100" t="s">
        <v>1</v>
      </c>
      <c r="B2" s="101"/>
      <c r="C2" s="109" t="str">
        <f>'Stavební rozpočet'!D2</f>
        <v>III ZŠ Šumperk stavební úpravy suterénu a 1NP</v>
      </c>
      <c r="D2" s="110"/>
      <c r="E2" s="107" t="s">
        <v>2</v>
      </c>
      <c r="F2" s="107" t="str">
        <f>'Stavební rozpočet'!J2</f>
        <v>Město šumperk</v>
      </c>
      <c r="G2" s="101"/>
      <c r="H2" s="107" t="s">
        <v>3</v>
      </c>
      <c r="I2" s="112" t="s">
        <v>4</v>
      </c>
    </row>
    <row r="3" spans="1:9" ht="15" customHeight="1">
      <c r="A3" s="102"/>
      <c r="B3" s="103"/>
      <c r="C3" s="111"/>
      <c r="D3" s="111"/>
      <c r="E3" s="103"/>
      <c r="F3" s="103"/>
      <c r="G3" s="103"/>
      <c r="H3" s="103"/>
      <c r="I3" s="113"/>
    </row>
    <row r="4" spans="1:9" ht="15">
      <c r="A4" s="104" t="s">
        <v>5</v>
      </c>
      <c r="B4" s="103"/>
      <c r="C4" s="108" t="str">
        <f>'Stavební rozpočet'!D4</f>
        <v>Stavební úpravy se změnou v užívání</v>
      </c>
      <c r="D4" s="103"/>
      <c r="E4" s="108" t="s">
        <v>6</v>
      </c>
      <c r="F4" s="108" t="str">
        <f>'Stavební rozpočet'!J4</f>
        <v>Ing.Ladislav Trčka - PROINK</v>
      </c>
      <c r="G4" s="103"/>
      <c r="H4" s="108" t="s">
        <v>3</v>
      </c>
      <c r="I4" s="113" t="s">
        <v>4</v>
      </c>
    </row>
    <row r="5" spans="1:9" ht="15" customHeight="1">
      <c r="A5" s="102"/>
      <c r="B5" s="103"/>
      <c r="C5" s="103"/>
      <c r="D5" s="103"/>
      <c r="E5" s="103"/>
      <c r="F5" s="103"/>
      <c r="G5" s="103"/>
      <c r="H5" s="103"/>
      <c r="I5" s="113"/>
    </row>
    <row r="6" spans="1:9" ht="15">
      <c r="A6" s="104" t="s">
        <v>7</v>
      </c>
      <c r="B6" s="103"/>
      <c r="C6" s="108" t="str">
        <f>'Stavební rozpočet'!D6</f>
        <v>Šumperk</v>
      </c>
      <c r="D6" s="103"/>
      <c r="E6" s="108" t="s">
        <v>8</v>
      </c>
      <c r="F6" s="108">
        <f>'Stavební rozpočet'!J6</f>
        <v>0</v>
      </c>
      <c r="G6" s="103"/>
      <c r="H6" s="108" t="s">
        <v>3</v>
      </c>
      <c r="I6" s="113" t="s">
        <v>4</v>
      </c>
    </row>
    <row r="7" spans="1:9" ht="15" customHeight="1">
      <c r="A7" s="102"/>
      <c r="B7" s="103"/>
      <c r="C7" s="103"/>
      <c r="D7" s="103"/>
      <c r="E7" s="103"/>
      <c r="F7" s="103"/>
      <c r="G7" s="103"/>
      <c r="H7" s="103"/>
      <c r="I7" s="113"/>
    </row>
    <row r="8" spans="1:9" ht="15">
      <c r="A8" s="104" t="s">
        <v>9</v>
      </c>
      <c r="B8" s="103"/>
      <c r="C8" s="108">
        <f>'Stavební rozpočet'!H4</f>
        <v>0</v>
      </c>
      <c r="D8" s="103"/>
      <c r="E8" s="108" t="s">
        <v>10</v>
      </c>
      <c r="F8" s="108" t="str">
        <f>'Stavební rozpočet'!H6</f>
        <v xml:space="preserve"> </v>
      </c>
      <c r="G8" s="103"/>
      <c r="H8" s="103" t="s">
        <v>11</v>
      </c>
      <c r="I8" s="114">
        <v>815</v>
      </c>
    </row>
    <row r="9" spans="1:9" ht="15">
      <c r="A9" s="102"/>
      <c r="B9" s="103"/>
      <c r="C9" s="103"/>
      <c r="D9" s="103"/>
      <c r="E9" s="103"/>
      <c r="F9" s="103"/>
      <c r="G9" s="103"/>
      <c r="H9" s="103"/>
      <c r="I9" s="113"/>
    </row>
    <row r="10" spans="1:9" ht="15">
      <c r="A10" s="104" t="s">
        <v>12</v>
      </c>
      <c r="B10" s="103"/>
      <c r="C10" s="108" t="str">
        <f>'Stavební rozpočet'!D8</f>
        <v xml:space="preserve"> </v>
      </c>
      <c r="D10" s="103"/>
      <c r="E10" s="108" t="s">
        <v>13</v>
      </c>
      <c r="F10" s="108">
        <f>'Stavební rozpočet'!J8</f>
        <v>0</v>
      </c>
      <c r="G10" s="103"/>
      <c r="H10" s="103" t="s">
        <v>14</v>
      </c>
      <c r="I10" s="115">
        <f>'Stavební rozpočet'!H8</f>
        <v>0</v>
      </c>
    </row>
    <row r="11" spans="1:9" ht="15">
      <c r="A11" s="105"/>
      <c r="B11" s="106"/>
      <c r="C11" s="106"/>
      <c r="D11" s="106"/>
      <c r="E11" s="106"/>
      <c r="F11" s="106"/>
      <c r="G11" s="106"/>
      <c r="H11" s="106"/>
      <c r="I11" s="116"/>
    </row>
    <row r="12" spans="1:9" ht="23.25">
      <c r="A12" s="117" t="s">
        <v>15</v>
      </c>
      <c r="B12" s="117"/>
      <c r="C12" s="117"/>
      <c r="D12" s="117"/>
      <c r="E12" s="117"/>
      <c r="F12" s="117"/>
      <c r="G12" s="117"/>
      <c r="H12" s="117"/>
      <c r="I12" s="117"/>
    </row>
    <row r="13" spans="1:9" ht="26.25" customHeight="1">
      <c r="A13" s="5" t="s">
        <v>16</v>
      </c>
      <c r="B13" s="118" t="s">
        <v>17</v>
      </c>
      <c r="C13" s="119"/>
      <c r="D13" s="6" t="s">
        <v>18</v>
      </c>
      <c r="E13" s="118" t="s">
        <v>19</v>
      </c>
      <c r="F13" s="119"/>
      <c r="G13" s="6" t="s">
        <v>20</v>
      </c>
      <c r="H13" s="118" t="s">
        <v>21</v>
      </c>
      <c r="I13" s="119"/>
    </row>
    <row r="14" spans="1:9" ht="15.75">
      <c r="A14" s="7" t="s">
        <v>22</v>
      </c>
      <c r="B14" s="8" t="s">
        <v>23</v>
      </c>
      <c r="C14" s="9">
        <f>SUM('Stavební rozpočet'!AB12:AB1705)</f>
        <v>0</v>
      </c>
      <c r="D14" s="126" t="s">
        <v>24</v>
      </c>
      <c r="E14" s="127"/>
      <c r="F14" s="9">
        <f>VORN!I15</f>
        <v>0</v>
      </c>
      <c r="G14" s="126" t="s">
        <v>25</v>
      </c>
      <c r="H14" s="127"/>
      <c r="I14" s="10">
        <f>VORN!I21</f>
        <v>0</v>
      </c>
    </row>
    <row r="15" spans="1:9" ht="15.75">
      <c r="A15" s="11" t="s">
        <v>4</v>
      </c>
      <c r="B15" s="8" t="s">
        <v>26</v>
      </c>
      <c r="C15" s="9">
        <f>SUM('Stavební rozpočet'!AC12:AC1705)</f>
        <v>0</v>
      </c>
      <c r="D15" s="126" t="s">
        <v>27</v>
      </c>
      <c r="E15" s="127"/>
      <c r="F15" s="9">
        <f>VORN!I16</f>
        <v>0</v>
      </c>
      <c r="G15" s="126" t="s">
        <v>28</v>
      </c>
      <c r="H15" s="127"/>
      <c r="I15" s="10">
        <f>VORN!I22</f>
        <v>0</v>
      </c>
    </row>
    <row r="16" spans="1:9" ht="15.75">
      <c r="A16" s="7" t="s">
        <v>29</v>
      </c>
      <c r="B16" s="8" t="s">
        <v>23</v>
      </c>
      <c r="C16" s="9">
        <f>SUM('Stavební rozpočet'!AD12:AD1705)</f>
        <v>0</v>
      </c>
      <c r="D16" s="126" t="s">
        <v>30</v>
      </c>
      <c r="E16" s="127"/>
      <c r="F16" s="9">
        <f>VORN!I17</f>
        <v>0</v>
      </c>
      <c r="G16" s="126" t="s">
        <v>31</v>
      </c>
      <c r="H16" s="127"/>
      <c r="I16" s="10">
        <f>VORN!I23</f>
        <v>0</v>
      </c>
    </row>
    <row r="17" spans="1:9" ht="15.75">
      <c r="A17" s="11" t="s">
        <v>4</v>
      </c>
      <c r="B17" s="8" t="s">
        <v>26</v>
      </c>
      <c r="C17" s="9">
        <f>SUM('Stavební rozpočet'!AE12:AE1705)</f>
        <v>0</v>
      </c>
      <c r="D17" s="126" t="s">
        <v>4</v>
      </c>
      <c r="E17" s="127"/>
      <c r="F17" s="10" t="s">
        <v>4</v>
      </c>
      <c r="G17" s="126" t="s">
        <v>32</v>
      </c>
      <c r="H17" s="127"/>
      <c r="I17" s="10">
        <f>VORN!I24</f>
        <v>0</v>
      </c>
    </row>
    <row r="18" spans="1:9" ht="15.75">
      <c r="A18" s="7" t="s">
        <v>33</v>
      </c>
      <c r="B18" s="8" t="s">
        <v>23</v>
      </c>
      <c r="C18" s="9">
        <f>SUM('Stavební rozpočet'!AF12:AF1705)</f>
        <v>0</v>
      </c>
      <c r="D18" s="126" t="s">
        <v>4</v>
      </c>
      <c r="E18" s="127"/>
      <c r="F18" s="10" t="s">
        <v>4</v>
      </c>
      <c r="G18" s="126" t="s">
        <v>34</v>
      </c>
      <c r="H18" s="127"/>
      <c r="I18" s="10">
        <f>VORN!I25</f>
        <v>0</v>
      </c>
    </row>
    <row r="19" spans="1:9" ht="15.75">
      <c r="A19" s="11" t="s">
        <v>4</v>
      </c>
      <c r="B19" s="8" t="s">
        <v>26</v>
      </c>
      <c r="C19" s="9">
        <f>SUM('Stavební rozpočet'!AG12:AG1705)</f>
        <v>0</v>
      </c>
      <c r="D19" s="126" t="s">
        <v>4</v>
      </c>
      <c r="E19" s="127"/>
      <c r="F19" s="10" t="s">
        <v>4</v>
      </c>
      <c r="G19" s="126" t="s">
        <v>35</v>
      </c>
      <c r="H19" s="127"/>
      <c r="I19" s="10">
        <f>VORN!I26</f>
        <v>0</v>
      </c>
    </row>
    <row r="20" spans="1:9" ht="15.75">
      <c r="A20" s="120" t="s">
        <v>36</v>
      </c>
      <c r="B20" s="121"/>
      <c r="C20" s="9">
        <f>SUM('Stavební rozpočet'!AH12:AH1705)</f>
        <v>0</v>
      </c>
      <c r="D20" s="126" t="s">
        <v>4</v>
      </c>
      <c r="E20" s="127"/>
      <c r="F20" s="10" t="s">
        <v>4</v>
      </c>
      <c r="G20" s="126" t="s">
        <v>4</v>
      </c>
      <c r="H20" s="127"/>
      <c r="I20" s="10" t="s">
        <v>4</v>
      </c>
    </row>
    <row r="21" spans="1:9" ht="15.75">
      <c r="A21" s="122" t="s">
        <v>37</v>
      </c>
      <c r="B21" s="123"/>
      <c r="C21" s="12">
        <f>SUM('Stavební rozpočet'!Z12:Z1705)</f>
        <v>0</v>
      </c>
      <c r="D21" s="128" t="s">
        <v>4</v>
      </c>
      <c r="E21" s="129"/>
      <c r="F21" s="13" t="s">
        <v>4</v>
      </c>
      <c r="G21" s="128" t="s">
        <v>4</v>
      </c>
      <c r="H21" s="129"/>
      <c r="I21" s="13" t="s">
        <v>4</v>
      </c>
    </row>
    <row r="22" spans="1:9" ht="16.5" customHeight="1">
      <c r="A22" s="124" t="s">
        <v>38</v>
      </c>
      <c r="B22" s="125"/>
      <c r="C22" s="14">
        <f>ROUND(SUM(C14:C21),0)</f>
        <v>0</v>
      </c>
      <c r="D22" s="130" t="s">
        <v>39</v>
      </c>
      <c r="E22" s="125"/>
      <c r="F22" s="14">
        <f>SUM(F14:F21)</f>
        <v>0</v>
      </c>
      <c r="G22" s="130" t="s">
        <v>40</v>
      </c>
      <c r="H22" s="125"/>
      <c r="I22" s="14">
        <f>SUM(I14:I21)</f>
        <v>0</v>
      </c>
    </row>
    <row r="23" spans="4:9" ht="15.75">
      <c r="D23" s="120" t="s">
        <v>41</v>
      </c>
      <c r="E23" s="121"/>
      <c r="F23" s="15">
        <v>0</v>
      </c>
      <c r="G23" s="131" t="s">
        <v>42</v>
      </c>
      <c r="H23" s="121"/>
      <c r="I23" s="9">
        <v>0</v>
      </c>
    </row>
    <row r="24" spans="7:9" ht="15.75">
      <c r="G24" s="120" t="s">
        <v>43</v>
      </c>
      <c r="H24" s="121"/>
      <c r="I24" s="12">
        <f>vorn_sum</f>
        <v>0</v>
      </c>
    </row>
    <row r="25" spans="7:9" ht="15.75">
      <c r="G25" s="120" t="s">
        <v>44</v>
      </c>
      <c r="H25" s="121"/>
      <c r="I25" s="14">
        <v>0</v>
      </c>
    </row>
    <row r="27" spans="1:3" ht="15.75">
      <c r="A27" s="132" t="s">
        <v>45</v>
      </c>
      <c r="B27" s="133"/>
      <c r="C27" s="16">
        <f>ROUND(SUM('Stavební rozpočet'!AJ12:AJ1705),0)</f>
        <v>0</v>
      </c>
    </row>
    <row r="28" spans="1:9" ht="15.75">
      <c r="A28" s="134" t="s">
        <v>46</v>
      </c>
      <c r="B28" s="135"/>
      <c r="C28" s="17">
        <f>ROUND(SUM('Stavební rozpočet'!AK12:AK1705),0)</f>
        <v>0</v>
      </c>
      <c r="D28" s="136" t="s">
        <v>47</v>
      </c>
      <c r="E28" s="133"/>
      <c r="F28" s="16">
        <f>ROUND(C28*(12/100),2)</f>
        <v>0</v>
      </c>
      <c r="G28" s="136" t="s">
        <v>48</v>
      </c>
      <c r="H28" s="133"/>
      <c r="I28" s="16">
        <f>ROUND(SUM(C27:C29),0)</f>
        <v>0</v>
      </c>
    </row>
    <row r="29" spans="1:9" ht="15.75">
      <c r="A29" s="134" t="s">
        <v>49</v>
      </c>
      <c r="B29" s="135"/>
      <c r="C29" s="17">
        <f>ROUND(SUM('Stavební rozpočet'!AL12:AL1705),0)</f>
        <v>0</v>
      </c>
      <c r="D29" s="137" t="s">
        <v>50</v>
      </c>
      <c r="E29" s="135"/>
      <c r="F29" s="17">
        <f>ROUND(C29*(21/100),2)</f>
        <v>0</v>
      </c>
      <c r="G29" s="137" t="s">
        <v>51</v>
      </c>
      <c r="H29" s="135"/>
      <c r="I29" s="17">
        <f>ROUND(SUM(F28:F29)+I28,0)</f>
        <v>0</v>
      </c>
    </row>
    <row r="31" spans="1:9" ht="15">
      <c r="A31" s="138" t="s">
        <v>52</v>
      </c>
      <c r="B31" s="139"/>
      <c r="C31" s="140"/>
      <c r="D31" s="147" t="s">
        <v>53</v>
      </c>
      <c r="E31" s="139"/>
      <c r="F31" s="140"/>
      <c r="G31" s="147" t="s">
        <v>54</v>
      </c>
      <c r="H31" s="139"/>
      <c r="I31" s="140"/>
    </row>
    <row r="32" spans="1:9" ht="15">
      <c r="A32" s="141" t="s">
        <v>4</v>
      </c>
      <c r="B32" s="142"/>
      <c r="C32" s="143"/>
      <c r="D32" s="148" t="s">
        <v>4</v>
      </c>
      <c r="E32" s="142"/>
      <c r="F32" s="143"/>
      <c r="G32" s="148" t="s">
        <v>4</v>
      </c>
      <c r="H32" s="142"/>
      <c r="I32" s="143"/>
    </row>
    <row r="33" spans="1:9" ht="15">
      <c r="A33" s="141" t="s">
        <v>4</v>
      </c>
      <c r="B33" s="142"/>
      <c r="C33" s="143"/>
      <c r="D33" s="148" t="s">
        <v>4</v>
      </c>
      <c r="E33" s="142"/>
      <c r="F33" s="143"/>
      <c r="G33" s="148" t="s">
        <v>4</v>
      </c>
      <c r="H33" s="142"/>
      <c r="I33" s="143"/>
    </row>
    <row r="34" spans="1:9" ht="15">
      <c r="A34" s="141" t="s">
        <v>4</v>
      </c>
      <c r="B34" s="142"/>
      <c r="C34" s="143"/>
      <c r="D34" s="148" t="s">
        <v>4</v>
      </c>
      <c r="E34" s="142"/>
      <c r="F34" s="143"/>
      <c r="G34" s="148" t="s">
        <v>4</v>
      </c>
      <c r="H34" s="142"/>
      <c r="I34" s="143"/>
    </row>
    <row r="35" spans="1:9" ht="15">
      <c r="A35" s="144" t="s">
        <v>55</v>
      </c>
      <c r="B35" s="145"/>
      <c r="C35" s="146"/>
      <c r="D35" s="149" t="s">
        <v>55</v>
      </c>
      <c r="E35" s="145"/>
      <c r="F35" s="146"/>
      <c r="G35" s="149" t="s">
        <v>55</v>
      </c>
      <c r="H35" s="145"/>
      <c r="I35" s="146"/>
    </row>
    <row r="36" ht="15">
      <c r="A36" s="18" t="s">
        <v>56</v>
      </c>
    </row>
    <row r="37" spans="1:9" ht="12.75" customHeight="1">
      <c r="A37" s="108" t="s">
        <v>4</v>
      </c>
      <c r="B37" s="103"/>
      <c r="C37" s="103"/>
      <c r="D37" s="103"/>
      <c r="E37" s="103"/>
      <c r="F37" s="103"/>
      <c r="G37" s="103"/>
      <c r="H37" s="103"/>
      <c r="I37" s="103"/>
    </row>
  </sheetData>
  <sheetProtection password="F483" sheet="1"/>
  <mergeCells count="83">
    <mergeCell ref="A37:I37"/>
    <mergeCell ref="G31:I31"/>
    <mergeCell ref="G32:I32"/>
    <mergeCell ref="G33:I33"/>
    <mergeCell ref="G34:I34"/>
    <mergeCell ref="G35:I35"/>
    <mergeCell ref="D31:F31"/>
    <mergeCell ref="D32:F32"/>
    <mergeCell ref="D33:F33"/>
    <mergeCell ref="D34:F34"/>
    <mergeCell ref="D35:F35"/>
    <mergeCell ref="A31:C31"/>
    <mergeCell ref="A32:C32"/>
    <mergeCell ref="A33:C33"/>
    <mergeCell ref="A34:C34"/>
    <mergeCell ref="A35:C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I10:I11"/>
    <mergeCell ref="A12:I12"/>
    <mergeCell ref="B13:C13"/>
    <mergeCell ref="E13:F13"/>
    <mergeCell ref="H13:I13"/>
    <mergeCell ref="F10:G11"/>
    <mergeCell ref="H2:H3"/>
    <mergeCell ref="H4:H5"/>
    <mergeCell ref="H6:H7"/>
    <mergeCell ref="H8:H9"/>
    <mergeCell ref="H10:H11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F2:G3"/>
    <mergeCell ref="F4:G5"/>
    <mergeCell ref="F6:G7"/>
    <mergeCell ref="F8:G9"/>
    <mergeCell ref="I2:I3"/>
    <mergeCell ref="I4:I5"/>
    <mergeCell ref="I6:I7"/>
    <mergeCell ref="I8:I9"/>
  </mergeCells>
  <printOptions/>
  <pageMargins left="0.393999993801117" right="0.393999993801117" top="0.591000020503998" bottom="0.591000020503998" header="0" footer="0"/>
  <pageSetup fitToHeight="1" fitToWidth="1"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pane ySplit="11" topLeftCell="A12" activePane="bottomLeft" state="frozen"/>
      <selection pane="bottomLeft" activeCell="H36" sqref="H36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07" t="s">
        <v>76</v>
      </c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 customHeight="1">
      <c r="A3" s="102"/>
      <c r="B3" s="103"/>
      <c r="C3" s="103"/>
      <c r="D3" s="111"/>
      <c r="E3" s="111"/>
      <c r="F3" s="111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8" t="s">
        <v>9</v>
      </c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8" t="s">
        <v>10</v>
      </c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8" t="s">
        <v>77</v>
      </c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95</v>
      </c>
      <c r="B12" s="34" t="s">
        <v>4</v>
      </c>
      <c r="C12" s="178" t="s">
        <v>96</v>
      </c>
      <c r="D12" s="178"/>
      <c r="E12" s="178"/>
      <c r="F12" s="178"/>
      <c r="G12" s="178"/>
      <c r="H12" s="178"/>
      <c r="I12" s="178"/>
      <c r="J12" s="178"/>
      <c r="K12" s="35">
        <f>'Stavební rozpočet'!I1541</f>
        <v>0</v>
      </c>
      <c r="L12" s="36">
        <f>'Stavební rozpočet'!K1541</f>
        <v>0</v>
      </c>
      <c r="M12" s="37" t="s">
        <v>86</v>
      </c>
      <c r="N12" s="38">
        <f aca="true" t="shared" si="0" ref="N12:N18">IF(M12="F",0,K12)</f>
        <v>0</v>
      </c>
      <c r="O12" s="2" t="s">
        <v>95</v>
      </c>
      <c r="P12" s="38">
        <f aca="true" t="shared" si="1" ref="P12:P18">IF(M12="T",0,K12)</f>
        <v>0</v>
      </c>
    </row>
    <row r="13" spans="1:16" ht="15">
      <c r="A13" s="1" t="s">
        <v>95</v>
      </c>
      <c r="B13" s="2" t="s">
        <v>2556</v>
      </c>
      <c r="C13" s="103" t="s">
        <v>2557</v>
      </c>
      <c r="D13" s="103"/>
      <c r="E13" s="103"/>
      <c r="F13" s="103"/>
      <c r="G13" s="103"/>
      <c r="H13" s="103"/>
      <c r="I13" s="103"/>
      <c r="J13" s="103"/>
      <c r="K13" s="38">
        <f>'Stavební rozpočet'!I1542</f>
        <v>0</v>
      </c>
      <c r="L13" s="39">
        <f>'Stavební rozpočet'!K1542</f>
        <v>0</v>
      </c>
      <c r="M13" s="37" t="s">
        <v>828</v>
      </c>
      <c r="N13" s="38">
        <f t="shared" si="0"/>
        <v>0</v>
      </c>
      <c r="O13" s="2" t="s">
        <v>95</v>
      </c>
      <c r="P13" s="38">
        <f t="shared" si="1"/>
        <v>0</v>
      </c>
    </row>
    <row r="14" spans="1:16" ht="15">
      <c r="A14" s="1" t="s">
        <v>95</v>
      </c>
      <c r="B14" s="2" t="s">
        <v>3085</v>
      </c>
      <c r="C14" s="103" t="s">
        <v>3086</v>
      </c>
      <c r="D14" s="103"/>
      <c r="E14" s="103"/>
      <c r="F14" s="103"/>
      <c r="G14" s="103"/>
      <c r="H14" s="103"/>
      <c r="I14" s="103"/>
      <c r="J14" s="103"/>
      <c r="K14" s="38">
        <f>'Stavební rozpočet'!I1577</f>
        <v>0</v>
      </c>
      <c r="L14" s="39">
        <f>'Stavební rozpočet'!K1577</f>
        <v>0</v>
      </c>
      <c r="M14" s="37" t="s">
        <v>828</v>
      </c>
      <c r="N14" s="38">
        <f t="shared" si="0"/>
        <v>0</v>
      </c>
      <c r="O14" s="2" t="s">
        <v>95</v>
      </c>
      <c r="P14" s="38">
        <f t="shared" si="1"/>
        <v>0</v>
      </c>
    </row>
    <row r="15" spans="1:16" ht="15">
      <c r="A15" s="1" t="s">
        <v>95</v>
      </c>
      <c r="B15" s="2" t="s">
        <v>3127</v>
      </c>
      <c r="C15" s="103" t="s">
        <v>3128</v>
      </c>
      <c r="D15" s="103"/>
      <c r="E15" s="103"/>
      <c r="F15" s="103"/>
      <c r="G15" s="103"/>
      <c r="H15" s="103"/>
      <c r="I15" s="103"/>
      <c r="J15" s="103"/>
      <c r="K15" s="38">
        <f>'Stavební rozpočet'!I1607</f>
        <v>0</v>
      </c>
      <c r="L15" s="39">
        <f>'Stavební rozpočet'!K1607</f>
        <v>0</v>
      </c>
      <c r="M15" s="37" t="s">
        <v>828</v>
      </c>
      <c r="N15" s="38">
        <f t="shared" si="0"/>
        <v>0</v>
      </c>
      <c r="O15" s="2" t="s">
        <v>95</v>
      </c>
      <c r="P15" s="38">
        <f t="shared" si="1"/>
        <v>0</v>
      </c>
    </row>
    <row r="16" spans="1:16" ht="15">
      <c r="A16" s="1" t="s">
        <v>95</v>
      </c>
      <c r="B16" s="2" t="s">
        <v>3152</v>
      </c>
      <c r="C16" s="103" t="s">
        <v>3153</v>
      </c>
      <c r="D16" s="103"/>
      <c r="E16" s="103"/>
      <c r="F16" s="103"/>
      <c r="G16" s="103"/>
      <c r="H16" s="103"/>
      <c r="I16" s="103"/>
      <c r="J16" s="103"/>
      <c r="K16" s="38">
        <f>'Stavební rozpočet'!I1626</f>
        <v>0</v>
      </c>
      <c r="L16" s="39">
        <f>'Stavební rozpočet'!K1626</f>
        <v>0</v>
      </c>
      <c r="M16" s="37" t="s">
        <v>828</v>
      </c>
      <c r="N16" s="38">
        <f t="shared" si="0"/>
        <v>0</v>
      </c>
      <c r="O16" s="2" t="s">
        <v>95</v>
      </c>
      <c r="P16" s="38">
        <f t="shared" si="1"/>
        <v>0</v>
      </c>
    </row>
    <row r="17" spans="1:16" ht="15">
      <c r="A17" s="1" t="s">
        <v>95</v>
      </c>
      <c r="B17" s="2" t="s">
        <v>2661</v>
      </c>
      <c r="C17" s="103" t="s">
        <v>2989</v>
      </c>
      <c r="D17" s="103"/>
      <c r="E17" s="103"/>
      <c r="F17" s="103"/>
      <c r="G17" s="103"/>
      <c r="H17" s="103"/>
      <c r="I17" s="103"/>
      <c r="J17" s="103"/>
      <c r="K17" s="38">
        <f>'Stavební rozpočet'!I1651</f>
        <v>0</v>
      </c>
      <c r="L17" s="39">
        <f>'Stavební rozpočet'!K1651</f>
        <v>0</v>
      </c>
      <c r="M17" s="37" t="s">
        <v>828</v>
      </c>
      <c r="N17" s="38">
        <f t="shared" si="0"/>
        <v>0</v>
      </c>
      <c r="O17" s="2" t="s">
        <v>95</v>
      </c>
      <c r="P17" s="38">
        <f t="shared" si="1"/>
        <v>0</v>
      </c>
    </row>
    <row r="18" spans="1:16" ht="15">
      <c r="A18" s="3" t="s">
        <v>95</v>
      </c>
      <c r="B18" s="4" t="s">
        <v>696</v>
      </c>
      <c r="C18" s="106" t="s">
        <v>1959</v>
      </c>
      <c r="D18" s="106"/>
      <c r="E18" s="106"/>
      <c r="F18" s="106"/>
      <c r="G18" s="106"/>
      <c r="H18" s="106"/>
      <c r="I18" s="106"/>
      <c r="J18" s="106"/>
      <c r="K18" s="40">
        <f>'Stavební rozpočet'!I1664</f>
        <v>0</v>
      </c>
      <c r="L18" s="41">
        <f>'Stavební rozpočet'!K1664</f>
        <v>0</v>
      </c>
      <c r="M18" s="37" t="s">
        <v>828</v>
      </c>
      <c r="N18" s="38">
        <f t="shared" si="0"/>
        <v>0</v>
      </c>
      <c r="O18" s="2" t="s">
        <v>95</v>
      </c>
      <c r="P18" s="38">
        <f t="shared" si="1"/>
        <v>0</v>
      </c>
    </row>
    <row r="19" spans="9:11" ht="15">
      <c r="I19" s="179" t="s">
        <v>98</v>
      </c>
      <c r="J19" s="179"/>
      <c r="K19" s="42">
        <f>ROUND(SUM(N12:N18),0)</f>
        <v>0</v>
      </c>
    </row>
    <row r="20" ht="15">
      <c r="A20" s="43" t="s">
        <v>56</v>
      </c>
    </row>
    <row r="21" spans="1:12" ht="12.75" customHeight="1">
      <c r="A21" s="108" t="s">
        <v>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</sheetData>
  <sheetProtection password="F483" sheet="1" objects="1" scenarios="1"/>
  <mergeCells count="36">
    <mergeCell ref="C16:J16"/>
    <mergeCell ref="C17:J17"/>
    <mergeCell ref="C18:J18"/>
    <mergeCell ref="I19:J19"/>
    <mergeCell ref="A21:L21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pane ySplit="11" topLeftCell="A12" activePane="bottomLeft" state="frozen"/>
      <selection pane="bottomLeft" activeCell="H45" sqref="H45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07" t="s">
        <v>76</v>
      </c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 customHeight="1">
      <c r="A3" s="102"/>
      <c r="B3" s="103"/>
      <c r="C3" s="103"/>
      <c r="D3" s="111"/>
      <c r="E3" s="111"/>
      <c r="F3" s="111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8" t="s">
        <v>9</v>
      </c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8" t="s">
        <v>10</v>
      </c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8" t="s">
        <v>77</v>
      </c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97</v>
      </c>
      <c r="B12" s="34" t="s">
        <v>4</v>
      </c>
      <c r="C12" s="178" t="s">
        <v>57</v>
      </c>
      <c r="D12" s="178"/>
      <c r="E12" s="178"/>
      <c r="F12" s="178"/>
      <c r="G12" s="178"/>
      <c r="H12" s="178"/>
      <c r="I12" s="178"/>
      <c r="J12" s="178"/>
      <c r="K12" s="35">
        <f>'Stavební rozpočet'!I1689</f>
        <v>0</v>
      </c>
      <c r="L12" s="36">
        <f>'Stavební rozpočet'!K1689</f>
        <v>0</v>
      </c>
      <c r="M12" s="37" t="s">
        <v>86</v>
      </c>
      <c r="N12" s="38">
        <f>IF(M12="F",0,K12)</f>
        <v>0</v>
      </c>
      <c r="O12" s="2" t="s">
        <v>97</v>
      </c>
      <c r="P12" s="38">
        <f>IF(M12="T",0,K12)</f>
        <v>0</v>
      </c>
    </row>
    <row r="13" spans="1:16" ht="15" hidden="1">
      <c r="A13" s="1" t="s">
        <v>97</v>
      </c>
      <c r="B13" s="2" t="s">
        <v>4</v>
      </c>
      <c r="C13" s="103" t="s">
        <v>3207</v>
      </c>
      <c r="D13" s="103"/>
      <c r="E13" s="103"/>
      <c r="F13" s="103"/>
      <c r="G13" s="103"/>
      <c r="H13" s="103"/>
      <c r="I13" s="103"/>
      <c r="J13" s="103"/>
      <c r="K13" s="38">
        <f>'Stavební rozpočet'!I1690</f>
        <v>0</v>
      </c>
      <c r="L13" s="39">
        <f>'Stavební rozpočet'!K1690</f>
        <v>0</v>
      </c>
      <c r="M13" s="37" t="s">
        <v>86</v>
      </c>
      <c r="N13" s="38">
        <f>IF(M13="F",0,K13)</f>
        <v>0</v>
      </c>
      <c r="O13" s="2" t="s">
        <v>97</v>
      </c>
      <c r="P13" s="38">
        <f>IF(M13="T",0,K13)</f>
        <v>0</v>
      </c>
    </row>
    <row r="14" spans="1:16" ht="15">
      <c r="A14" s="1" t="s">
        <v>97</v>
      </c>
      <c r="B14" s="2" t="s">
        <v>3208</v>
      </c>
      <c r="C14" s="103" t="s">
        <v>25</v>
      </c>
      <c r="D14" s="103"/>
      <c r="E14" s="103"/>
      <c r="F14" s="103"/>
      <c r="G14" s="103"/>
      <c r="H14" s="103"/>
      <c r="I14" s="103"/>
      <c r="J14" s="103"/>
      <c r="K14" s="38">
        <f>'Stavební rozpočet'!I1691</f>
        <v>0</v>
      </c>
      <c r="L14" s="39">
        <f>'Stavební rozpočet'!K1691</f>
        <v>0</v>
      </c>
      <c r="M14" s="37" t="s">
        <v>828</v>
      </c>
      <c r="N14" s="38">
        <f>IF(M14="F",0,K14)</f>
        <v>0</v>
      </c>
      <c r="O14" s="2" t="s">
        <v>97</v>
      </c>
      <c r="P14" s="38">
        <f>IF(M14="T",0,K14)</f>
        <v>0</v>
      </c>
    </row>
    <row r="15" spans="1:16" ht="15">
      <c r="A15" s="1" t="s">
        <v>97</v>
      </c>
      <c r="B15" s="2" t="s">
        <v>3216</v>
      </c>
      <c r="C15" s="103" t="s">
        <v>32</v>
      </c>
      <c r="D15" s="103"/>
      <c r="E15" s="103"/>
      <c r="F15" s="103"/>
      <c r="G15" s="103"/>
      <c r="H15" s="103"/>
      <c r="I15" s="103"/>
      <c r="J15" s="103"/>
      <c r="K15" s="38">
        <f>'Stavební rozpočet'!I1695</f>
        <v>0</v>
      </c>
      <c r="L15" s="39">
        <f>'Stavební rozpočet'!K1695</f>
        <v>0</v>
      </c>
      <c r="M15" s="37" t="s">
        <v>828</v>
      </c>
      <c r="N15" s="38">
        <f>IF(M15="F",0,K15)</f>
        <v>0</v>
      </c>
      <c r="O15" s="2" t="s">
        <v>97</v>
      </c>
      <c r="P15" s="38">
        <f>IF(M15="T",0,K15)</f>
        <v>0</v>
      </c>
    </row>
    <row r="16" spans="1:16" ht="15">
      <c r="A16" s="3" t="s">
        <v>97</v>
      </c>
      <c r="B16" s="4" t="s">
        <v>3221</v>
      </c>
      <c r="C16" s="106" t="s">
        <v>73</v>
      </c>
      <c r="D16" s="106"/>
      <c r="E16" s="106"/>
      <c r="F16" s="106"/>
      <c r="G16" s="106"/>
      <c r="H16" s="106"/>
      <c r="I16" s="106"/>
      <c r="J16" s="106"/>
      <c r="K16" s="40">
        <f>'Stavební rozpočet'!I1699</f>
        <v>0</v>
      </c>
      <c r="L16" s="41">
        <f>'Stavební rozpočet'!K1699</f>
        <v>0</v>
      </c>
      <c r="M16" s="37" t="s">
        <v>828</v>
      </c>
      <c r="N16" s="38">
        <f>IF(M16="F",0,K16)</f>
        <v>0</v>
      </c>
      <c r="O16" s="2" t="s">
        <v>97</v>
      </c>
      <c r="P16" s="38">
        <f>IF(M16="T",0,K16)</f>
        <v>0</v>
      </c>
    </row>
    <row r="17" spans="9:11" ht="15">
      <c r="I17" s="179" t="s">
        <v>98</v>
      </c>
      <c r="J17" s="179"/>
      <c r="K17" s="42">
        <f>ROUND(SUM(N12:N16),0)</f>
        <v>0</v>
      </c>
    </row>
    <row r="18" ht="15">
      <c r="A18" s="43" t="s">
        <v>56</v>
      </c>
    </row>
    <row r="19" spans="1:12" ht="12.75" customHeight="1">
      <c r="A19" s="108" t="s">
        <v>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</sheetData>
  <sheetProtection password="F483" sheet="1" objects="1" scenarios="1"/>
  <mergeCells count="34">
    <mergeCell ref="C16:J16"/>
    <mergeCell ref="I17:J17"/>
    <mergeCell ref="A19:L19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36"/>
  <sheetViews>
    <sheetView workbookViewId="0" topLeftCell="A1">
      <pane ySplit="11" topLeftCell="A12" activePane="bottomLeft" state="frozen"/>
      <selection pane="bottomLeft" activeCell="A1136" sqref="A1136:L1136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7.003906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01" t="s">
        <v>76</v>
      </c>
      <c r="G2" s="101"/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>
      <c r="A3" s="102"/>
      <c r="B3" s="103"/>
      <c r="C3" s="103"/>
      <c r="D3" s="111"/>
      <c r="E3" s="111"/>
      <c r="F3" s="103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 t="s">
        <v>9</v>
      </c>
      <c r="G4" s="103"/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 t="s">
        <v>10</v>
      </c>
      <c r="G6" s="103"/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 t="s">
        <v>77</v>
      </c>
      <c r="G8" s="103"/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86" t="s">
        <v>82</v>
      </c>
      <c r="E10" s="187"/>
      <c r="F10" s="46" t="s">
        <v>107</v>
      </c>
      <c r="G10" s="47" t="s">
        <v>108</v>
      </c>
      <c r="H10" s="92" t="s">
        <v>109</v>
      </c>
      <c r="I10" s="28" t="s">
        <v>79</v>
      </c>
      <c r="J10" s="188" t="s">
        <v>80</v>
      </c>
      <c r="K10" s="189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84</v>
      </c>
      <c r="C12" s="59" t="s">
        <v>4</v>
      </c>
      <c r="D12" s="190" t="s">
        <v>85</v>
      </c>
      <c r="E12" s="191"/>
      <c r="F12" s="60" t="s">
        <v>78</v>
      </c>
      <c r="G12" s="60" t="s">
        <v>78</v>
      </c>
      <c r="H12" s="60" t="s">
        <v>78</v>
      </c>
      <c r="I12" s="62">
        <f>I13+I19+I23+I40+I47+I95+I135+I162+I192+I196+I212+I236+I298+I303+I357+I383+I419+I429+I486+I501+I543+I634+I689+I755+I763+I789+I829+I846+I881+I909+I919+I929+I937+I943+I960+I1031+I1099+I1102+I1108+I1120</f>
        <v>0</v>
      </c>
      <c r="J12" s="63" t="s">
        <v>4</v>
      </c>
      <c r="K12" s="62">
        <f>K13+K19+K23+K40+K47+K95+K135+K162+K192+K196+K212+K236+K298+K303+K357+K383+K419+K429+K486+K501+K543+K634+K689+K755+K763+K789+K829+K846+K881+K909+K919+K929+K937+K943+K960+K1031+K1099+K1102+K1108+K1120</f>
        <v>391.1040132</v>
      </c>
      <c r="L12" s="64" t="s">
        <v>4</v>
      </c>
    </row>
    <row r="13" spans="1:47" ht="15">
      <c r="A13" s="65" t="s">
        <v>4</v>
      </c>
      <c r="B13" s="66" t="s">
        <v>84</v>
      </c>
      <c r="C13" s="66" t="s">
        <v>130</v>
      </c>
      <c r="D13" s="192" t="s">
        <v>131</v>
      </c>
      <c r="E13" s="193"/>
      <c r="F13" s="67" t="s">
        <v>78</v>
      </c>
      <c r="G13" s="67" t="s">
        <v>78</v>
      </c>
      <c r="H13" s="67" t="s">
        <v>78</v>
      </c>
      <c r="I13" s="44">
        <f>SUM(I14:I17)</f>
        <v>0</v>
      </c>
      <c r="J13" s="50" t="s">
        <v>4</v>
      </c>
      <c r="K13" s="44">
        <f>SUM(K14:K17)</f>
        <v>0</v>
      </c>
      <c r="L13" s="69" t="s">
        <v>4</v>
      </c>
      <c r="AI13" s="50" t="s">
        <v>84</v>
      </c>
      <c r="AS13" s="44">
        <f>SUM(AJ14:AJ17)</f>
        <v>0</v>
      </c>
      <c r="AT13" s="44">
        <f>SUM(AK14:AK17)</f>
        <v>0</v>
      </c>
      <c r="AU13" s="44">
        <f>SUM(AL14:AL17)</f>
        <v>0</v>
      </c>
    </row>
    <row r="14" spans="1:75" ht="13.5" customHeight="1">
      <c r="A14" s="1" t="s">
        <v>132</v>
      </c>
      <c r="B14" s="2" t="s">
        <v>84</v>
      </c>
      <c r="C14" s="2" t="s">
        <v>133</v>
      </c>
      <c r="D14" s="108" t="s">
        <v>134</v>
      </c>
      <c r="E14" s="103"/>
      <c r="F14" s="2" t="s">
        <v>135</v>
      </c>
      <c r="G14" s="38">
        <f>'Stavební rozpočet'!G14</f>
        <v>1.12</v>
      </c>
      <c r="H14" s="38">
        <f>'Stavební rozpočet'!H14</f>
        <v>0</v>
      </c>
      <c r="I14" s="38">
        <f>G14*H14</f>
        <v>0</v>
      </c>
      <c r="J14" s="38">
        <f>'Stavební rozpočet'!J14</f>
        <v>0</v>
      </c>
      <c r="K14" s="38">
        <f>G14*J14</f>
        <v>0</v>
      </c>
      <c r="L14" s="71" t="s">
        <v>136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84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137</v>
      </c>
      <c r="AZ14" s="72" t="s">
        <v>138</v>
      </c>
      <c r="BA14" s="50" t="s">
        <v>139</v>
      </c>
      <c r="BB14" s="73">
        <v>100042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>
        <v>12</v>
      </c>
      <c r="BW14" s="38">
        <v>21</v>
      </c>
    </row>
    <row r="15" spans="1:12" ht="13.5" customHeight="1">
      <c r="A15" s="74"/>
      <c r="D15" s="194" t="s">
        <v>140</v>
      </c>
      <c r="E15" s="195"/>
      <c r="F15" s="195"/>
      <c r="G15" s="195"/>
      <c r="H15" s="195"/>
      <c r="I15" s="195"/>
      <c r="J15" s="195"/>
      <c r="K15" s="195"/>
      <c r="L15" s="197"/>
    </row>
    <row r="16" spans="1:12" ht="15">
      <c r="A16" s="74"/>
      <c r="D16" s="75" t="s">
        <v>141</v>
      </c>
      <c r="E16" s="75" t="s">
        <v>142</v>
      </c>
      <c r="G16" s="76">
        <v>1.12</v>
      </c>
      <c r="L16" s="77"/>
    </row>
    <row r="17" spans="1:75" ht="13.5" customHeight="1">
      <c r="A17" s="1" t="s">
        <v>143</v>
      </c>
      <c r="B17" s="2" t="s">
        <v>84</v>
      </c>
      <c r="C17" s="2" t="s">
        <v>144</v>
      </c>
      <c r="D17" s="108" t="s">
        <v>145</v>
      </c>
      <c r="E17" s="103"/>
      <c r="F17" s="2" t="s">
        <v>135</v>
      </c>
      <c r="G17" s="38">
        <f>'Stavební rozpočet'!G17</f>
        <v>0.56</v>
      </c>
      <c r="H17" s="38">
        <f>'Stavební rozpočet'!H17</f>
        <v>0</v>
      </c>
      <c r="I17" s="38">
        <f>G17*H17</f>
        <v>0</v>
      </c>
      <c r="J17" s="38">
        <f>'Stavební rozpočet'!J17</f>
        <v>0</v>
      </c>
      <c r="K17" s="38">
        <f>G17*J17</f>
        <v>0</v>
      </c>
      <c r="L17" s="71" t="s">
        <v>136</v>
      </c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50" t="s">
        <v>84</v>
      </c>
      <c r="AJ17" s="38">
        <f>IF(AN17=0,I17,0)</f>
        <v>0</v>
      </c>
      <c r="AK17" s="38">
        <f>IF(AN17=12,I17,0)</f>
        <v>0</v>
      </c>
      <c r="AL17" s="38">
        <f>IF(AN17=21,I17,0)</f>
        <v>0</v>
      </c>
      <c r="AN17" s="38">
        <v>21</v>
      </c>
      <c r="AO17" s="38">
        <f>H17*0</f>
        <v>0</v>
      </c>
      <c r="AP17" s="38">
        <f>H17*(1-0)</f>
        <v>0</v>
      </c>
      <c r="AQ17" s="72" t="s">
        <v>132</v>
      </c>
      <c r="AV17" s="38">
        <f>AW17+AX17</f>
        <v>0</v>
      </c>
      <c r="AW17" s="38">
        <f>G17*AO17</f>
        <v>0</v>
      </c>
      <c r="AX17" s="38">
        <f>G17*AP17</f>
        <v>0</v>
      </c>
      <c r="AY17" s="72" t="s">
        <v>137</v>
      </c>
      <c r="AZ17" s="72" t="s">
        <v>138</v>
      </c>
      <c r="BA17" s="50" t="s">
        <v>139</v>
      </c>
      <c r="BB17" s="73">
        <v>100042</v>
      </c>
      <c r="BC17" s="38">
        <f>AW17+AX17</f>
        <v>0</v>
      </c>
      <c r="BD17" s="38">
        <f>H17/(100-BE17)*100</f>
        <v>0</v>
      </c>
      <c r="BE17" s="38">
        <v>0</v>
      </c>
      <c r="BF17" s="38">
        <f>K17</f>
        <v>0</v>
      </c>
      <c r="BH17" s="38">
        <f>G17*AO17</f>
        <v>0</v>
      </c>
      <c r="BI17" s="38">
        <f>G17*AP17</f>
        <v>0</v>
      </c>
      <c r="BJ17" s="38">
        <f>G17*H17</f>
        <v>0</v>
      </c>
      <c r="BK17" s="38"/>
      <c r="BL17" s="38">
        <v>12</v>
      </c>
      <c r="BW17" s="38">
        <v>21</v>
      </c>
    </row>
    <row r="18" spans="1:12" ht="15">
      <c r="A18" s="74"/>
      <c r="D18" s="75" t="s">
        <v>146</v>
      </c>
      <c r="E18" s="75" t="s">
        <v>4</v>
      </c>
      <c r="G18" s="76">
        <v>0.56</v>
      </c>
      <c r="L18" s="77"/>
    </row>
    <row r="19" spans="1:47" ht="15">
      <c r="A19" s="65" t="s">
        <v>4</v>
      </c>
      <c r="B19" s="66" t="s">
        <v>84</v>
      </c>
      <c r="C19" s="66" t="s">
        <v>147</v>
      </c>
      <c r="D19" s="192" t="s">
        <v>148</v>
      </c>
      <c r="E19" s="193"/>
      <c r="F19" s="67" t="s">
        <v>78</v>
      </c>
      <c r="G19" s="67" t="s">
        <v>78</v>
      </c>
      <c r="H19" s="67" t="s">
        <v>78</v>
      </c>
      <c r="I19" s="44">
        <f>SUM(I20:I20)</f>
        <v>0</v>
      </c>
      <c r="J19" s="50" t="s">
        <v>4</v>
      </c>
      <c r="K19" s="44">
        <f>SUM(K20:K20)</f>
        <v>0</v>
      </c>
      <c r="L19" s="69" t="s">
        <v>4</v>
      </c>
      <c r="AI19" s="50" t="s">
        <v>84</v>
      </c>
      <c r="AS19" s="44">
        <f>SUM(AJ20:AJ20)</f>
        <v>0</v>
      </c>
      <c r="AT19" s="44">
        <f>SUM(AK20:AK20)</f>
        <v>0</v>
      </c>
      <c r="AU19" s="44">
        <f>SUM(AL20:AL20)</f>
        <v>0</v>
      </c>
    </row>
    <row r="20" spans="1:75" ht="13.5" customHeight="1">
      <c r="A20" s="1" t="s">
        <v>149</v>
      </c>
      <c r="B20" s="2" t="s">
        <v>84</v>
      </c>
      <c r="C20" s="2" t="s">
        <v>150</v>
      </c>
      <c r="D20" s="108" t="s">
        <v>151</v>
      </c>
      <c r="E20" s="103"/>
      <c r="F20" s="2" t="s">
        <v>135</v>
      </c>
      <c r="G20" s="38">
        <f>'Stavební rozpočet'!G20</f>
        <v>2.52</v>
      </c>
      <c r="H20" s="38">
        <f>'Stavební rozpočet'!H20</f>
        <v>0</v>
      </c>
      <c r="I20" s="38">
        <f>G20*H20</f>
        <v>0</v>
      </c>
      <c r="J20" s="38">
        <f>'Stavební rozpočet'!J20</f>
        <v>0</v>
      </c>
      <c r="K20" s="38">
        <f>G20*J20</f>
        <v>0</v>
      </c>
      <c r="L20" s="71" t="s">
        <v>136</v>
      </c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50" t="s">
        <v>84</v>
      </c>
      <c r="AJ20" s="38">
        <f>IF(AN20=0,I20,0)</f>
        <v>0</v>
      </c>
      <c r="AK20" s="38">
        <f>IF(AN20=12,I20,0)</f>
        <v>0</v>
      </c>
      <c r="AL20" s="38">
        <f>IF(AN20=21,I20,0)</f>
        <v>0</v>
      </c>
      <c r="AN20" s="38">
        <v>21</v>
      </c>
      <c r="AO20" s="38">
        <f>H20*0</f>
        <v>0</v>
      </c>
      <c r="AP20" s="38">
        <f>H20*(1-0)</f>
        <v>0</v>
      </c>
      <c r="AQ20" s="72" t="s">
        <v>132</v>
      </c>
      <c r="AV20" s="38">
        <f>AW20+AX20</f>
        <v>0</v>
      </c>
      <c r="AW20" s="38">
        <f>G20*AO20</f>
        <v>0</v>
      </c>
      <c r="AX20" s="38">
        <f>G20*AP20</f>
        <v>0</v>
      </c>
      <c r="AY20" s="72" t="s">
        <v>152</v>
      </c>
      <c r="AZ20" s="72" t="s">
        <v>138</v>
      </c>
      <c r="BA20" s="50" t="s">
        <v>139</v>
      </c>
      <c r="BB20" s="73">
        <v>100020</v>
      </c>
      <c r="BC20" s="38">
        <f>AW20+AX20</f>
        <v>0</v>
      </c>
      <c r="BD20" s="38">
        <f>H20/(100-BE20)*100</f>
        <v>0</v>
      </c>
      <c r="BE20" s="38">
        <v>0</v>
      </c>
      <c r="BF20" s="38">
        <f>K20</f>
        <v>0</v>
      </c>
      <c r="BH20" s="38">
        <f>G20*AO20</f>
        <v>0</v>
      </c>
      <c r="BI20" s="38">
        <f>G20*AP20</f>
        <v>0</v>
      </c>
      <c r="BJ20" s="38">
        <f>G20*H20</f>
        <v>0</v>
      </c>
      <c r="BK20" s="38"/>
      <c r="BL20" s="38">
        <v>13</v>
      </c>
      <c r="BW20" s="38">
        <v>21</v>
      </c>
    </row>
    <row r="21" spans="1:12" ht="13.5" customHeight="1">
      <c r="A21" s="74"/>
      <c r="D21" s="194" t="s">
        <v>153</v>
      </c>
      <c r="E21" s="195"/>
      <c r="F21" s="195"/>
      <c r="G21" s="195"/>
      <c r="H21" s="195"/>
      <c r="I21" s="195"/>
      <c r="J21" s="195"/>
      <c r="K21" s="195"/>
      <c r="L21" s="197"/>
    </row>
    <row r="22" spans="1:12" ht="15">
      <c r="A22" s="74"/>
      <c r="D22" s="75" t="s">
        <v>154</v>
      </c>
      <c r="E22" s="75" t="s">
        <v>4</v>
      </c>
      <c r="G22" s="76">
        <v>2.52</v>
      </c>
      <c r="L22" s="77"/>
    </row>
    <row r="23" spans="1:47" ht="15">
      <c r="A23" s="65" t="s">
        <v>4</v>
      </c>
      <c r="B23" s="66" t="s">
        <v>84</v>
      </c>
      <c r="C23" s="66" t="s">
        <v>155</v>
      </c>
      <c r="D23" s="192" t="s">
        <v>156</v>
      </c>
      <c r="E23" s="193"/>
      <c r="F23" s="67" t="s">
        <v>78</v>
      </c>
      <c r="G23" s="67" t="s">
        <v>78</v>
      </c>
      <c r="H23" s="67" t="s">
        <v>78</v>
      </c>
      <c r="I23" s="44">
        <f>SUM(I24:I37)</f>
        <v>0</v>
      </c>
      <c r="J23" s="50" t="s">
        <v>4</v>
      </c>
      <c r="K23" s="44">
        <f>SUM(K24:K37)</f>
        <v>0</v>
      </c>
      <c r="L23" s="69" t="s">
        <v>4</v>
      </c>
      <c r="AI23" s="50" t="s">
        <v>84</v>
      </c>
      <c r="AS23" s="44">
        <f>SUM(AJ24:AJ37)</f>
        <v>0</v>
      </c>
      <c r="AT23" s="44">
        <f>SUM(AK24:AK37)</f>
        <v>0</v>
      </c>
      <c r="AU23" s="44">
        <f>SUM(AL24:AL37)</f>
        <v>0</v>
      </c>
    </row>
    <row r="24" spans="1:75" ht="13.5" customHeight="1">
      <c r="A24" s="1" t="s">
        <v>157</v>
      </c>
      <c r="B24" s="2" t="s">
        <v>84</v>
      </c>
      <c r="C24" s="2" t="s">
        <v>158</v>
      </c>
      <c r="D24" s="108" t="s">
        <v>159</v>
      </c>
      <c r="E24" s="103"/>
      <c r="F24" s="2" t="s">
        <v>135</v>
      </c>
      <c r="G24" s="38">
        <f>'Stavební rozpočet'!G24</f>
        <v>2.52</v>
      </c>
      <c r="H24" s="38">
        <f>'Stavební rozpočet'!H24</f>
        <v>0</v>
      </c>
      <c r="I24" s="38">
        <f>G24*H24</f>
        <v>0</v>
      </c>
      <c r="J24" s="38">
        <f>'Stavební rozpočet'!J24</f>
        <v>0</v>
      </c>
      <c r="K24" s="38">
        <f>G24*J24</f>
        <v>0</v>
      </c>
      <c r="L24" s="71" t="s">
        <v>136</v>
      </c>
      <c r="Z24" s="38">
        <f>IF(AQ24="5",BJ24,0)</f>
        <v>0</v>
      </c>
      <c r="AB24" s="38">
        <f>IF(AQ24="1",BH24,0)</f>
        <v>0</v>
      </c>
      <c r="AC24" s="38">
        <f>IF(AQ24="1",BI24,0)</f>
        <v>0</v>
      </c>
      <c r="AD24" s="38">
        <f>IF(AQ24="7",BH24,0)</f>
        <v>0</v>
      </c>
      <c r="AE24" s="38">
        <f>IF(AQ24="7",BI24,0)</f>
        <v>0</v>
      </c>
      <c r="AF24" s="38">
        <f>IF(AQ24="2",BH24,0)</f>
        <v>0</v>
      </c>
      <c r="AG24" s="38">
        <f>IF(AQ24="2",BI24,0)</f>
        <v>0</v>
      </c>
      <c r="AH24" s="38">
        <f>IF(AQ24="0",BJ24,0)</f>
        <v>0</v>
      </c>
      <c r="AI24" s="50" t="s">
        <v>84</v>
      </c>
      <c r="AJ24" s="38">
        <f>IF(AN24=0,I24,0)</f>
        <v>0</v>
      </c>
      <c r="AK24" s="38">
        <f>IF(AN24=12,I24,0)</f>
        <v>0</v>
      </c>
      <c r="AL24" s="38">
        <f>IF(AN24=21,I24,0)</f>
        <v>0</v>
      </c>
      <c r="AN24" s="38">
        <v>21</v>
      </c>
      <c r="AO24" s="38">
        <f>H24*0</f>
        <v>0</v>
      </c>
      <c r="AP24" s="38">
        <f>H24*(1-0)</f>
        <v>0</v>
      </c>
      <c r="AQ24" s="72" t="s">
        <v>132</v>
      </c>
      <c r="AV24" s="38">
        <f>AW24+AX24</f>
        <v>0</v>
      </c>
      <c r="AW24" s="38">
        <f>G24*AO24</f>
        <v>0</v>
      </c>
      <c r="AX24" s="38">
        <f>G24*AP24</f>
        <v>0</v>
      </c>
      <c r="AY24" s="72" t="s">
        <v>160</v>
      </c>
      <c r="AZ24" s="72" t="s">
        <v>138</v>
      </c>
      <c r="BA24" s="50" t="s">
        <v>139</v>
      </c>
      <c r="BB24" s="73">
        <v>100024</v>
      </c>
      <c r="BC24" s="38">
        <f>AW24+AX24</f>
        <v>0</v>
      </c>
      <c r="BD24" s="38">
        <f>H24/(100-BE24)*100</f>
        <v>0</v>
      </c>
      <c r="BE24" s="38">
        <v>0</v>
      </c>
      <c r="BF24" s="38">
        <f>K24</f>
        <v>0</v>
      </c>
      <c r="BH24" s="38">
        <f>G24*AO24</f>
        <v>0</v>
      </c>
      <c r="BI24" s="38">
        <f>G24*AP24</f>
        <v>0</v>
      </c>
      <c r="BJ24" s="38">
        <f>G24*H24</f>
        <v>0</v>
      </c>
      <c r="BK24" s="38"/>
      <c r="BL24" s="38">
        <v>16</v>
      </c>
      <c r="BW24" s="38">
        <v>21</v>
      </c>
    </row>
    <row r="25" spans="1:12" ht="13.5" customHeight="1">
      <c r="A25" s="74"/>
      <c r="D25" s="194" t="s">
        <v>153</v>
      </c>
      <c r="E25" s="195"/>
      <c r="F25" s="195"/>
      <c r="G25" s="195"/>
      <c r="H25" s="195"/>
      <c r="I25" s="195"/>
      <c r="J25" s="195"/>
      <c r="K25" s="195"/>
      <c r="L25" s="197"/>
    </row>
    <row r="26" spans="1:12" ht="15">
      <c r="A26" s="74"/>
      <c r="D26" s="75" t="s">
        <v>161</v>
      </c>
      <c r="E26" s="75" t="s">
        <v>4</v>
      </c>
      <c r="G26" s="76">
        <v>2.52</v>
      </c>
      <c r="L26" s="77"/>
    </row>
    <row r="27" spans="1:75" ht="13.5" customHeight="1">
      <c r="A27" s="1" t="s">
        <v>162</v>
      </c>
      <c r="B27" s="2" t="s">
        <v>84</v>
      </c>
      <c r="C27" s="2" t="s">
        <v>163</v>
      </c>
      <c r="D27" s="108" t="s">
        <v>164</v>
      </c>
      <c r="E27" s="103"/>
      <c r="F27" s="2" t="s">
        <v>135</v>
      </c>
      <c r="G27" s="38">
        <f>'Stavební rozpočet'!G27</f>
        <v>5.04</v>
      </c>
      <c r="H27" s="38">
        <f>'Stavební rozpočet'!H27</f>
        <v>0</v>
      </c>
      <c r="I27" s="38">
        <f>G27*H27</f>
        <v>0</v>
      </c>
      <c r="J27" s="38">
        <f>'Stavební rozpočet'!J27</f>
        <v>0</v>
      </c>
      <c r="K27" s="38">
        <f>G27*J27</f>
        <v>0</v>
      </c>
      <c r="L27" s="71" t="s">
        <v>136</v>
      </c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50" t="s">
        <v>84</v>
      </c>
      <c r="AJ27" s="38">
        <f>IF(AN27=0,I27,0)</f>
        <v>0</v>
      </c>
      <c r="AK27" s="38">
        <f>IF(AN27=12,I27,0)</f>
        <v>0</v>
      </c>
      <c r="AL27" s="38">
        <f>IF(AN27=21,I27,0)</f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132</v>
      </c>
      <c r="AV27" s="38">
        <f>AW27+AX27</f>
        <v>0</v>
      </c>
      <c r="AW27" s="38">
        <f>G27*AO27</f>
        <v>0</v>
      </c>
      <c r="AX27" s="38">
        <f>G27*AP27</f>
        <v>0</v>
      </c>
      <c r="AY27" s="72" t="s">
        <v>160</v>
      </c>
      <c r="AZ27" s="72" t="s">
        <v>138</v>
      </c>
      <c r="BA27" s="50" t="s">
        <v>139</v>
      </c>
      <c r="BB27" s="73">
        <v>100024</v>
      </c>
      <c r="BC27" s="38">
        <f>AW27+AX27</f>
        <v>0</v>
      </c>
      <c r="BD27" s="38">
        <f>H27/(100-BE27)*100</f>
        <v>0</v>
      </c>
      <c r="BE27" s="38">
        <v>0</v>
      </c>
      <c r="BF27" s="38">
        <f>K27</f>
        <v>0</v>
      </c>
      <c r="BH27" s="38">
        <f>G27*AO27</f>
        <v>0</v>
      </c>
      <c r="BI27" s="38">
        <f>G27*AP27</f>
        <v>0</v>
      </c>
      <c r="BJ27" s="38">
        <f>G27*H27</f>
        <v>0</v>
      </c>
      <c r="BK27" s="38"/>
      <c r="BL27" s="38">
        <v>16</v>
      </c>
      <c r="BW27" s="38">
        <v>21</v>
      </c>
    </row>
    <row r="28" spans="1:12" ht="13.5" customHeight="1">
      <c r="A28" s="74"/>
      <c r="D28" s="194" t="s">
        <v>153</v>
      </c>
      <c r="E28" s="195"/>
      <c r="F28" s="195"/>
      <c r="G28" s="195"/>
      <c r="H28" s="195"/>
      <c r="I28" s="195"/>
      <c r="J28" s="195"/>
      <c r="K28" s="195"/>
      <c r="L28" s="197"/>
    </row>
    <row r="29" spans="1:12" ht="15">
      <c r="A29" s="74"/>
      <c r="D29" s="75" t="s">
        <v>165</v>
      </c>
      <c r="E29" s="75" t="s">
        <v>4</v>
      </c>
      <c r="G29" s="76">
        <v>5.04</v>
      </c>
      <c r="L29" s="77"/>
    </row>
    <row r="30" spans="1:75" ht="13.5" customHeight="1">
      <c r="A30" s="1" t="s">
        <v>166</v>
      </c>
      <c r="B30" s="2" t="s">
        <v>84</v>
      </c>
      <c r="C30" s="2" t="s">
        <v>167</v>
      </c>
      <c r="D30" s="108" t="s">
        <v>168</v>
      </c>
      <c r="E30" s="103"/>
      <c r="F30" s="2" t="s">
        <v>135</v>
      </c>
      <c r="G30" s="38">
        <f>'Stavební rozpočet'!G30</f>
        <v>2.52</v>
      </c>
      <c r="H30" s="38">
        <f>'Stavební rozpočet'!H30</f>
        <v>0</v>
      </c>
      <c r="I30" s="38">
        <f>G30*H30</f>
        <v>0</v>
      </c>
      <c r="J30" s="38">
        <f>'Stavební rozpočet'!J30</f>
        <v>0</v>
      </c>
      <c r="K30" s="38">
        <f>G30*J30</f>
        <v>0</v>
      </c>
      <c r="L30" s="71" t="s">
        <v>136</v>
      </c>
      <c r="Z30" s="38">
        <f>IF(AQ30="5",BJ30,0)</f>
        <v>0</v>
      </c>
      <c r="AB30" s="38">
        <f>IF(AQ30="1",BH30,0)</f>
        <v>0</v>
      </c>
      <c r="AC30" s="38">
        <f>IF(AQ30="1",BI30,0)</f>
        <v>0</v>
      </c>
      <c r="AD30" s="38">
        <f>IF(AQ30="7",BH30,0)</f>
        <v>0</v>
      </c>
      <c r="AE30" s="38">
        <f>IF(AQ30="7",BI30,0)</f>
        <v>0</v>
      </c>
      <c r="AF30" s="38">
        <f>IF(AQ30="2",BH30,0)</f>
        <v>0</v>
      </c>
      <c r="AG30" s="38">
        <f>IF(AQ30="2",BI30,0)</f>
        <v>0</v>
      </c>
      <c r="AH30" s="38">
        <f>IF(AQ30="0",BJ30,0)</f>
        <v>0</v>
      </c>
      <c r="AI30" s="50" t="s">
        <v>84</v>
      </c>
      <c r="AJ30" s="38">
        <f>IF(AN30=0,I30,0)</f>
        <v>0</v>
      </c>
      <c r="AK30" s="38">
        <f>IF(AN30=12,I30,0)</f>
        <v>0</v>
      </c>
      <c r="AL30" s="38">
        <f>IF(AN30=21,I30,0)</f>
        <v>0</v>
      </c>
      <c r="AN30" s="38">
        <v>21</v>
      </c>
      <c r="AO30" s="38">
        <f>H30*0</f>
        <v>0</v>
      </c>
      <c r="AP30" s="38">
        <f>H30*(1-0)</f>
        <v>0</v>
      </c>
      <c r="AQ30" s="72" t="s">
        <v>132</v>
      </c>
      <c r="AV30" s="38">
        <f>AW30+AX30</f>
        <v>0</v>
      </c>
      <c r="AW30" s="38">
        <f>G30*AO30</f>
        <v>0</v>
      </c>
      <c r="AX30" s="38">
        <f>G30*AP30</f>
        <v>0</v>
      </c>
      <c r="AY30" s="72" t="s">
        <v>160</v>
      </c>
      <c r="AZ30" s="72" t="s">
        <v>138</v>
      </c>
      <c r="BA30" s="50" t="s">
        <v>139</v>
      </c>
      <c r="BB30" s="73">
        <v>100024</v>
      </c>
      <c r="BC30" s="38">
        <f>AW30+AX30</f>
        <v>0</v>
      </c>
      <c r="BD30" s="38">
        <f>H30/(100-BE30)*100</f>
        <v>0</v>
      </c>
      <c r="BE30" s="38">
        <v>0</v>
      </c>
      <c r="BF30" s="38">
        <f>K30</f>
        <v>0</v>
      </c>
      <c r="BH30" s="38">
        <f>G30*AO30</f>
        <v>0</v>
      </c>
      <c r="BI30" s="38">
        <f>G30*AP30</f>
        <v>0</v>
      </c>
      <c r="BJ30" s="38">
        <f>G30*H30</f>
        <v>0</v>
      </c>
      <c r="BK30" s="38"/>
      <c r="BL30" s="38">
        <v>16</v>
      </c>
      <c r="BW30" s="38">
        <v>21</v>
      </c>
    </row>
    <row r="31" spans="1:12" ht="13.5" customHeight="1">
      <c r="A31" s="74"/>
      <c r="D31" s="194" t="s">
        <v>153</v>
      </c>
      <c r="E31" s="195"/>
      <c r="F31" s="195"/>
      <c r="G31" s="195"/>
      <c r="H31" s="195"/>
      <c r="I31" s="195"/>
      <c r="J31" s="195"/>
      <c r="K31" s="195"/>
      <c r="L31" s="197"/>
    </row>
    <row r="32" spans="1:12" ht="15">
      <c r="A32" s="74"/>
      <c r="D32" s="75" t="s">
        <v>161</v>
      </c>
      <c r="E32" s="75" t="s">
        <v>4</v>
      </c>
      <c r="G32" s="76">
        <v>2.52</v>
      </c>
      <c r="L32" s="77"/>
    </row>
    <row r="33" spans="1:75" ht="13.5" customHeight="1">
      <c r="A33" s="1" t="s">
        <v>169</v>
      </c>
      <c r="B33" s="2" t="s">
        <v>84</v>
      </c>
      <c r="C33" s="2" t="s">
        <v>170</v>
      </c>
      <c r="D33" s="108" t="s">
        <v>171</v>
      </c>
      <c r="E33" s="103"/>
      <c r="F33" s="2" t="s">
        <v>135</v>
      </c>
      <c r="G33" s="38">
        <f>'Stavební rozpočet'!G33</f>
        <v>3.57</v>
      </c>
      <c r="H33" s="38">
        <f>'Stavební rozpočet'!H33</f>
        <v>0</v>
      </c>
      <c r="I33" s="38">
        <f>G33*H33</f>
        <v>0</v>
      </c>
      <c r="J33" s="38">
        <f>'Stavební rozpočet'!J33</f>
        <v>0</v>
      </c>
      <c r="K33" s="38">
        <f>G33*J33</f>
        <v>0</v>
      </c>
      <c r="L33" s="71" t="s">
        <v>136</v>
      </c>
      <c r="Z33" s="38">
        <f>IF(AQ33="5",BJ33,0)</f>
        <v>0</v>
      </c>
      <c r="AB33" s="38">
        <f>IF(AQ33="1",BH33,0)</f>
        <v>0</v>
      </c>
      <c r="AC33" s="38">
        <f>IF(AQ33="1",BI33,0)</f>
        <v>0</v>
      </c>
      <c r="AD33" s="38">
        <f>IF(AQ33="7",BH33,0)</f>
        <v>0</v>
      </c>
      <c r="AE33" s="38">
        <f>IF(AQ33="7",BI33,0)</f>
        <v>0</v>
      </c>
      <c r="AF33" s="38">
        <f>IF(AQ33="2",BH33,0)</f>
        <v>0</v>
      </c>
      <c r="AG33" s="38">
        <f>IF(AQ33="2",BI33,0)</f>
        <v>0</v>
      </c>
      <c r="AH33" s="38">
        <f>IF(AQ33="0",BJ33,0)</f>
        <v>0</v>
      </c>
      <c r="AI33" s="50" t="s">
        <v>84</v>
      </c>
      <c r="AJ33" s="38">
        <f>IF(AN33=0,I33,0)</f>
        <v>0</v>
      </c>
      <c r="AK33" s="38">
        <f>IF(AN33=12,I33,0)</f>
        <v>0</v>
      </c>
      <c r="AL33" s="38">
        <f>IF(AN33=21,I33,0)</f>
        <v>0</v>
      </c>
      <c r="AN33" s="38">
        <v>21</v>
      </c>
      <c r="AO33" s="38">
        <f>H33*0</f>
        <v>0</v>
      </c>
      <c r="AP33" s="38">
        <f>H33*(1-0)</f>
        <v>0</v>
      </c>
      <c r="AQ33" s="72" t="s">
        <v>132</v>
      </c>
      <c r="AV33" s="38">
        <f>AW33+AX33</f>
        <v>0</v>
      </c>
      <c r="AW33" s="38">
        <f>G33*AO33</f>
        <v>0</v>
      </c>
      <c r="AX33" s="38">
        <f>G33*AP33</f>
        <v>0</v>
      </c>
      <c r="AY33" s="72" t="s">
        <v>160</v>
      </c>
      <c r="AZ33" s="72" t="s">
        <v>138</v>
      </c>
      <c r="BA33" s="50" t="s">
        <v>139</v>
      </c>
      <c r="BB33" s="73">
        <v>100024</v>
      </c>
      <c r="BC33" s="38">
        <f>AW33+AX33</f>
        <v>0</v>
      </c>
      <c r="BD33" s="38">
        <f>H33/(100-BE33)*100</f>
        <v>0</v>
      </c>
      <c r="BE33" s="38">
        <v>0</v>
      </c>
      <c r="BF33" s="38">
        <f>K33</f>
        <v>0</v>
      </c>
      <c r="BH33" s="38">
        <f>G33*AO33</f>
        <v>0</v>
      </c>
      <c r="BI33" s="38">
        <f>G33*AP33</f>
        <v>0</v>
      </c>
      <c r="BJ33" s="38">
        <f>G33*H33</f>
        <v>0</v>
      </c>
      <c r="BK33" s="38"/>
      <c r="BL33" s="38">
        <v>16</v>
      </c>
      <c r="BW33" s="38">
        <v>21</v>
      </c>
    </row>
    <row r="34" spans="1:12" ht="13.5" customHeight="1">
      <c r="A34" s="74"/>
      <c r="D34" s="194" t="s">
        <v>172</v>
      </c>
      <c r="E34" s="195"/>
      <c r="F34" s="195"/>
      <c r="G34" s="195"/>
      <c r="H34" s="195"/>
      <c r="I34" s="195"/>
      <c r="J34" s="195"/>
      <c r="K34" s="195"/>
      <c r="L34" s="197"/>
    </row>
    <row r="35" spans="1:12" ht="15">
      <c r="A35" s="74"/>
      <c r="D35" s="75" t="s">
        <v>161</v>
      </c>
      <c r="E35" s="75" t="s">
        <v>153</v>
      </c>
      <c r="G35" s="76">
        <v>2.52</v>
      </c>
      <c r="L35" s="77"/>
    </row>
    <row r="36" spans="1:12" ht="15">
      <c r="A36" s="74"/>
      <c r="D36" s="75" t="s">
        <v>173</v>
      </c>
      <c r="E36" s="75" t="s">
        <v>142</v>
      </c>
      <c r="G36" s="76">
        <v>1.05</v>
      </c>
      <c r="L36" s="77"/>
    </row>
    <row r="37" spans="1:75" ht="13.5" customHeight="1">
      <c r="A37" s="1" t="s">
        <v>174</v>
      </c>
      <c r="B37" s="2" t="s">
        <v>84</v>
      </c>
      <c r="C37" s="2" t="s">
        <v>175</v>
      </c>
      <c r="D37" s="108" t="s">
        <v>176</v>
      </c>
      <c r="E37" s="103"/>
      <c r="F37" s="2" t="s">
        <v>135</v>
      </c>
      <c r="G37" s="38">
        <f>'Stavební rozpočet'!G37</f>
        <v>3.57</v>
      </c>
      <c r="H37" s="38">
        <f>'Stavební rozpočet'!H37</f>
        <v>0</v>
      </c>
      <c r="I37" s="38">
        <f>G37*H37</f>
        <v>0</v>
      </c>
      <c r="J37" s="38">
        <f>'Stavební rozpočet'!J37</f>
        <v>0</v>
      </c>
      <c r="K37" s="38">
        <f>G37*J37</f>
        <v>0</v>
      </c>
      <c r="L37" s="71" t="s">
        <v>136</v>
      </c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50" t="s">
        <v>84</v>
      </c>
      <c r="AJ37" s="38">
        <f>IF(AN37=0,I37,0)</f>
        <v>0</v>
      </c>
      <c r="AK37" s="38">
        <f>IF(AN37=12,I37,0)</f>
        <v>0</v>
      </c>
      <c r="AL37" s="38">
        <f>IF(AN37=21,I37,0)</f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132</v>
      </c>
      <c r="AV37" s="38">
        <f>AW37+AX37</f>
        <v>0</v>
      </c>
      <c r="AW37" s="38">
        <f>G37*AO37</f>
        <v>0</v>
      </c>
      <c r="AX37" s="38">
        <f>G37*AP37</f>
        <v>0</v>
      </c>
      <c r="AY37" s="72" t="s">
        <v>160</v>
      </c>
      <c r="AZ37" s="72" t="s">
        <v>138</v>
      </c>
      <c r="BA37" s="50" t="s">
        <v>139</v>
      </c>
      <c r="BB37" s="73">
        <v>100024</v>
      </c>
      <c r="BC37" s="38">
        <f>AW37+AX37</f>
        <v>0</v>
      </c>
      <c r="BD37" s="38">
        <f>H37/(100-BE37)*100</f>
        <v>0</v>
      </c>
      <c r="BE37" s="38">
        <v>0</v>
      </c>
      <c r="BF37" s="38">
        <f>K37</f>
        <v>0</v>
      </c>
      <c r="BH37" s="38">
        <f>G37*AO37</f>
        <v>0</v>
      </c>
      <c r="BI37" s="38">
        <f>G37*AP37</f>
        <v>0</v>
      </c>
      <c r="BJ37" s="38">
        <f>G37*H37</f>
        <v>0</v>
      </c>
      <c r="BK37" s="38"/>
      <c r="BL37" s="38">
        <v>16</v>
      </c>
      <c r="BW37" s="38">
        <v>21</v>
      </c>
    </row>
    <row r="38" spans="1:12" ht="13.5" customHeight="1">
      <c r="A38" s="74"/>
      <c r="D38" s="194" t="s">
        <v>172</v>
      </c>
      <c r="E38" s="195"/>
      <c r="F38" s="195"/>
      <c r="G38" s="195"/>
      <c r="H38" s="195"/>
      <c r="I38" s="195"/>
      <c r="J38" s="195"/>
      <c r="K38" s="195"/>
      <c r="L38" s="197"/>
    </row>
    <row r="39" spans="1:12" ht="15">
      <c r="A39" s="74"/>
      <c r="D39" s="75" t="s">
        <v>177</v>
      </c>
      <c r="E39" s="75" t="s">
        <v>4</v>
      </c>
      <c r="G39" s="76">
        <v>3.57</v>
      </c>
      <c r="L39" s="77"/>
    </row>
    <row r="40" spans="1:47" ht="15">
      <c r="A40" s="65" t="s">
        <v>4</v>
      </c>
      <c r="B40" s="66" t="s">
        <v>84</v>
      </c>
      <c r="C40" s="66" t="s">
        <v>178</v>
      </c>
      <c r="D40" s="192" t="s">
        <v>179</v>
      </c>
      <c r="E40" s="193"/>
      <c r="F40" s="67" t="s">
        <v>78</v>
      </c>
      <c r="G40" s="67" t="s">
        <v>78</v>
      </c>
      <c r="H40" s="67" t="s">
        <v>78</v>
      </c>
      <c r="I40" s="44">
        <f>SUM(I41:I45)</f>
        <v>0</v>
      </c>
      <c r="J40" s="50" t="s">
        <v>4</v>
      </c>
      <c r="K40" s="44">
        <f>SUM(K41:K45)</f>
        <v>1.78</v>
      </c>
      <c r="L40" s="69" t="s">
        <v>4</v>
      </c>
      <c r="AI40" s="50" t="s">
        <v>84</v>
      </c>
      <c r="AS40" s="44">
        <f>SUM(AJ41:AJ45)</f>
        <v>0</v>
      </c>
      <c r="AT40" s="44">
        <f>SUM(AK41:AK45)</f>
        <v>0</v>
      </c>
      <c r="AU40" s="44">
        <f>SUM(AL41:AL45)</f>
        <v>0</v>
      </c>
    </row>
    <row r="41" spans="1:75" ht="13.5" customHeight="1">
      <c r="A41" s="1" t="s">
        <v>180</v>
      </c>
      <c r="B41" s="2" t="s">
        <v>84</v>
      </c>
      <c r="C41" s="2" t="s">
        <v>181</v>
      </c>
      <c r="D41" s="108" t="s">
        <v>182</v>
      </c>
      <c r="E41" s="103"/>
      <c r="F41" s="2" t="s">
        <v>135</v>
      </c>
      <c r="G41" s="38">
        <f>'Stavební rozpočet'!G41</f>
        <v>3.17</v>
      </c>
      <c r="H41" s="38">
        <f>'Stavební rozpočet'!H41</f>
        <v>0</v>
      </c>
      <c r="I41" s="38">
        <f>G41*H41</f>
        <v>0</v>
      </c>
      <c r="J41" s="38">
        <f>'Stavební rozpočet'!J41</f>
        <v>0</v>
      </c>
      <c r="K41" s="38">
        <f>G41*J41</f>
        <v>0</v>
      </c>
      <c r="L41" s="71" t="s">
        <v>136</v>
      </c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50" t="s">
        <v>84</v>
      </c>
      <c r="AJ41" s="38">
        <f>IF(AN41=0,I41,0)</f>
        <v>0</v>
      </c>
      <c r="AK41" s="38">
        <f>IF(AN41=12,I41,0)</f>
        <v>0</v>
      </c>
      <c r="AL41" s="38">
        <f>IF(AN41=21,I41,0)</f>
        <v>0</v>
      </c>
      <c r="AN41" s="38">
        <v>21</v>
      </c>
      <c r="AO41" s="38">
        <f>H41*0</f>
        <v>0</v>
      </c>
      <c r="AP41" s="38">
        <f>H41*(1-0)</f>
        <v>0</v>
      </c>
      <c r="AQ41" s="72" t="s">
        <v>132</v>
      </c>
      <c r="AV41" s="38">
        <f>AW41+AX41</f>
        <v>0</v>
      </c>
      <c r="AW41" s="38">
        <f>G41*AO41</f>
        <v>0</v>
      </c>
      <c r="AX41" s="38">
        <f>G41*AP41</f>
        <v>0</v>
      </c>
      <c r="AY41" s="72" t="s">
        <v>183</v>
      </c>
      <c r="AZ41" s="72" t="s">
        <v>138</v>
      </c>
      <c r="BA41" s="50" t="s">
        <v>139</v>
      </c>
      <c r="BB41" s="73">
        <v>100026</v>
      </c>
      <c r="BC41" s="38">
        <f>AW41+AX41</f>
        <v>0</v>
      </c>
      <c r="BD41" s="38">
        <f>H41/(100-BE41)*100</f>
        <v>0</v>
      </c>
      <c r="BE41" s="38">
        <v>0</v>
      </c>
      <c r="BF41" s="38">
        <f>K41</f>
        <v>0</v>
      </c>
      <c r="BH41" s="38">
        <f>G41*AO41</f>
        <v>0</v>
      </c>
      <c r="BI41" s="38">
        <f>G41*AP41</f>
        <v>0</v>
      </c>
      <c r="BJ41" s="38">
        <f>G41*H41</f>
        <v>0</v>
      </c>
      <c r="BK41" s="38"/>
      <c r="BL41" s="38">
        <v>17</v>
      </c>
      <c r="BW41" s="38">
        <v>21</v>
      </c>
    </row>
    <row r="42" spans="1:12" ht="15">
      <c r="A42" s="74"/>
      <c r="D42" s="75" t="s">
        <v>184</v>
      </c>
      <c r="E42" s="75" t="s">
        <v>185</v>
      </c>
      <c r="G42" s="76">
        <v>3.17</v>
      </c>
      <c r="L42" s="77"/>
    </row>
    <row r="43" spans="1:75" ht="13.5" customHeight="1">
      <c r="A43" s="78" t="s">
        <v>186</v>
      </c>
      <c r="B43" s="79" t="s">
        <v>84</v>
      </c>
      <c r="C43" s="79" t="s">
        <v>187</v>
      </c>
      <c r="D43" s="198" t="s">
        <v>188</v>
      </c>
      <c r="E43" s="199"/>
      <c r="F43" s="79" t="s">
        <v>189</v>
      </c>
      <c r="G43" s="80">
        <f>'Stavební rozpočet'!G43</f>
        <v>1.78</v>
      </c>
      <c r="H43" s="80">
        <f>'Stavební rozpočet'!H43</f>
        <v>0</v>
      </c>
      <c r="I43" s="80">
        <f>G43*H43</f>
        <v>0</v>
      </c>
      <c r="J43" s="80">
        <f>'Stavební rozpočet'!J43</f>
        <v>1</v>
      </c>
      <c r="K43" s="80">
        <f>G43*J43</f>
        <v>1.78</v>
      </c>
      <c r="L43" s="82" t="s">
        <v>136</v>
      </c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50" t="s">
        <v>84</v>
      </c>
      <c r="AJ43" s="80">
        <f>IF(AN43=0,I43,0)</f>
        <v>0</v>
      </c>
      <c r="AK43" s="80">
        <f>IF(AN43=12,I43,0)</f>
        <v>0</v>
      </c>
      <c r="AL43" s="80">
        <f>IF(AN43=21,I43,0)</f>
        <v>0</v>
      </c>
      <c r="AN43" s="38">
        <v>21</v>
      </c>
      <c r="AO43" s="38">
        <f>H43*1</f>
        <v>0</v>
      </c>
      <c r="AP43" s="38">
        <f>H43*(1-1)</f>
        <v>0</v>
      </c>
      <c r="AQ43" s="83" t="s">
        <v>132</v>
      </c>
      <c r="AV43" s="38">
        <f>AW43+AX43</f>
        <v>0</v>
      </c>
      <c r="AW43" s="38">
        <f>G43*AO43</f>
        <v>0</v>
      </c>
      <c r="AX43" s="38">
        <f>G43*AP43</f>
        <v>0</v>
      </c>
      <c r="AY43" s="72" t="s">
        <v>183</v>
      </c>
      <c r="AZ43" s="72" t="s">
        <v>138</v>
      </c>
      <c r="BA43" s="50" t="s">
        <v>139</v>
      </c>
      <c r="BC43" s="38">
        <f>AW43+AX43</f>
        <v>0</v>
      </c>
      <c r="BD43" s="38">
        <f>H43/(100-BE43)*100</f>
        <v>0</v>
      </c>
      <c r="BE43" s="38">
        <v>0</v>
      </c>
      <c r="BF43" s="38">
        <f>K43</f>
        <v>1.78</v>
      </c>
      <c r="BH43" s="80">
        <f>G43*AO43</f>
        <v>0</v>
      </c>
      <c r="BI43" s="80">
        <f>G43*AP43</f>
        <v>0</v>
      </c>
      <c r="BJ43" s="80">
        <f>G43*H43</f>
        <v>0</v>
      </c>
      <c r="BK43" s="80"/>
      <c r="BL43" s="38">
        <v>17</v>
      </c>
      <c r="BW43" s="38">
        <v>21</v>
      </c>
    </row>
    <row r="44" spans="1:12" ht="15">
      <c r="A44" s="74"/>
      <c r="D44" s="75" t="s">
        <v>190</v>
      </c>
      <c r="E44" s="75" t="s">
        <v>4</v>
      </c>
      <c r="G44" s="76">
        <v>1.78</v>
      </c>
      <c r="L44" s="77"/>
    </row>
    <row r="45" spans="1:75" ht="13.5" customHeight="1">
      <c r="A45" s="1" t="s">
        <v>191</v>
      </c>
      <c r="B45" s="2" t="s">
        <v>84</v>
      </c>
      <c r="C45" s="2" t="s">
        <v>192</v>
      </c>
      <c r="D45" s="108" t="s">
        <v>193</v>
      </c>
      <c r="E45" s="103"/>
      <c r="F45" s="2" t="s">
        <v>135</v>
      </c>
      <c r="G45" s="38">
        <f>'Stavební rozpočet'!G45</f>
        <v>0.07</v>
      </c>
      <c r="H45" s="38">
        <f>'Stavební rozpočet'!H45</f>
        <v>0</v>
      </c>
      <c r="I45" s="38">
        <f>G45*H45</f>
        <v>0</v>
      </c>
      <c r="J45" s="38">
        <f>'Stavební rozpočet'!J45</f>
        <v>0</v>
      </c>
      <c r="K45" s="38">
        <f>G45*J45</f>
        <v>0</v>
      </c>
      <c r="L45" s="71" t="s">
        <v>136</v>
      </c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50" t="s">
        <v>84</v>
      </c>
      <c r="AJ45" s="38">
        <f>IF(AN45=0,I45,0)</f>
        <v>0</v>
      </c>
      <c r="AK45" s="38">
        <f>IF(AN45=12,I45,0)</f>
        <v>0</v>
      </c>
      <c r="AL45" s="38">
        <f>IF(AN45=21,I45,0)</f>
        <v>0</v>
      </c>
      <c r="AN45" s="38">
        <v>21</v>
      </c>
      <c r="AO45" s="38">
        <f>H45*0</f>
        <v>0</v>
      </c>
      <c r="AP45" s="38">
        <f>H45*(1-0)</f>
        <v>0</v>
      </c>
      <c r="AQ45" s="72" t="s">
        <v>132</v>
      </c>
      <c r="AV45" s="38">
        <f>AW45+AX45</f>
        <v>0</v>
      </c>
      <c r="AW45" s="38">
        <f>G45*AO45</f>
        <v>0</v>
      </c>
      <c r="AX45" s="38">
        <f>G45*AP45</f>
        <v>0</v>
      </c>
      <c r="AY45" s="72" t="s">
        <v>183</v>
      </c>
      <c r="AZ45" s="72" t="s">
        <v>138</v>
      </c>
      <c r="BA45" s="50" t="s">
        <v>139</v>
      </c>
      <c r="BB45" s="73">
        <v>100026</v>
      </c>
      <c r="BC45" s="38">
        <f>AW45+AX45</f>
        <v>0</v>
      </c>
      <c r="BD45" s="38">
        <f>H45/(100-BE45)*100</f>
        <v>0</v>
      </c>
      <c r="BE45" s="38">
        <v>0</v>
      </c>
      <c r="BF45" s="38">
        <f>K45</f>
        <v>0</v>
      </c>
      <c r="BH45" s="38">
        <f>G45*AO45</f>
        <v>0</v>
      </c>
      <c r="BI45" s="38">
        <f>G45*AP45</f>
        <v>0</v>
      </c>
      <c r="BJ45" s="38">
        <f>G45*H45</f>
        <v>0</v>
      </c>
      <c r="BK45" s="38"/>
      <c r="BL45" s="38">
        <v>17</v>
      </c>
      <c r="BW45" s="38">
        <v>21</v>
      </c>
    </row>
    <row r="46" spans="1:12" ht="15">
      <c r="A46" s="74"/>
      <c r="D46" s="75" t="s">
        <v>194</v>
      </c>
      <c r="E46" s="75" t="s">
        <v>4</v>
      </c>
      <c r="G46" s="76">
        <v>0.07</v>
      </c>
      <c r="L46" s="77"/>
    </row>
    <row r="47" spans="1:47" ht="15">
      <c r="A47" s="65" t="s">
        <v>4</v>
      </c>
      <c r="B47" s="66" t="s">
        <v>84</v>
      </c>
      <c r="C47" s="66" t="s">
        <v>195</v>
      </c>
      <c r="D47" s="192" t="s">
        <v>196</v>
      </c>
      <c r="E47" s="193"/>
      <c r="F47" s="67" t="s">
        <v>78</v>
      </c>
      <c r="G47" s="67" t="s">
        <v>78</v>
      </c>
      <c r="H47" s="67" t="s">
        <v>78</v>
      </c>
      <c r="I47" s="44">
        <f>SUM(I48:I93)</f>
        <v>0</v>
      </c>
      <c r="J47" s="50" t="s">
        <v>4</v>
      </c>
      <c r="K47" s="44">
        <f>SUM(K48:K93)</f>
        <v>26.659773299999998</v>
      </c>
      <c r="L47" s="69" t="s">
        <v>4</v>
      </c>
      <c r="AI47" s="50" t="s">
        <v>84</v>
      </c>
      <c r="AS47" s="44">
        <f>SUM(AJ48:AJ93)</f>
        <v>0</v>
      </c>
      <c r="AT47" s="44">
        <f>SUM(AK48:AK93)</f>
        <v>0</v>
      </c>
      <c r="AU47" s="44">
        <f>SUM(AL48:AL93)</f>
        <v>0</v>
      </c>
    </row>
    <row r="48" spans="1:75" ht="13.5" customHeight="1">
      <c r="A48" s="1" t="s">
        <v>130</v>
      </c>
      <c r="B48" s="2" t="s">
        <v>84</v>
      </c>
      <c r="C48" s="2" t="s">
        <v>197</v>
      </c>
      <c r="D48" s="108" t="s">
        <v>198</v>
      </c>
      <c r="E48" s="103"/>
      <c r="F48" s="2" t="s">
        <v>199</v>
      </c>
      <c r="G48" s="38">
        <f>'Stavební rozpočet'!G48</f>
        <v>20</v>
      </c>
      <c r="H48" s="38">
        <f>'Stavební rozpočet'!H48</f>
        <v>0</v>
      </c>
      <c r="I48" s="38">
        <f>G48*H48</f>
        <v>0</v>
      </c>
      <c r="J48" s="38">
        <f>'Stavební rozpočet'!J48</f>
        <v>0.11454</v>
      </c>
      <c r="K48" s="38">
        <f>G48*J48</f>
        <v>2.2908</v>
      </c>
      <c r="L48" s="71" t="s">
        <v>136</v>
      </c>
      <c r="Z48" s="38">
        <f>IF(AQ48="5",BJ48,0)</f>
        <v>0</v>
      </c>
      <c r="AB48" s="38">
        <f>IF(AQ48="1",BH48,0)</f>
        <v>0</v>
      </c>
      <c r="AC48" s="38">
        <f>IF(AQ48="1",BI48,0)</f>
        <v>0</v>
      </c>
      <c r="AD48" s="38">
        <f>IF(AQ48="7",BH48,0)</f>
        <v>0</v>
      </c>
      <c r="AE48" s="38">
        <f>IF(AQ48="7",BI48,0)</f>
        <v>0</v>
      </c>
      <c r="AF48" s="38">
        <f>IF(AQ48="2",BH48,0)</f>
        <v>0</v>
      </c>
      <c r="AG48" s="38">
        <f>IF(AQ48="2",BI48,0)</f>
        <v>0</v>
      </c>
      <c r="AH48" s="38">
        <f>IF(AQ48="0",BJ48,0)</f>
        <v>0</v>
      </c>
      <c r="AI48" s="50" t="s">
        <v>84</v>
      </c>
      <c r="AJ48" s="38">
        <f>IF(AN48=0,I48,0)</f>
        <v>0</v>
      </c>
      <c r="AK48" s="38">
        <f>IF(AN48=12,I48,0)</f>
        <v>0</v>
      </c>
      <c r="AL48" s="38">
        <f>IF(AN48=21,I48,0)</f>
        <v>0</v>
      </c>
      <c r="AN48" s="38">
        <v>21</v>
      </c>
      <c r="AO48" s="38">
        <f>H48*0.699582929</f>
        <v>0</v>
      </c>
      <c r="AP48" s="38">
        <f>H48*(1-0.699582929)</f>
        <v>0</v>
      </c>
      <c r="AQ48" s="72" t="s">
        <v>132</v>
      </c>
      <c r="AV48" s="38">
        <f>AW48+AX48</f>
        <v>0</v>
      </c>
      <c r="AW48" s="38">
        <f>G48*AO48</f>
        <v>0</v>
      </c>
      <c r="AX48" s="38">
        <f>G48*AP48</f>
        <v>0</v>
      </c>
      <c r="AY48" s="72" t="s">
        <v>200</v>
      </c>
      <c r="AZ48" s="72" t="s">
        <v>201</v>
      </c>
      <c r="BA48" s="50" t="s">
        <v>139</v>
      </c>
      <c r="BB48" s="73">
        <v>100011</v>
      </c>
      <c r="BC48" s="38">
        <f>AW48+AX48</f>
        <v>0</v>
      </c>
      <c r="BD48" s="38">
        <f>H48/(100-BE48)*100</f>
        <v>0</v>
      </c>
      <c r="BE48" s="38">
        <v>0</v>
      </c>
      <c r="BF48" s="38">
        <f>K48</f>
        <v>2.2908</v>
      </c>
      <c r="BH48" s="38">
        <f>G48*AO48</f>
        <v>0</v>
      </c>
      <c r="BI48" s="38">
        <f>G48*AP48</f>
        <v>0</v>
      </c>
      <c r="BJ48" s="38">
        <f>G48*H48</f>
        <v>0</v>
      </c>
      <c r="BK48" s="38"/>
      <c r="BL48" s="38">
        <v>31</v>
      </c>
      <c r="BW48" s="38">
        <v>21</v>
      </c>
    </row>
    <row r="49" spans="1:12" ht="13.5" customHeight="1">
      <c r="A49" s="74"/>
      <c r="D49" s="194" t="s">
        <v>202</v>
      </c>
      <c r="E49" s="195"/>
      <c r="F49" s="195"/>
      <c r="G49" s="195"/>
      <c r="H49" s="195"/>
      <c r="I49" s="195"/>
      <c r="J49" s="195"/>
      <c r="K49" s="195"/>
      <c r="L49" s="197"/>
    </row>
    <row r="50" spans="1:12" ht="15">
      <c r="A50" s="74"/>
      <c r="D50" s="75" t="s">
        <v>203</v>
      </c>
      <c r="E50" s="75" t="s">
        <v>204</v>
      </c>
      <c r="G50" s="76">
        <v>20</v>
      </c>
      <c r="L50" s="77"/>
    </row>
    <row r="51" spans="1:75" ht="13.5" customHeight="1">
      <c r="A51" s="1" t="s">
        <v>147</v>
      </c>
      <c r="B51" s="2" t="s">
        <v>84</v>
      </c>
      <c r="C51" s="2" t="s">
        <v>205</v>
      </c>
      <c r="D51" s="108" t="s">
        <v>206</v>
      </c>
      <c r="E51" s="103"/>
      <c r="F51" s="2" t="s">
        <v>199</v>
      </c>
      <c r="G51" s="38">
        <f>'Stavební rozpočet'!G51</f>
        <v>5</v>
      </c>
      <c r="H51" s="38">
        <f>'Stavební rozpočet'!H51</f>
        <v>0</v>
      </c>
      <c r="I51" s="38">
        <f>G51*H51</f>
        <v>0</v>
      </c>
      <c r="J51" s="38">
        <f>'Stavební rozpočet'!J51</f>
        <v>0.13106</v>
      </c>
      <c r="K51" s="38">
        <f>G51*J51</f>
        <v>0.6553</v>
      </c>
      <c r="L51" s="71" t="s">
        <v>207</v>
      </c>
      <c r="Z51" s="38">
        <f>IF(AQ51="5",BJ51,0)</f>
        <v>0</v>
      </c>
      <c r="AB51" s="38">
        <f>IF(AQ51="1",BH51,0)</f>
        <v>0</v>
      </c>
      <c r="AC51" s="38">
        <f>IF(AQ51="1",BI51,0)</f>
        <v>0</v>
      </c>
      <c r="AD51" s="38">
        <f>IF(AQ51="7",BH51,0)</f>
        <v>0</v>
      </c>
      <c r="AE51" s="38">
        <f>IF(AQ51="7",BI51,0)</f>
        <v>0</v>
      </c>
      <c r="AF51" s="38">
        <f>IF(AQ51="2",BH51,0)</f>
        <v>0</v>
      </c>
      <c r="AG51" s="38">
        <f>IF(AQ51="2",BI51,0)</f>
        <v>0</v>
      </c>
      <c r="AH51" s="38">
        <f>IF(AQ51="0",BJ51,0)</f>
        <v>0</v>
      </c>
      <c r="AI51" s="50" t="s">
        <v>84</v>
      </c>
      <c r="AJ51" s="38">
        <f>IF(AN51=0,I51,0)</f>
        <v>0</v>
      </c>
      <c r="AK51" s="38">
        <f>IF(AN51=12,I51,0)</f>
        <v>0</v>
      </c>
      <c r="AL51" s="38">
        <f>IF(AN51=21,I51,0)</f>
        <v>0</v>
      </c>
      <c r="AN51" s="38">
        <v>21</v>
      </c>
      <c r="AO51" s="38">
        <f>H51*0.779756515</f>
        <v>0</v>
      </c>
      <c r="AP51" s="38">
        <f>H51*(1-0.779756515)</f>
        <v>0</v>
      </c>
      <c r="AQ51" s="72" t="s">
        <v>132</v>
      </c>
      <c r="AV51" s="38">
        <f>AW51+AX51</f>
        <v>0</v>
      </c>
      <c r="AW51" s="38">
        <f>G51*AO51</f>
        <v>0</v>
      </c>
      <c r="AX51" s="38">
        <f>G51*AP51</f>
        <v>0</v>
      </c>
      <c r="AY51" s="72" t="s">
        <v>200</v>
      </c>
      <c r="AZ51" s="72" t="s">
        <v>201</v>
      </c>
      <c r="BA51" s="50" t="s">
        <v>139</v>
      </c>
      <c r="BB51" s="73">
        <v>100011</v>
      </c>
      <c r="BC51" s="38">
        <f>AW51+AX51</f>
        <v>0</v>
      </c>
      <c r="BD51" s="38">
        <f>H51/(100-BE51)*100</f>
        <v>0</v>
      </c>
      <c r="BE51" s="38">
        <v>0</v>
      </c>
      <c r="BF51" s="38">
        <f>K51</f>
        <v>0.6553</v>
      </c>
      <c r="BH51" s="38">
        <f>G51*AO51</f>
        <v>0</v>
      </c>
      <c r="BI51" s="38">
        <f>G51*AP51</f>
        <v>0</v>
      </c>
      <c r="BJ51" s="38">
        <f>G51*H51</f>
        <v>0</v>
      </c>
      <c r="BK51" s="38"/>
      <c r="BL51" s="38">
        <v>31</v>
      </c>
      <c r="BW51" s="38">
        <v>21</v>
      </c>
    </row>
    <row r="52" spans="1:12" ht="13.5" customHeight="1">
      <c r="A52" s="74"/>
      <c r="D52" s="194" t="s">
        <v>208</v>
      </c>
      <c r="E52" s="195"/>
      <c r="F52" s="195"/>
      <c r="G52" s="195"/>
      <c r="H52" s="195"/>
      <c r="I52" s="195"/>
      <c r="J52" s="195"/>
      <c r="K52" s="195"/>
      <c r="L52" s="197"/>
    </row>
    <row r="53" spans="1:12" ht="15">
      <c r="A53" s="74"/>
      <c r="D53" s="75" t="s">
        <v>209</v>
      </c>
      <c r="E53" s="75" t="s">
        <v>210</v>
      </c>
      <c r="G53" s="76">
        <v>5</v>
      </c>
      <c r="L53" s="77"/>
    </row>
    <row r="54" spans="1:75" ht="13.5" customHeight="1">
      <c r="A54" s="1" t="s">
        <v>211</v>
      </c>
      <c r="B54" s="2" t="s">
        <v>84</v>
      </c>
      <c r="C54" s="2" t="s">
        <v>212</v>
      </c>
      <c r="D54" s="108" t="s">
        <v>213</v>
      </c>
      <c r="E54" s="103"/>
      <c r="F54" s="2" t="s">
        <v>214</v>
      </c>
      <c r="G54" s="38">
        <f>'Stavební rozpočet'!G54</f>
        <v>8.4</v>
      </c>
      <c r="H54" s="38">
        <f>'Stavební rozpočet'!H54</f>
        <v>0</v>
      </c>
      <c r="I54" s="38">
        <f>G54*H54</f>
        <v>0</v>
      </c>
      <c r="J54" s="38">
        <f>'Stavební rozpočet'!J54</f>
        <v>0.00028</v>
      </c>
      <c r="K54" s="38">
        <f>G54*J54</f>
        <v>0.002352</v>
      </c>
      <c r="L54" s="71" t="s">
        <v>136</v>
      </c>
      <c r="Z54" s="38">
        <f>IF(AQ54="5",BJ54,0)</f>
        <v>0</v>
      </c>
      <c r="AB54" s="38">
        <f>IF(AQ54="1",BH54,0)</f>
        <v>0</v>
      </c>
      <c r="AC54" s="38">
        <f>IF(AQ54="1",BI54,0)</f>
        <v>0</v>
      </c>
      <c r="AD54" s="38">
        <f>IF(AQ54="7",BH54,0)</f>
        <v>0</v>
      </c>
      <c r="AE54" s="38">
        <f>IF(AQ54="7",BI54,0)</f>
        <v>0</v>
      </c>
      <c r="AF54" s="38">
        <f>IF(AQ54="2",BH54,0)</f>
        <v>0</v>
      </c>
      <c r="AG54" s="38">
        <f>IF(AQ54="2",BI54,0)</f>
        <v>0</v>
      </c>
      <c r="AH54" s="38">
        <f>IF(AQ54="0",BJ54,0)</f>
        <v>0</v>
      </c>
      <c r="AI54" s="50" t="s">
        <v>84</v>
      </c>
      <c r="AJ54" s="38">
        <f>IF(AN54=0,I54,0)</f>
        <v>0</v>
      </c>
      <c r="AK54" s="38">
        <f>IF(AN54=12,I54,0)</f>
        <v>0</v>
      </c>
      <c r="AL54" s="38">
        <f>IF(AN54=21,I54,0)</f>
        <v>0</v>
      </c>
      <c r="AN54" s="38">
        <v>21</v>
      </c>
      <c r="AO54" s="38">
        <f>H54*0.402829175</f>
        <v>0</v>
      </c>
      <c r="AP54" s="38">
        <f>H54*(1-0.402829175)</f>
        <v>0</v>
      </c>
      <c r="AQ54" s="72" t="s">
        <v>132</v>
      </c>
      <c r="AV54" s="38">
        <f>AW54+AX54</f>
        <v>0</v>
      </c>
      <c r="AW54" s="38">
        <f>G54*AO54</f>
        <v>0</v>
      </c>
      <c r="AX54" s="38">
        <f>G54*AP54</f>
        <v>0</v>
      </c>
      <c r="AY54" s="72" t="s">
        <v>200</v>
      </c>
      <c r="AZ54" s="72" t="s">
        <v>201</v>
      </c>
      <c r="BA54" s="50" t="s">
        <v>139</v>
      </c>
      <c r="BB54" s="73">
        <v>100011</v>
      </c>
      <c r="BC54" s="38">
        <f>AW54+AX54</f>
        <v>0</v>
      </c>
      <c r="BD54" s="38">
        <f>H54/(100-BE54)*100</f>
        <v>0</v>
      </c>
      <c r="BE54" s="38">
        <v>0</v>
      </c>
      <c r="BF54" s="38">
        <f>K54</f>
        <v>0.002352</v>
      </c>
      <c r="BH54" s="38">
        <f>G54*AO54</f>
        <v>0</v>
      </c>
      <c r="BI54" s="38">
        <f>G54*AP54</f>
        <v>0</v>
      </c>
      <c r="BJ54" s="38">
        <f>G54*H54</f>
        <v>0</v>
      </c>
      <c r="BK54" s="38"/>
      <c r="BL54" s="38">
        <v>31</v>
      </c>
      <c r="BW54" s="38">
        <v>21</v>
      </c>
    </row>
    <row r="55" spans="1:12" ht="15">
      <c r="A55" s="74"/>
      <c r="D55" s="75" t="s">
        <v>215</v>
      </c>
      <c r="E55" s="75" t="s">
        <v>216</v>
      </c>
      <c r="G55" s="76">
        <v>8.4</v>
      </c>
      <c r="L55" s="77"/>
    </row>
    <row r="56" spans="1:75" ht="13.5" customHeight="1">
      <c r="A56" s="1" t="s">
        <v>217</v>
      </c>
      <c r="B56" s="2" t="s">
        <v>84</v>
      </c>
      <c r="C56" s="2" t="s">
        <v>218</v>
      </c>
      <c r="D56" s="108" t="s">
        <v>219</v>
      </c>
      <c r="E56" s="103"/>
      <c r="F56" s="2" t="s">
        <v>189</v>
      </c>
      <c r="G56" s="38">
        <f>'Stavební rozpočet'!G56</f>
        <v>0.09</v>
      </c>
      <c r="H56" s="38">
        <f>'Stavební rozpočet'!H56</f>
        <v>0</v>
      </c>
      <c r="I56" s="38">
        <f>G56*H56</f>
        <v>0</v>
      </c>
      <c r="J56" s="38">
        <f>'Stavební rozpočet'!J56</f>
        <v>1.09</v>
      </c>
      <c r="K56" s="38">
        <f>G56*J56</f>
        <v>0.0981</v>
      </c>
      <c r="L56" s="71" t="s">
        <v>136</v>
      </c>
      <c r="Z56" s="38">
        <f>IF(AQ56="5",BJ56,0)</f>
        <v>0</v>
      </c>
      <c r="AB56" s="38">
        <f>IF(AQ56="1",BH56,0)</f>
        <v>0</v>
      </c>
      <c r="AC56" s="38">
        <f>IF(AQ56="1",BI56,0)</f>
        <v>0</v>
      </c>
      <c r="AD56" s="38">
        <f>IF(AQ56="7",BH56,0)</f>
        <v>0</v>
      </c>
      <c r="AE56" s="38">
        <f>IF(AQ56="7",BI56,0)</f>
        <v>0</v>
      </c>
      <c r="AF56" s="38">
        <f>IF(AQ56="2",BH56,0)</f>
        <v>0</v>
      </c>
      <c r="AG56" s="38">
        <f>IF(AQ56="2",BI56,0)</f>
        <v>0</v>
      </c>
      <c r="AH56" s="38">
        <f>IF(AQ56="0",BJ56,0)</f>
        <v>0</v>
      </c>
      <c r="AI56" s="50" t="s">
        <v>84</v>
      </c>
      <c r="AJ56" s="38">
        <f>IF(AN56=0,I56,0)</f>
        <v>0</v>
      </c>
      <c r="AK56" s="38">
        <f>IF(AN56=12,I56,0)</f>
        <v>0</v>
      </c>
      <c r="AL56" s="38">
        <f>IF(AN56=21,I56,0)</f>
        <v>0</v>
      </c>
      <c r="AN56" s="38">
        <v>21</v>
      </c>
      <c r="AO56" s="38">
        <f>H56*0.793255243</f>
        <v>0</v>
      </c>
      <c r="AP56" s="38">
        <f>H56*(1-0.793255243)</f>
        <v>0</v>
      </c>
      <c r="AQ56" s="72" t="s">
        <v>132</v>
      </c>
      <c r="AV56" s="38">
        <f>AW56+AX56</f>
        <v>0</v>
      </c>
      <c r="AW56" s="38">
        <f>G56*AO56</f>
        <v>0</v>
      </c>
      <c r="AX56" s="38">
        <f>G56*AP56</f>
        <v>0</v>
      </c>
      <c r="AY56" s="72" t="s">
        <v>200</v>
      </c>
      <c r="AZ56" s="72" t="s">
        <v>201</v>
      </c>
      <c r="BA56" s="50" t="s">
        <v>139</v>
      </c>
      <c r="BB56" s="73">
        <v>100011</v>
      </c>
      <c r="BC56" s="38">
        <f>AW56+AX56</f>
        <v>0</v>
      </c>
      <c r="BD56" s="38">
        <f>H56/(100-BE56)*100</f>
        <v>0</v>
      </c>
      <c r="BE56" s="38">
        <v>0</v>
      </c>
      <c r="BF56" s="38">
        <f>K56</f>
        <v>0.0981</v>
      </c>
      <c r="BH56" s="38">
        <f>G56*AO56</f>
        <v>0</v>
      </c>
      <c r="BI56" s="38">
        <f>G56*AP56</f>
        <v>0</v>
      </c>
      <c r="BJ56" s="38">
        <f>G56*H56</f>
        <v>0</v>
      </c>
      <c r="BK56" s="38"/>
      <c r="BL56" s="38">
        <v>31</v>
      </c>
      <c r="BW56" s="38">
        <v>21</v>
      </c>
    </row>
    <row r="57" spans="1:12" ht="13.5" customHeight="1">
      <c r="A57" s="74"/>
      <c r="D57" s="194" t="s">
        <v>220</v>
      </c>
      <c r="E57" s="195"/>
      <c r="F57" s="195"/>
      <c r="G57" s="195"/>
      <c r="H57" s="195"/>
      <c r="I57" s="195"/>
      <c r="J57" s="195"/>
      <c r="K57" s="195"/>
      <c r="L57" s="197"/>
    </row>
    <row r="58" spans="1:12" ht="15">
      <c r="A58" s="74"/>
      <c r="D58" s="75" t="s">
        <v>221</v>
      </c>
      <c r="E58" s="75" t="s">
        <v>222</v>
      </c>
      <c r="G58" s="76">
        <v>0.02</v>
      </c>
      <c r="L58" s="77"/>
    </row>
    <row r="59" spans="1:12" ht="15">
      <c r="A59" s="74"/>
      <c r="D59" s="75" t="s">
        <v>223</v>
      </c>
      <c r="E59" s="75" t="s">
        <v>224</v>
      </c>
      <c r="G59" s="76">
        <v>0.06</v>
      </c>
      <c r="L59" s="77"/>
    </row>
    <row r="60" spans="1:12" ht="15">
      <c r="A60" s="74"/>
      <c r="D60" s="75" t="s">
        <v>225</v>
      </c>
      <c r="E60" s="75" t="s">
        <v>226</v>
      </c>
      <c r="G60" s="76">
        <v>0.01</v>
      </c>
      <c r="L60" s="77"/>
    </row>
    <row r="61" spans="1:75" ht="13.5" customHeight="1">
      <c r="A61" s="1" t="s">
        <v>155</v>
      </c>
      <c r="B61" s="2" t="s">
        <v>84</v>
      </c>
      <c r="C61" s="2" t="s">
        <v>227</v>
      </c>
      <c r="D61" s="108" t="s">
        <v>228</v>
      </c>
      <c r="E61" s="103"/>
      <c r="F61" s="2" t="s">
        <v>189</v>
      </c>
      <c r="G61" s="38">
        <f>'Stavební rozpočet'!G61</f>
        <v>0.63</v>
      </c>
      <c r="H61" s="38">
        <f>'Stavební rozpočet'!H61</f>
        <v>0</v>
      </c>
      <c r="I61" s="38">
        <f>G61*H61</f>
        <v>0</v>
      </c>
      <c r="J61" s="38">
        <f>'Stavební rozpočet'!J61</f>
        <v>1.09</v>
      </c>
      <c r="K61" s="38">
        <f>G61*J61</f>
        <v>0.6867000000000001</v>
      </c>
      <c r="L61" s="71" t="s">
        <v>136</v>
      </c>
      <c r="Z61" s="38">
        <f>IF(AQ61="5",BJ61,0)</f>
        <v>0</v>
      </c>
      <c r="AB61" s="38">
        <f>IF(AQ61="1",BH61,0)</f>
        <v>0</v>
      </c>
      <c r="AC61" s="38">
        <f>IF(AQ61="1",BI61,0)</f>
        <v>0</v>
      </c>
      <c r="AD61" s="38">
        <f>IF(AQ61="7",BH61,0)</f>
        <v>0</v>
      </c>
      <c r="AE61" s="38">
        <f>IF(AQ61="7",BI61,0)</f>
        <v>0</v>
      </c>
      <c r="AF61" s="38">
        <f>IF(AQ61="2",BH61,0)</f>
        <v>0</v>
      </c>
      <c r="AG61" s="38">
        <f>IF(AQ61="2",BI61,0)</f>
        <v>0</v>
      </c>
      <c r="AH61" s="38">
        <f>IF(AQ61="0",BJ61,0)</f>
        <v>0</v>
      </c>
      <c r="AI61" s="50" t="s">
        <v>84</v>
      </c>
      <c r="AJ61" s="38">
        <f>IF(AN61=0,I61,0)</f>
        <v>0</v>
      </c>
      <c r="AK61" s="38">
        <f>IF(AN61=12,I61,0)</f>
        <v>0</v>
      </c>
      <c r="AL61" s="38">
        <f>IF(AN61=21,I61,0)</f>
        <v>0</v>
      </c>
      <c r="AN61" s="38">
        <v>21</v>
      </c>
      <c r="AO61" s="38">
        <f>H61*0.807845346</f>
        <v>0</v>
      </c>
      <c r="AP61" s="38">
        <f>H61*(1-0.807845346)</f>
        <v>0</v>
      </c>
      <c r="AQ61" s="72" t="s">
        <v>132</v>
      </c>
      <c r="AV61" s="38">
        <f>AW61+AX61</f>
        <v>0</v>
      </c>
      <c r="AW61" s="38">
        <f>G61*AO61</f>
        <v>0</v>
      </c>
      <c r="AX61" s="38">
        <f>G61*AP61</f>
        <v>0</v>
      </c>
      <c r="AY61" s="72" t="s">
        <v>200</v>
      </c>
      <c r="AZ61" s="72" t="s">
        <v>201</v>
      </c>
      <c r="BA61" s="50" t="s">
        <v>139</v>
      </c>
      <c r="BB61" s="73">
        <v>100011</v>
      </c>
      <c r="BC61" s="38">
        <f>AW61+AX61</f>
        <v>0</v>
      </c>
      <c r="BD61" s="38">
        <f>H61/(100-BE61)*100</f>
        <v>0</v>
      </c>
      <c r="BE61" s="38">
        <v>0</v>
      </c>
      <c r="BF61" s="38">
        <f>K61</f>
        <v>0.6867000000000001</v>
      </c>
      <c r="BH61" s="38">
        <f>G61*AO61</f>
        <v>0</v>
      </c>
      <c r="BI61" s="38">
        <f>G61*AP61</f>
        <v>0</v>
      </c>
      <c r="BJ61" s="38">
        <f>G61*H61</f>
        <v>0</v>
      </c>
      <c r="BK61" s="38"/>
      <c r="BL61" s="38">
        <v>31</v>
      </c>
      <c r="BW61" s="38">
        <v>21</v>
      </c>
    </row>
    <row r="62" spans="1:12" ht="13.5" customHeight="1">
      <c r="A62" s="74"/>
      <c r="D62" s="194" t="s">
        <v>229</v>
      </c>
      <c r="E62" s="195"/>
      <c r="F62" s="195"/>
      <c r="G62" s="195"/>
      <c r="H62" s="195"/>
      <c r="I62" s="195"/>
      <c r="J62" s="195"/>
      <c r="K62" s="195"/>
      <c r="L62" s="197"/>
    </row>
    <row r="63" spans="1:12" ht="15">
      <c r="A63" s="74"/>
      <c r="D63" s="75" t="s">
        <v>230</v>
      </c>
      <c r="E63" s="75" t="s">
        <v>231</v>
      </c>
      <c r="G63" s="76">
        <v>0.29</v>
      </c>
      <c r="L63" s="77"/>
    </row>
    <row r="64" spans="1:12" ht="15">
      <c r="A64" s="74"/>
      <c r="D64" s="75" t="s">
        <v>232</v>
      </c>
      <c r="E64" s="75" t="s">
        <v>233</v>
      </c>
      <c r="G64" s="76">
        <v>0.34</v>
      </c>
      <c r="L64" s="77"/>
    </row>
    <row r="65" spans="1:75" ht="13.5" customHeight="1">
      <c r="A65" s="1" t="s">
        <v>178</v>
      </c>
      <c r="B65" s="2" t="s">
        <v>84</v>
      </c>
      <c r="C65" s="2" t="s">
        <v>234</v>
      </c>
      <c r="D65" s="108" t="s">
        <v>235</v>
      </c>
      <c r="E65" s="103"/>
      <c r="F65" s="2" t="s">
        <v>135</v>
      </c>
      <c r="G65" s="38">
        <f>'Stavební rozpočet'!G65</f>
        <v>4.15</v>
      </c>
      <c r="H65" s="38">
        <f>'Stavební rozpočet'!H65</f>
        <v>0</v>
      </c>
      <c r="I65" s="38">
        <f>G65*H65</f>
        <v>0</v>
      </c>
      <c r="J65" s="38">
        <f>'Stavební rozpočet'!J65</f>
        <v>1.84144</v>
      </c>
      <c r="K65" s="38">
        <f>G65*J65</f>
        <v>7.6419760000000005</v>
      </c>
      <c r="L65" s="71" t="s">
        <v>136</v>
      </c>
      <c r="Z65" s="38">
        <f>IF(AQ65="5",BJ65,0)</f>
        <v>0</v>
      </c>
      <c r="AB65" s="38">
        <f>IF(AQ65="1",BH65,0)</f>
        <v>0</v>
      </c>
      <c r="AC65" s="38">
        <f>IF(AQ65="1",BI65,0)</f>
        <v>0</v>
      </c>
      <c r="AD65" s="38">
        <f>IF(AQ65="7",BH65,0)</f>
        <v>0</v>
      </c>
      <c r="AE65" s="38">
        <f>IF(AQ65="7",BI65,0)</f>
        <v>0</v>
      </c>
      <c r="AF65" s="38">
        <f>IF(AQ65="2",BH65,0)</f>
        <v>0</v>
      </c>
      <c r="AG65" s="38">
        <f>IF(AQ65="2",BI65,0)</f>
        <v>0</v>
      </c>
      <c r="AH65" s="38">
        <f>IF(AQ65="0",BJ65,0)</f>
        <v>0</v>
      </c>
      <c r="AI65" s="50" t="s">
        <v>84</v>
      </c>
      <c r="AJ65" s="38">
        <f>IF(AN65=0,I65,0)</f>
        <v>0</v>
      </c>
      <c r="AK65" s="38">
        <f>IF(AN65=12,I65,0)</f>
        <v>0</v>
      </c>
      <c r="AL65" s="38">
        <f>IF(AN65=21,I65,0)</f>
        <v>0</v>
      </c>
      <c r="AN65" s="38">
        <v>21</v>
      </c>
      <c r="AO65" s="38">
        <f>H65*0.682450214</f>
        <v>0</v>
      </c>
      <c r="AP65" s="38">
        <f>H65*(1-0.682450214)</f>
        <v>0</v>
      </c>
      <c r="AQ65" s="72" t="s">
        <v>132</v>
      </c>
      <c r="AV65" s="38">
        <f>AW65+AX65</f>
        <v>0</v>
      </c>
      <c r="AW65" s="38">
        <f>G65*AO65</f>
        <v>0</v>
      </c>
      <c r="AX65" s="38">
        <f>G65*AP65</f>
        <v>0</v>
      </c>
      <c r="AY65" s="72" t="s">
        <v>200</v>
      </c>
      <c r="AZ65" s="72" t="s">
        <v>201</v>
      </c>
      <c r="BA65" s="50" t="s">
        <v>139</v>
      </c>
      <c r="BB65" s="73">
        <v>100011</v>
      </c>
      <c r="BC65" s="38">
        <f>AW65+AX65</f>
        <v>0</v>
      </c>
      <c r="BD65" s="38">
        <f>H65/(100-BE65)*100</f>
        <v>0</v>
      </c>
      <c r="BE65" s="38">
        <v>0</v>
      </c>
      <c r="BF65" s="38">
        <f>K65</f>
        <v>7.6419760000000005</v>
      </c>
      <c r="BH65" s="38">
        <f>G65*AO65</f>
        <v>0</v>
      </c>
      <c r="BI65" s="38">
        <f>G65*AP65</f>
        <v>0</v>
      </c>
      <c r="BJ65" s="38">
        <f>G65*H65</f>
        <v>0</v>
      </c>
      <c r="BK65" s="38"/>
      <c r="BL65" s="38">
        <v>31</v>
      </c>
      <c r="BW65" s="38">
        <v>21</v>
      </c>
    </row>
    <row r="66" spans="1:12" ht="15">
      <c r="A66" s="74"/>
      <c r="D66" s="75" t="s">
        <v>236</v>
      </c>
      <c r="E66" s="75" t="s">
        <v>237</v>
      </c>
      <c r="G66" s="76">
        <v>1.87</v>
      </c>
      <c r="L66" s="77"/>
    </row>
    <row r="67" spans="1:12" ht="15">
      <c r="A67" s="74"/>
      <c r="D67" s="75" t="s">
        <v>238</v>
      </c>
      <c r="E67" s="75" t="s">
        <v>239</v>
      </c>
      <c r="G67" s="76">
        <v>1.14</v>
      </c>
      <c r="L67" s="77"/>
    </row>
    <row r="68" spans="1:12" ht="15">
      <c r="A68" s="74"/>
      <c r="D68" s="75" t="s">
        <v>240</v>
      </c>
      <c r="E68" s="75" t="s">
        <v>239</v>
      </c>
      <c r="G68" s="76">
        <v>1.14</v>
      </c>
      <c r="L68" s="77"/>
    </row>
    <row r="69" spans="1:75" ht="13.5" customHeight="1">
      <c r="A69" s="1" t="s">
        <v>241</v>
      </c>
      <c r="B69" s="2" t="s">
        <v>84</v>
      </c>
      <c r="C69" s="2" t="s">
        <v>242</v>
      </c>
      <c r="D69" s="108" t="s">
        <v>243</v>
      </c>
      <c r="E69" s="103"/>
      <c r="F69" s="2" t="s">
        <v>135</v>
      </c>
      <c r="G69" s="38">
        <f>'Stavební rozpočet'!G69</f>
        <v>4.92</v>
      </c>
      <c r="H69" s="38">
        <f>'Stavební rozpočet'!H69</f>
        <v>0</v>
      </c>
      <c r="I69" s="38">
        <f>G69*H69</f>
        <v>0</v>
      </c>
      <c r="J69" s="38">
        <f>'Stavební rozpočet'!J69</f>
        <v>1.84272</v>
      </c>
      <c r="K69" s="38">
        <f>G69*J69</f>
        <v>9.066182399999999</v>
      </c>
      <c r="L69" s="71" t="s">
        <v>136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50" t="s">
        <v>84</v>
      </c>
      <c r="AJ69" s="38">
        <f>IF(AN69=0,I69,0)</f>
        <v>0</v>
      </c>
      <c r="AK69" s="38">
        <f>IF(AN69=12,I69,0)</f>
        <v>0</v>
      </c>
      <c r="AL69" s="38">
        <f>IF(AN69=21,I69,0)</f>
        <v>0</v>
      </c>
      <c r="AN69" s="38">
        <v>21</v>
      </c>
      <c r="AO69" s="38">
        <f>H69*0.690563396</f>
        <v>0</v>
      </c>
      <c r="AP69" s="38">
        <f>H69*(1-0.690563396)</f>
        <v>0</v>
      </c>
      <c r="AQ69" s="72" t="s">
        <v>132</v>
      </c>
      <c r="AV69" s="38">
        <f>AW69+AX69</f>
        <v>0</v>
      </c>
      <c r="AW69" s="38">
        <f>G69*AO69</f>
        <v>0</v>
      </c>
      <c r="AX69" s="38">
        <f>G69*AP69</f>
        <v>0</v>
      </c>
      <c r="AY69" s="72" t="s">
        <v>200</v>
      </c>
      <c r="AZ69" s="72" t="s">
        <v>201</v>
      </c>
      <c r="BA69" s="50" t="s">
        <v>139</v>
      </c>
      <c r="BB69" s="73">
        <v>100011</v>
      </c>
      <c r="BC69" s="38">
        <f>AW69+AX69</f>
        <v>0</v>
      </c>
      <c r="BD69" s="38">
        <f>H69/(100-BE69)*100</f>
        <v>0</v>
      </c>
      <c r="BE69" s="38">
        <v>0</v>
      </c>
      <c r="BF69" s="38">
        <f>K69</f>
        <v>9.066182399999999</v>
      </c>
      <c r="BH69" s="38">
        <f>G69*AO69</f>
        <v>0</v>
      </c>
      <c r="BI69" s="38">
        <f>G69*AP69</f>
        <v>0</v>
      </c>
      <c r="BJ69" s="38">
        <f>G69*H69</f>
        <v>0</v>
      </c>
      <c r="BK69" s="38"/>
      <c r="BL69" s="38">
        <v>31</v>
      </c>
      <c r="BW69" s="38">
        <v>21</v>
      </c>
    </row>
    <row r="70" spans="1:12" ht="15">
      <c r="A70" s="74"/>
      <c r="D70" s="75" t="s">
        <v>244</v>
      </c>
      <c r="E70" s="75" t="s">
        <v>245</v>
      </c>
      <c r="G70" s="76">
        <v>4.92</v>
      </c>
      <c r="L70" s="77"/>
    </row>
    <row r="71" spans="1:75" ht="13.5" customHeight="1">
      <c r="A71" s="1" t="s">
        <v>246</v>
      </c>
      <c r="B71" s="2" t="s">
        <v>84</v>
      </c>
      <c r="C71" s="2" t="s">
        <v>247</v>
      </c>
      <c r="D71" s="108" t="s">
        <v>248</v>
      </c>
      <c r="E71" s="103"/>
      <c r="F71" s="2" t="s">
        <v>135</v>
      </c>
      <c r="G71" s="38">
        <f>'Stavební rozpočet'!G71</f>
        <v>0.81</v>
      </c>
      <c r="H71" s="38">
        <f>'Stavební rozpočet'!H71</f>
        <v>0</v>
      </c>
      <c r="I71" s="38">
        <f>G71*H71</f>
        <v>0</v>
      </c>
      <c r="J71" s="38">
        <f>'Stavební rozpočet'!J71</f>
        <v>1.8196</v>
      </c>
      <c r="K71" s="38">
        <f>G71*J71</f>
        <v>1.4738760000000002</v>
      </c>
      <c r="L71" s="71" t="s">
        <v>136</v>
      </c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50" t="s">
        <v>84</v>
      </c>
      <c r="AJ71" s="38">
        <f>IF(AN71=0,I71,0)</f>
        <v>0</v>
      </c>
      <c r="AK71" s="38">
        <f>IF(AN71=12,I71,0)</f>
        <v>0</v>
      </c>
      <c r="AL71" s="38">
        <f>IF(AN71=21,I71,0)</f>
        <v>0</v>
      </c>
      <c r="AN71" s="38">
        <v>21</v>
      </c>
      <c r="AO71" s="38">
        <f>H71*0.547671137</f>
        <v>0</v>
      </c>
      <c r="AP71" s="38">
        <f>H71*(1-0.547671137)</f>
        <v>0</v>
      </c>
      <c r="AQ71" s="72" t="s">
        <v>132</v>
      </c>
      <c r="AV71" s="38">
        <f>AW71+AX71</f>
        <v>0</v>
      </c>
      <c r="AW71" s="38">
        <f>G71*AO71</f>
        <v>0</v>
      </c>
      <c r="AX71" s="38">
        <f>G71*AP71</f>
        <v>0</v>
      </c>
      <c r="AY71" s="72" t="s">
        <v>200</v>
      </c>
      <c r="AZ71" s="72" t="s">
        <v>201</v>
      </c>
      <c r="BA71" s="50" t="s">
        <v>139</v>
      </c>
      <c r="BB71" s="73">
        <v>100011</v>
      </c>
      <c r="BC71" s="38">
        <f>AW71+AX71</f>
        <v>0</v>
      </c>
      <c r="BD71" s="38">
        <f>H71/(100-BE71)*100</f>
        <v>0</v>
      </c>
      <c r="BE71" s="38">
        <v>0</v>
      </c>
      <c r="BF71" s="38">
        <f>K71</f>
        <v>1.4738760000000002</v>
      </c>
      <c r="BH71" s="38">
        <f>G71*AO71</f>
        <v>0</v>
      </c>
      <c r="BI71" s="38">
        <f>G71*AP71</f>
        <v>0</v>
      </c>
      <c r="BJ71" s="38">
        <f>G71*H71</f>
        <v>0</v>
      </c>
      <c r="BK71" s="38"/>
      <c r="BL71" s="38">
        <v>31</v>
      </c>
      <c r="BW71" s="38">
        <v>21</v>
      </c>
    </row>
    <row r="72" spans="1:12" ht="15">
      <c r="A72" s="74"/>
      <c r="D72" s="75" t="s">
        <v>249</v>
      </c>
      <c r="E72" s="75" t="s">
        <v>250</v>
      </c>
      <c r="G72" s="76">
        <v>0.35</v>
      </c>
      <c r="L72" s="77"/>
    </row>
    <row r="73" spans="1:12" ht="15">
      <c r="A73" s="74"/>
      <c r="D73" s="75" t="s">
        <v>251</v>
      </c>
      <c r="E73" s="75" t="s">
        <v>252</v>
      </c>
      <c r="G73" s="76">
        <v>0.41</v>
      </c>
      <c r="L73" s="77"/>
    </row>
    <row r="74" spans="1:12" ht="15">
      <c r="A74" s="74"/>
      <c r="D74" s="75" t="s">
        <v>253</v>
      </c>
      <c r="E74" s="75" t="s">
        <v>254</v>
      </c>
      <c r="G74" s="76">
        <v>0.05</v>
      </c>
      <c r="L74" s="77"/>
    </row>
    <row r="75" spans="1:75" ht="13.5" customHeight="1">
      <c r="A75" s="1" t="s">
        <v>255</v>
      </c>
      <c r="B75" s="2" t="s">
        <v>84</v>
      </c>
      <c r="C75" s="2" t="s">
        <v>256</v>
      </c>
      <c r="D75" s="108" t="s">
        <v>257</v>
      </c>
      <c r="E75" s="103"/>
      <c r="F75" s="2" t="s">
        <v>199</v>
      </c>
      <c r="G75" s="38">
        <f>'Stavební rozpočet'!G75</f>
        <v>6</v>
      </c>
      <c r="H75" s="38">
        <f>'Stavební rozpočet'!H75</f>
        <v>0</v>
      </c>
      <c r="I75" s="38">
        <f>G75*H75</f>
        <v>0</v>
      </c>
      <c r="J75" s="38">
        <f>'Stavební rozpočet'!J75</f>
        <v>0.02288</v>
      </c>
      <c r="K75" s="38">
        <f>G75*J75</f>
        <v>0.13728</v>
      </c>
      <c r="L75" s="71" t="s">
        <v>136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50" t="s">
        <v>84</v>
      </c>
      <c r="AJ75" s="38">
        <f>IF(AN75=0,I75,0)</f>
        <v>0</v>
      </c>
      <c r="AK75" s="38">
        <f>IF(AN75=12,I75,0)</f>
        <v>0</v>
      </c>
      <c r="AL75" s="38">
        <f>IF(AN75=21,I75,0)</f>
        <v>0</v>
      </c>
      <c r="AN75" s="38">
        <v>21</v>
      </c>
      <c r="AO75" s="38">
        <f>H75*0.704791667</f>
        <v>0</v>
      </c>
      <c r="AP75" s="38">
        <f>H75*(1-0.704791667)</f>
        <v>0</v>
      </c>
      <c r="AQ75" s="72" t="s">
        <v>132</v>
      </c>
      <c r="AV75" s="38">
        <f>AW75+AX75</f>
        <v>0</v>
      </c>
      <c r="AW75" s="38">
        <f>G75*AO75</f>
        <v>0</v>
      </c>
      <c r="AX75" s="38">
        <f>G75*AP75</f>
        <v>0</v>
      </c>
      <c r="AY75" s="72" t="s">
        <v>200</v>
      </c>
      <c r="AZ75" s="72" t="s">
        <v>201</v>
      </c>
      <c r="BA75" s="50" t="s">
        <v>139</v>
      </c>
      <c r="BB75" s="73">
        <v>100011</v>
      </c>
      <c r="BC75" s="38">
        <f>AW75+AX75</f>
        <v>0</v>
      </c>
      <c r="BD75" s="38">
        <f>H75/(100-BE75)*100</f>
        <v>0</v>
      </c>
      <c r="BE75" s="38">
        <v>0</v>
      </c>
      <c r="BF75" s="38">
        <f>K75</f>
        <v>0.13728</v>
      </c>
      <c r="BH75" s="38">
        <f>G75*AO75</f>
        <v>0</v>
      </c>
      <c r="BI75" s="38">
        <f>G75*AP75</f>
        <v>0</v>
      </c>
      <c r="BJ75" s="38">
        <f>G75*H75</f>
        <v>0</v>
      </c>
      <c r="BK75" s="38"/>
      <c r="BL75" s="38">
        <v>31</v>
      </c>
      <c r="BW75" s="38">
        <v>21</v>
      </c>
    </row>
    <row r="76" spans="1:12" ht="15">
      <c r="A76" s="74"/>
      <c r="D76" s="75" t="s">
        <v>132</v>
      </c>
      <c r="E76" s="75" t="s">
        <v>258</v>
      </c>
      <c r="G76" s="76">
        <v>1</v>
      </c>
      <c r="L76" s="77"/>
    </row>
    <row r="77" spans="1:12" ht="15">
      <c r="A77" s="74"/>
      <c r="D77" s="75" t="s">
        <v>162</v>
      </c>
      <c r="E77" s="75" t="s">
        <v>259</v>
      </c>
      <c r="G77" s="76">
        <v>5</v>
      </c>
      <c r="L77" s="77"/>
    </row>
    <row r="78" spans="1:75" ht="13.5" customHeight="1">
      <c r="A78" s="1" t="s">
        <v>260</v>
      </c>
      <c r="B78" s="2" t="s">
        <v>84</v>
      </c>
      <c r="C78" s="2" t="s">
        <v>261</v>
      </c>
      <c r="D78" s="108" t="s">
        <v>262</v>
      </c>
      <c r="E78" s="103"/>
      <c r="F78" s="2" t="s">
        <v>263</v>
      </c>
      <c r="G78" s="38">
        <f>'Stavební rozpočet'!G78</f>
        <v>2.32</v>
      </c>
      <c r="H78" s="38">
        <f>'Stavební rozpočet'!H78</f>
        <v>0</v>
      </c>
      <c r="I78" s="38">
        <f>G78*H78</f>
        <v>0</v>
      </c>
      <c r="J78" s="38">
        <f>'Stavební rozpočet'!J78</f>
        <v>0.77123</v>
      </c>
      <c r="K78" s="38">
        <f>G78*J78</f>
        <v>1.7892535999999999</v>
      </c>
      <c r="L78" s="71" t="s">
        <v>136</v>
      </c>
      <c r="Z78" s="38">
        <f>IF(AQ78="5",BJ78,0)</f>
        <v>0</v>
      </c>
      <c r="AB78" s="38">
        <f>IF(AQ78="1",BH78,0)</f>
        <v>0</v>
      </c>
      <c r="AC78" s="38">
        <f>IF(AQ78="1",BI78,0)</f>
        <v>0</v>
      </c>
      <c r="AD78" s="38">
        <f>IF(AQ78="7",BH78,0)</f>
        <v>0</v>
      </c>
      <c r="AE78" s="38">
        <f>IF(AQ78="7",BI78,0)</f>
        <v>0</v>
      </c>
      <c r="AF78" s="38">
        <f>IF(AQ78="2",BH78,0)</f>
        <v>0</v>
      </c>
      <c r="AG78" s="38">
        <f>IF(AQ78="2",BI78,0)</f>
        <v>0</v>
      </c>
      <c r="AH78" s="38">
        <f>IF(AQ78="0",BJ78,0)</f>
        <v>0</v>
      </c>
      <c r="AI78" s="50" t="s">
        <v>84</v>
      </c>
      <c r="AJ78" s="38">
        <f>IF(AN78=0,I78,0)</f>
        <v>0</v>
      </c>
      <c r="AK78" s="38">
        <f>IF(AN78=12,I78,0)</f>
        <v>0</v>
      </c>
      <c r="AL78" s="38">
        <f>IF(AN78=21,I78,0)</f>
        <v>0</v>
      </c>
      <c r="AN78" s="38">
        <v>21</v>
      </c>
      <c r="AO78" s="38">
        <f>H78*0.715100071</f>
        <v>0</v>
      </c>
      <c r="AP78" s="38">
        <f>H78*(1-0.715100071)</f>
        <v>0</v>
      </c>
      <c r="AQ78" s="72" t="s">
        <v>132</v>
      </c>
      <c r="AV78" s="38">
        <f>AW78+AX78</f>
        <v>0</v>
      </c>
      <c r="AW78" s="38">
        <f>G78*AO78</f>
        <v>0</v>
      </c>
      <c r="AX78" s="38">
        <f>G78*AP78</f>
        <v>0</v>
      </c>
      <c r="AY78" s="72" t="s">
        <v>200</v>
      </c>
      <c r="AZ78" s="72" t="s">
        <v>201</v>
      </c>
      <c r="BA78" s="50" t="s">
        <v>139</v>
      </c>
      <c r="BB78" s="73">
        <v>100011</v>
      </c>
      <c r="BC78" s="38">
        <f>AW78+AX78</f>
        <v>0</v>
      </c>
      <c r="BD78" s="38">
        <f>H78/(100-BE78)*100</f>
        <v>0</v>
      </c>
      <c r="BE78" s="38">
        <v>0</v>
      </c>
      <c r="BF78" s="38">
        <f>K78</f>
        <v>1.7892535999999999</v>
      </c>
      <c r="BH78" s="38">
        <f>G78*AO78</f>
        <v>0</v>
      </c>
      <c r="BI78" s="38">
        <f>G78*AP78</f>
        <v>0</v>
      </c>
      <c r="BJ78" s="38">
        <f>G78*H78</f>
        <v>0</v>
      </c>
      <c r="BK78" s="38"/>
      <c r="BL78" s="38">
        <v>31</v>
      </c>
      <c r="BW78" s="38">
        <v>21</v>
      </c>
    </row>
    <row r="79" spans="1:12" ht="13.5" customHeight="1">
      <c r="A79" s="74"/>
      <c r="D79" s="194" t="s">
        <v>264</v>
      </c>
      <c r="E79" s="195"/>
      <c r="F79" s="195"/>
      <c r="G79" s="195"/>
      <c r="H79" s="195"/>
      <c r="I79" s="195"/>
      <c r="J79" s="195"/>
      <c r="K79" s="195"/>
      <c r="L79" s="197"/>
    </row>
    <row r="80" spans="1:12" ht="15">
      <c r="A80" s="74"/>
      <c r="D80" s="75" t="s">
        <v>265</v>
      </c>
      <c r="E80" s="75" t="s">
        <v>266</v>
      </c>
      <c r="G80" s="76">
        <v>2.32</v>
      </c>
      <c r="L80" s="77"/>
    </row>
    <row r="81" spans="1:75" ht="13.5" customHeight="1">
      <c r="A81" s="1" t="s">
        <v>267</v>
      </c>
      <c r="B81" s="2" t="s">
        <v>84</v>
      </c>
      <c r="C81" s="2" t="s">
        <v>268</v>
      </c>
      <c r="D81" s="108" t="s">
        <v>269</v>
      </c>
      <c r="E81" s="103"/>
      <c r="F81" s="2" t="s">
        <v>135</v>
      </c>
      <c r="G81" s="38">
        <f>'Stavební rozpočet'!G81</f>
        <v>0.5</v>
      </c>
      <c r="H81" s="38">
        <f>'Stavební rozpočet'!H81</f>
        <v>0</v>
      </c>
      <c r="I81" s="38">
        <f>G81*H81</f>
        <v>0</v>
      </c>
      <c r="J81" s="38">
        <f>'Stavební rozpočet'!J81</f>
        <v>2.52501</v>
      </c>
      <c r="K81" s="38">
        <f>G81*J81</f>
        <v>1.262505</v>
      </c>
      <c r="L81" s="71" t="s">
        <v>207</v>
      </c>
      <c r="Z81" s="38">
        <f>IF(AQ81="5",BJ81,0)</f>
        <v>0</v>
      </c>
      <c r="AB81" s="38">
        <f>IF(AQ81="1",BH81,0)</f>
        <v>0</v>
      </c>
      <c r="AC81" s="38">
        <f>IF(AQ81="1",BI81,0)</f>
        <v>0</v>
      </c>
      <c r="AD81" s="38">
        <f>IF(AQ81="7",BH81,0)</f>
        <v>0</v>
      </c>
      <c r="AE81" s="38">
        <f>IF(AQ81="7",BI81,0)</f>
        <v>0</v>
      </c>
      <c r="AF81" s="38">
        <f>IF(AQ81="2",BH81,0)</f>
        <v>0</v>
      </c>
      <c r="AG81" s="38">
        <f>IF(AQ81="2",BI81,0)</f>
        <v>0</v>
      </c>
      <c r="AH81" s="38">
        <f>IF(AQ81="0",BJ81,0)</f>
        <v>0</v>
      </c>
      <c r="AI81" s="50" t="s">
        <v>84</v>
      </c>
      <c r="AJ81" s="38">
        <f>IF(AN81=0,I81,0)</f>
        <v>0</v>
      </c>
      <c r="AK81" s="38">
        <f>IF(AN81=12,I81,0)</f>
        <v>0</v>
      </c>
      <c r="AL81" s="38">
        <f>IF(AN81=21,I81,0)</f>
        <v>0</v>
      </c>
      <c r="AN81" s="38">
        <v>21</v>
      </c>
      <c r="AO81" s="38">
        <f>H81*0.73515128</f>
        <v>0</v>
      </c>
      <c r="AP81" s="38">
        <f>H81*(1-0.73515128)</f>
        <v>0</v>
      </c>
      <c r="AQ81" s="72" t="s">
        <v>132</v>
      </c>
      <c r="AV81" s="38">
        <f>AW81+AX81</f>
        <v>0</v>
      </c>
      <c r="AW81" s="38">
        <f>G81*AO81</f>
        <v>0</v>
      </c>
      <c r="AX81" s="38">
        <f>G81*AP81</f>
        <v>0</v>
      </c>
      <c r="AY81" s="72" t="s">
        <v>200</v>
      </c>
      <c r="AZ81" s="72" t="s">
        <v>201</v>
      </c>
      <c r="BA81" s="50" t="s">
        <v>139</v>
      </c>
      <c r="BB81" s="73">
        <v>100011</v>
      </c>
      <c r="BC81" s="38">
        <f>AW81+AX81</f>
        <v>0</v>
      </c>
      <c r="BD81" s="38">
        <f>H81/(100-BE81)*100</f>
        <v>0</v>
      </c>
      <c r="BE81" s="38">
        <v>0</v>
      </c>
      <c r="BF81" s="38">
        <f>K81</f>
        <v>1.262505</v>
      </c>
      <c r="BH81" s="38">
        <f>G81*AO81</f>
        <v>0</v>
      </c>
      <c r="BI81" s="38">
        <f>G81*AP81</f>
        <v>0</v>
      </c>
      <c r="BJ81" s="38">
        <f>G81*H81</f>
        <v>0</v>
      </c>
      <c r="BK81" s="38"/>
      <c r="BL81" s="38">
        <v>31</v>
      </c>
      <c r="BW81" s="38">
        <v>21</v>
      </c>
    </row>
    <row r="82" spans="1:12" ht="13.5" customHeight="1">
      <c r="A82" s="74"/>
      <c r="D82" s="194" t="s">
        <v>270</v>
      </c>
      <c r="E82" s="195"/>
      <c r="F82" s="195"/>
      <c r="G82" s="195"/>
      <c r="H82" s="195"/>
      <c r="I82" s="195"/>
      <c r="J82" s="195"/>
      <c r="K82" s="195"/>
      <c r="L82" s="197"/>
    </row>
    <row r="83" spans="1:12" ht="15">
      <c r="A83" s="74"/>
      <c r="D83" s="75" t="s">
        <v>271</v>
      </c>
      <c r="E83" s="75" t="s">
        <v>266</v>
      </c>
      <c r="G83" s="76">
        <v>0.5</v>
      </c>
      <c r="L83" s="77"/>
    </row>
    <row r="84" spans="1:75" ht="13.5" customHeight="1">
      <c r="A84" s="1" t="s">
        <v>272</v>
      </c>
      <c r="B84" s="2" t="s">
        <v>84</v>
      </c>
      <c r="C84" s="2" t="s">
        <v>273</v>
      </c>
      <c r="D84" s="108" t="s">
        <v>274</v>
      </c>
      <c r="E84" s="103"/>
      <c r="F84" s="2" t="s">
        <v>263</v>
      </c>
      <c r="G84" s="38">
        <f>'Stavební rozpočet'!G84</f>
        <v>3.66</v>
      </c>
      <c r="H84" s="38">
        <f>'Stavební rozpočet'!H84</f>
        <v>0</v>
      </c>
      <c r="I84" s="38">
        <f>G84*H84</f>
        <v>0</v>
      </c>
      <c r="J84" s="38">
        <f>'Stavební rozpočet'!J84</f>
        <v>0.01563</v>
      </c>
      <c r="K84" s="38">
        <f>G84*J84</f>
        <v>0.05720580000000001</v>
      </c>
      <c r="L84" s="71" t="s">
        <v>136</v>
      </c>
      <c r="Z84" s="38">
        <f>IF(AQ84="5",BJ84,0)</f>
        <v>0</v>
      </c>
      <c r="AB84" s="38">
        <f>IF(AQ84="1",BH84,0)</f>
        <v>0</v>
      </c>
      <c r="AC84" s="38">
        <f>IF(AQ84="1",BI84,0)</f>
        <v>0</v>
      </c>
      <c r="AD84" s="38">
        <f>IF(AQ84="7",BH84,0)</f>
        <v>0</v>
      </c>
      <c r="AE84" s="38">
        <f>IF(AQ84="7",BI84,0)</f>
        <v>0</v>
      </c>
      <c r="AF84" s="38">
        <f>IF(AQ84="2",BH84,0)</f>
        <v>0</v>
      </c>
      <c r="AG84" s="38">
        <f>IF(AQ84="2",BI84,0)</f>
        <v>0</v>
      </c>
      <c r="AH84" s="38">
        <f>IF(AQ84="0",BJ84,0)</f>
        <v>0</v>
      </c>
      <c r="AI84" s="50" t="s">
        <v>84</v>
      </c>
      <c r="AJ84" s="38">
        <f>IF(AN84=0,I84,0)</f>
        <v>0</v>
      </c>
      <c r="AK84" s="38">
        <f>IF(AN84=12,I84,0)</f>
        <v>0</v>
      </c>
      <c r="AL84" s="38">
        <f>IF(AN84=21,I84,0)</f>
        <v>0</v>
      </c>
      <c r="AN84" s="38">
        <v>21</v>
      </c>
      <c r="AO84" s="38">
        <f>H84*0.287794493</f>
        <v>0</v>
      </c>
      <c r="AP84" s="38">
        <f>H84*(1-0.287794493)</f>
        <v>0</v>
      </c>
      <c r="AQ84" s="72" t="s">
        <v>132</v>
      </c>
      <c r="AV84" s="38">
        <f>AW84+AX84</f>
        <v>0</v>
      </c>
      <c r="AW84" s="38">
        <f>G84*AO84</f>
        <v>0</v>
      </c>
      <c r="AX84" s="38">
        <f>G84*AP84</f>
        <v>0</v>
      </c>
      <c r="AY84" s="72" t="s">
        <v>200</v>
      </c>
      <c r="AZ84" s="72" t="s">
        <v>201</v>
      </c>
      <c r="BA84" s="50" t="s">
        <v>139</v>
      </c>
      <c r="BB84" s="73">
        <v>100011</v>
      </c>
      <c r="BC84" s="38">
        <f>AW84+AX84</f>
        <v>0</v>
      </c>
      <c r="BD84" s="38">
        <f>H84/(100-BE84)*100</f>
        <v>0</v>
      </c>
      <c r="BE84" s="38">
        <v>0</v>
      </c>
      <c r="BF84" s="38">
        <f>K84</f>
        <v>0.05720580000000001</v>
      </c>
      <c r="BH84" s="38">
        <f>G84*AO84</f>
        <v>0</v>
      </c>
      <c r="BI84" s="38">
        <f>G84*AP84</f>
        <v>0</v>
      </c>
      <c r="BJ84" s="38">
        <f>G84*H84</f>
        <v>0</v>
      </c>
      <c r="BK84" s="38"/>
      <c r="BL84" s="38">
        <v>31</v>
      </c>
      <c r="BW84" s="38">
        <v>21</v>
      </c>
    </row>
    <row r="85" spans="1:12" ht="13.5" customHeight="1">
      <c r="A85" s="74"/>
      <c r="D85" s="194" t="s">
        <v>270</v>
      </c>
      <c r="E85" s="195"/>
      <c r="F85" s="195"/>
      <c r="G85" s="195"/>
      <c r="H85" s="195"/>
      <c r="I85" s="195"/>
      <c r="J85" s="195"/>
      <c r="K85" s="195"/>
      <c r="L85" s="197"/>
    </row>
    <row r="86" spans="1:12" ht="15">
      <c r="A86" s="74"/>
      <c r="D86" s="75" t="s">
        <v>275</v>
      </c>
      <c r="E86" s="75" t="s">
        <v>266</v>
      </c>
      <c r="G86" s="76">
        <v>3.66</v>
      </c>
      <c r="L86" s="77"/>
    </row>
    <row r="87" spans="1:75" ht="13.5" customHeight="1">
      <c r="A87" s="1" t="s">
        <v>276</v>
      </c>
      <c r="B87" s="2" t="s">
        <v>84</v>
      </c>
      <c r="C87" s="2" t="s">
        <v>277</v>
      </c>
      <c r="D87" s="108" t="s">
        <v>278</v>
      </c>
      <c r="E87" s="103"/>
      <c r="F87" s="2" t="s">
        <v>263</v>
      </c>
      <c r="G87" s="38">
        <f>'Stavební rozpočet'!G87</f>
        <v>3.66</v>
      </c>
      <c r="H87" s="38">
        <f>'Stavební rozpočet'!H87</f>
        <v>0</v>
      </c>
      <c r="I87" s="38">
        <f>G87*H87</f>
        <v>0</v>
      </c>
      <c r="J87" s="38">
        <f>'Stavební rozpočet'!J87</f>
        <v>0</v>
      </c>
      <c r="K87" s="38">
        <f>G87*J87</f>
        <v>0</v>
      </c>
      <c r="L87" s="71" t="s">
        <v>136</v>
      </c>
      <c r="Z87" s="38">
        <f>IF(AQ87="5",BJ87,0)</f>
        <v>0</v>
      </c>
      <c r="AB87" s="38">
        <f>IF(AQ87="1",BH87,0)</f>
        <v>0</v>
      </c>
      <c r="AC87" s="38">
        <f>IF(AQ87="1",BI87,0)</f>
        <v>0</v>
      </c>
      <c r="AD87" s="38">
        <f>IF(AQ87="7",BH87,0)</f>
        <v>0</v>
      </c>
      <c r="AE87" s="38">
        <f>IF(AQ87="7",BI87,0)</f>
        <v>0</v>
      </c>
      <c r="AF87" s="38">
        <f>IF(AQ87="2",BH87,0)</f>
        <v>0</v>
      </c>
      <c r="AG87" s="38">
        <f>IF(AQ87="2",BI87,0)</f>
        <v>0</v>
      </c>
      <c r="AH87" s="38">
        <f>IF(AQ87="0",BJ87,0)</f>
        <v>0</v>
      </c>
      <c r="AI87" s="50" t="s">
        <v>84</v>
      </c>
      <c r="AJ87" s="38">
        <f>IF(AN87=0,I87,0)</f>
        <v>0</v>
      </c>
      <c r="AK87" s="38">
        <f>IF(AN87=12,I87,0)</f>
        <v>0</v>
      </c>
      <c r="AL87" s="38">
        <f>IF(AN87=21,I87,0)</f>
        <v>0</v>
      </c>
      <c r="AN87" s="38">
        <v>21</v>
      </c>
      <c r="AO87" s="38">
        <f>H87*0</f>
        <v>0</v>
      </c>
      <c r="AP87" s="38">
        <f>H87*(1-0)</f>
        <v>0</v>
      </c>
      <c r="AQ87" s="72" t="s">
        <v>132</v>
      </c>
      <c r="AV87" s="38">
        <f>AW87+AX87</f>
        <v>0</v>
      </c>
      <c r="AW87" s="38">
        <f>G87*AO87</f>
        <v>0</v>
      </c>
      <c r="AX87" s="38">
        <f>G87*AP87</f>
        <v>0</v>
      </c>
      <c r="AY87" s="72" t="s">
        <v>200</v>
      </c>
      <c r="AZ87" s="72" t="s">
        <v>201</v>
      </c>
      <c r="BA87" s="50" t="s">
        <v>139</v>
      </c>
      <c r="BB87" s="73">
        <v>100011</v>
      </c>
      <c r="BC87" s="38">
        <f>AW87+AX87</f>
        <v>0</v>
      </c>
      <c r="BD87" s="38">
        <f>H87/(100-BE87)*100</f>
        <v>0</v>
      </c>
      <c r="BE87" s="38">
        <v>0</v>
      </c>
      <c r="BF87" s="38">
        <f>K87</f>
        <v>0</v>
      </c>
      <c r="BH87" s="38">
        <f>G87*AO87</f>
        <v>0</v>
      </c>
      <c r="BI87" s="38">
        <f>G87*AP87</f>
        <v>0</v>
      </c>
      <c r="BJ87" s="38">
        <f>G87*H87</f>
        <v>0</v>
      </c>
      <c r="BK87" s="38"/>
      <c r="BL87" s="38">
        <v>31</v>
      </c>
      <c r="BW87" s="38">
        <v>21</v>
      </c>
    </row>
    <row r="88" spans="1:12" ht="13.5" customHeight="1">
      <c r="A88" s="74"/>
      <c r="D88" s="194" t="s">
        <v>270</v>
      </c>
      <c r="E88" s="195"/>
      <c r="F88" s="195"/>
      <c r="G88" s="195"/>
      <c r="H88" s="195"/>
      <c r="I88" s="195"/>
      <c r="J88" s="195"/>
      <c r="K88" s="195"/>
      <c r="L88" s="197"/>
    </row>
    <row r="89" spans="1:12" ht="15">
      <c r="A89" s="74"/>
      <c r="D89" s="75" t="s">
        <v>279</v>
      </c>
      <c r="E89" s="75" t="s">
        <v>4</v>
      </c>
      <c r="G89" s="76">
        <v>3.66</v>
      </c>
      <c r="L89" s="77"/>
    </row>
    <row r="90" spans="1:75" ht="13.5" customHeight="1">
      <c r="A90" s="1" t="s">
        <v>280</v>
      </c>
      <c r="B90" s="2" t="s">
        <v>84</v>
      </c>
      <c r="C90" s="2" t="s">
        <v>281</v>
      </c>
      <c r="D90" s="108" t="s">
        <v>282</v>
      </c>
      <c r="E90" s="103"/>
      <c r="F90" s="2" t="s">
        <v>263</v>
      </c>
      <c r="G90" s="38">
        <f>'Stavební rozpočet'!G90</f>
        <v>35.25</v>
      </c>
      <c r="H90" s="38">
        <f>'Stavební rozpočet'!H90</f>
        <v>0</v>
      </c>
      <c r="I90" s="38">
        <f>G90*H90</f>
        <v>0</v>
      </c>
      <c r="J90" s="38">
        <f>'Stavební rozpočet'!J90</f>
        <v>0.03767</v>
      </c>
      <c r="K90" s="38">
        <f>G90*J90</f>
        <v>1.3278675</v>
      </c>
      <c r="L90" s="71" t="s">
        <v>136</v>
      </c>
      <c r="Z90" s="38">
        <f>IF(AQ90="5",BJ90,0)</f>
        <v>0</v>
      </c>
      <c r="AB90" s="38">
        <f>IF(AQ90="1",BH90,0)</f>
        <v>0</v>
      </c>
      <c r="AC90" s="38">
        <f>IF(AQ90="1",BI90,0)</f>
        <v>0</v>
      </c>
      <c r="AD90" s="38">
        <f>IF(AQ90="7",BH90,0)</f>
        <v>0</v>
      </c>
      <c r="AE90" s="38">
        <f>IF(AQ90="7",BI90,0)</f>
        <v>0</v>
      </c>
      <c r="AF90" s="38">
        <f>IF(AQ90="2",BH90,0)</f>
        <v>0</v>
      </c>
      <c r="AG90" s="38">
        <f>IF(AQ90="2",BI90,0)</f>
        <v>0</v>
      </c>
      <c r="AH90" s="38">
        <f>IF(AQ90="0",BJ90,0)</f>
        <v>0</v>
      </c>
      <c r="AI90" s="50" t="s">
        <v>84</v>
      </c>
      <c r="AJ90" s="38">
        <f>IF(AN90=0,I90,0)</f>
        <v>0</v>
      </c>
      <c r="AK90" s="38">
        <f>IF(AN90=12,I90,0)</f>
        <v>0</v>
      </c>
      <c r="AL90" s="38">
        <f>IF(AN90=21,I90,0)</f>
        <v>0</v>
      </c>
      <c r="AN90" s="38">
        <v>21</v>
      </c>
      <c r="AO90" s="38">
        <f>H90*0.183870968</f>
        <v>0</v>
      </c>
      <c r="AP90" s="38">
        <f>H90*(1-0.183870968)</f>
        <v>0</v>
      </c>
      <c r="AQ90" s="72" t="s">
        <v>132</v>
      </c>
      <c r="AV90" s="38">
        <f>AW90+AX90</f>
        <v>0</v>
      </c>
      <c r="AW90" s="38">
        <f>G90*AO90</f>
        <v>0</v>
      </c>
      <c r="AX90" s="38">
        <f>G90*AP90</f>
        <v>0</v>
      </c>
      <c r="AY90" s="72" t="s">
        <v>200</v>
      </c>
      <c r="AZ90" s="72" t="s">
        <v>201</v>
      </c>
      <c r="BA90" s="50" t="s">
        <v>139</v>
      </c>
      <c r="BB90" s="73">
        <v>100011</v>
      </c>
      <c r="BC90" s="38">
        <f>AW90+AX90</f>
        <v>0</v>
      </c>
      <c r="BD90" s="38">
        <f>H90/(100-BE90)*100</f>
        <v>0</v>
      </c>
      <c r="BE90" s="38">
        <v>0</v>
      </c>
      <c r="BF90" s="38">
        <f>K90</f>
        <v>1.3278675</v>
      </c>
      <c r="BH90" s="38">
        <f>G90*AO90</f>
        <v>0</v>
      </c>
      <c r="BI90" s="38">
        <f>G90*AP90</f>
        <v>0</v>
      </c>
      <c r="BJ90" s="38">
        <f>G90*H90</f>
        <v>0</v>
      </c>
      <c r="BK90" s="38"/>
      <c r="BL90" s="38">
        <v>31</v>
      </c>
      <c r="BW90" s="38">
        <v>21</v>
      </c>
    </row>
    <row r="91" spans="1:12" ht="13.5" customHeight="1">
      <c r="A91" s="74"/>
      <c r="D91" s="194" t="s">
        <v>283</v>
      </c>
      <c r="E91" s="195"/>
      <c r="F91" s="195"/>
      <c r="G91" s="195"/>
      <c r="H91" s="195"/>
      <c r="I91" s="195"/>
      <c r="J91" s="195"/>
      <c r="K91" s="195"/>
      <c r="L91" s="197"/>
    </row>
    <row r="92" spans="1:12" ht="15">
      <c r="A92" s="74"/>
      <c r="D92" s="75" t="s">
        <v>284</v>
      </c>
      <c r="E92" s="75" t="s">
        <v>4</v>
      </c>
      <c r="G92" s="76">
        <v>35.25</v>
      </c>
      <c r="L92" s="77"/>
    </row>
    <row r="93" spans="1:75" ht="13.5" customHeight="1">
      <c r="A93" s="1" t="s">
        <v>285</v>
      </c>
      <c r="B93" s="2" t="s">
        <v>84</v>
      </c>
      <c r="C93" s="2" t="s">
        <v>286</v>
      </c>
      <c r="D93" s="108" t="s">
        <v>287</v>
      </c>
      <c r="E93" s="103"/>
      <c r="F93" s="2" t="s">
        <v>214</v>
      </c>
      <c r="G93" s="38">
        <f>'Stavební rozpočet'!G93</f>
        <v>117.5</v>
      </c>
      <c r="H93" s="38">
        <f>'Stavební rozpočet'!H93</f>
        <v>0</v>
      </c>
      <c r="I93" s="38">
        <f>G93*H93</f>
        <v>0</v>
      </c>
      <c r="J93" s="38">
        <f>'Stavební rozpočet'!J93</f>
        <v>0.00145</v>
      </c>
      <c r="K93" s="38">
        <f>G93*J93</f>
        <v>0.170375</v>
      </c>
      <c r="L93" s="71" t="s">
        <v>136</v>
      </c>
      <c r="Z93" s="38">
        <f>IF(AQ93="5",BJ93,0)</f>
        <v>0</v>
      </c>
      <c r="AB93" s="38">
        <f>IF(AQ93="1",BH93,0)</f>
        <v>0</v>
      </c>
      <c r="AC93" s="38">
        <f>IF(AQ93="1",BI93,0)</f>
        <v>0</v>
      </c>
      <c r="AD93" s="38">
        <f>IF(AQ93="7",BH93,0)</f>
        <v>0</v>
      </c>
      <c r="AE93" s="38">
        <f>IF(AQ93="7",BI93,0)</f>
        <v>0</v>
      </c>
      <c r="AF93" s="38">
        <f>IF(AQ93="2",BH93,0)</f>
        <v>0</v>
      </c>
      <c r="AG93" s="38">
        <f>IF(AQ93="2",BI93,0)</f>
        <v>0</v>
      </c>
      <c r="AH93" s="38">
        <f>IF(AQ93="0",BJ93,0)</f>
        <v>0</v>
      </c>
      <c r="AI93" s="50" t="s">
        <v>84</v>
      </c>
      <c r="AJ93" s="38">
        <f>IF(AN93=0,I93,0)</f>
        <v>0</v>
      </c>
      <c r="AK93" s="38">
        <f>IF(AN93=12,I93,0)</f>
        <v>0</v>
      </c>
      <c r="AL93" s="38">
        <f>IF(AN93=21,I93,0)</f>
        <v>0</v>
      </c>
      <c r="AN93" s="38">
        <v>21</v>
      </c>
      <c r="AO93" s="38">
        <f>H93*0.466173469</f>
        <v>0</v>
      </c>
      <c r="AP93" s="38">
        <f>H93*(1-0.466173469)</f>
        <v>0</v>
      </c>
      <c r="AQ93" s="72" t="s">
        <v>132</v>
      </c>
      <c r="AV93" s="38">
        <f>AW93+AX93</f>
        <v>0</v>
      </c>
      <c r="AW93" s="38">
        <f>G93*AO93</f>
        <v>0</v>
      </c>
      <c r="AX93" s="38">
        <f>G93*AP93</f>
        <v>0</v>
      </c>
      <c r="AY93" s="72" t="s">
        <v>200</v>
      </c>
      <c r="AZ93" s="72" t="s">
        <v>201</v>
      </c>
      <c r="BA93" s="50" t="s">
        <v>139</v>
      </c>
      <c r="BB93" s="73">
        <v>100011</v>
      </c>
      <c r="BC93" s="38">
        <f>AW93+AX93</f>
        <v>0</v>
      </c>
      <c r="BD93" s="38">
        <f>H93/(100-BE93)*100</f>
        <v>0</v>
      </c>
      <c r="BE93" s="38">
        <v>0</v>
      </c>
      <c r="BF93" s="38">
        <f>K93</f>
        <v>0.170375</v>
      </c>
      <c r="BH93" s="38">
        <f>G93*AO93</f>
        <v>0</v>
      </c>
      <c r="BI93" s="38">
        <f>G93*AP93</f>
        <v>0</v>
      </c>
      <c r="BJ93" s="38">
        <f>G93*H93</f>
        <v>0</v>
      </c>
      <c r="BK93" s="38"/>
      <c r="BL93" s="38">
        <v>31</v>
      </c>
      <c r="BW93" s="38">
        <v>21</v>
      </c>
    </row>
    <row r="94" spans="1:12" ht="15">
      <c r="A94" s="74"/>
      <c r="D94" s="75" t="s">
        <v>288</v>
      </c>
      <c r="E94" s="75" t="s">
        <v>266</v>
      </c>
      <c r="G94" s="76">
        <v>117.5</v>
      </c>
      <c r="L94" s="77"/>
    </row>
    <row r="95" spans="1:47" ht="15">
      <c r="A95" s="65" t="s">
        <v>4</v>
      </c>
      <c r="B95" s="66" t="s">
        <v>84</v>
      </c>
      <c r="C95" s="66" t="s">
        <v>289</v>
      </c>
      <c r="D95" s="192" t="s">
        <v>290</v>
      </c>
      <c r="E95" s="193"/>
      <c r="F95" s="67" t="s">
        <v>78</v>
      </c>
      <c r="G95" s="67" t="s">
        <v>78</v>
      </c>
      <c r="H95" s="67" t="s">
        <v>78</v>
      </c>
      <c r="I95" s="44">
        <f>SUM(I96:I132)</f>
        <v>0</v>
      </c>
      <c r="J95" s="50" t="s">
        <v>4</v>
      </c>
      <c r="K95" s="44">
        <f>SUM(K96:K132)</f>
        <v>15.099456200000002</v>
      </c>
      <c r="L95" s="69" t="s">
        <v>4</v>
      </c>
      <c r="AI95" s="50" t="s">
        <v>84</v>
      </c>
      <c r="AS95" s="44">
        <f>SUM(AJ96:AJ132)</f>
        <v>0</v>
      </c>
      <c r="AT95" s="44">
        <f>SUM(AK96:AK132)</f>
        <v>0</v>
      </c>
      <c r="AU95" s="44">
        <f>SUM(AL96:AL132)</f>
        <v>0</v>
      </c>
    </row>
    <row r="96" spans="1:75" ht="13.5" customHeight="1">
      <c r="A96" s="1" t="s">
        <v>291</v>
      </c>
      <c r="B96" s="2" t="s">
        <v>84</v>
      </c>
      <c r="C96" s="2" t="s">
        <v>292</v>
      </c>
      <c r="D96" s="108" t="s">
        <v>293</v>
      </c>
      <c r="E96" s="103"/>
      <c r="F96" s="2" t="s">
        <v>199</v>
      </c>
      <c r="G96" s="38">
        <f>'Stavební rozpočet'!G96</f>
        <v>1</v>
      </c>
      <c r="H96" s="38">
        <f>'Stavební rozpočet'!H96</f>
        <v>0</v>
      </c>
      <c r="I96" s="38">
        <f>G96*H96</f>
        <v>0</v>
      </c>
      <c r="J96" s="38">
        <f>'Stavební rozpočet'!J96</f>
        <v>0.00016</v>
      </c>
      <c r="K96" s="38">
        <f>G96*J96</f>
        <v>0.00016</v>
      </c>
      <c r="L96" s="71" t="s">
        <v>207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50" t="s">
        <v>84</v>
      </c>
      <c r="AJ96" s="38">
        <f>IF(AN96=0,I96,0)</f>
        <v>0</v>
      </c>
      <c r="AK96" s="38">
        <f>IF(AN96=12,I96,0)</f>
        <v>0</v>
      </c>
      <c r="AL96" s="38">
        <f>IF(AN96=21,I96,0)</f>
        <v>0</v>
      </c>
      <c r="AN96" s="38">
        <v>21</v>
      </c>
      <c r="AO96" s="38">
        <f>H96*0.467775468</f>
        <v>0</v>
      </c>
      <c r="AP96" s="38">
        <f>H96*(1-0.467775468)</f>
        <v>0</v>
      </c>
      <c r="AQ96" s="72" t="s">
        <v>132</v>
      </c>
      <c r="AV96" s="38">
        <f>AW96+AX96</f>
        <v>0</v>
      </c>
      <c r="AW96" s="38">
        <f>G96*AO96</f>
        <v>0</v>
      </c>
      <c r="AX96" s="38">
        <f>G96*AP96</f>
        <v>0</v>
      </c>
      <c r="AY96" s="72" t="s">
        <v>294</v>
      </c>
      <c r="AZ96" s="72" t="s">
        <v>201</v>
      </c>
      <c r="BA96" s="50" t="s">
        <v>139</v>
      </c>
      <c r="BB96" s="73">
        <v>100003</v>
      </c>
      <c r="BC96" s="38">
        <f>AW96+AX96</f>
        <v>0</v>
      </c>
      <c r="BD96" s="38">
        <f>H96/(100-BE96)*100</f>
        <v>0</v>
      </c>
      <c r="BE96" s="38">
        <v>0</v>
      </c>
      <c r="BF96" s="38">
        <f>K96</f>
        <v>0.00016</v>
      </c>
      <c r="BH96" s="38">
        <f>G96*AO96</f>
        <v>0</v>
      </c>
      <c r="BI96" s="38">
        <f>G96*AP96</f>
        <v>0</v>
      </c>
      <c r="BJ96" s="38">
        <f>G96*H96</f>
        <v>0</v>
      </c>
      <c r="BK96" s="38"/>
      <c r="BL96" s="38">
        <v>34</v>
      </c>
      <c r="BW96" s="38">
        <v>21</v>
      </c>
    </row>
    <row r="97" spans="1:12" ht="15">
      <c r="A97" s="74"/>
      <c r="D97" s="75" t="s">
        <v>132</v>
      </c>
      <c r="E97" s="75" t="s">
        <v>295</v>
      </c>
      <c r="G97" s="76">
        <v>1</v>
      </c>
      <c r="L97" s="77"/>
    </row>
    <row r="98" spans="1:75" ht="13.5" customHeight="1">
      <c r="A98" s="1" t="s">
        <v>296</v>
      </c>
      <c r="B98" s="2" t="s">
        <v>84</v>
      </c>
      <c r="C98" s="2" t="s">
        <v>297</v>
      </c>
      <c r="D98" s="108" t="s">
        <v>298</v>
      </c>
      <c r="E98" s="103"/>
      <c r="F98" s="2" t="s">
        <v>263</v>
      </c>
      <c r="G98" s="38">
        <f>'Stavební rozpočet'!G98</f>
        <v>2.49</v>
      </c>
      <c r="H98" s="38">
        <f>'Stavební rozpočet'!H98</f>
        <v>0</v>
      </c>
      <c r="I98" s="38">
        <f>G98*H98</f>
        <v>0</v>
      </c>
      <c r="J98" s="38">
        <f>'Stavební rozpočet'!J98</f>
        <v>0.17444</v>
      </c>
      <c r="K98" s="38">
        <f>G98*J98</f>
        <v>0.43435560000000006</v>
      </c>
      <c r="L98" s="71" t="s">
        <v>136</v>
      </c>
      <c r="Z98" s="38">
        <f>IF(AQ98="5",BJ98,0)</f>
        <v>0</v>
      </c>
      <c r="AB98" s="38">
        <f>IF(AQ98="1",BH98,0)</f>
        <v>0</v>
      </c>
      <c r="AC98" s="38">
        <f>IF(AQ98="1",BI98,0)</f>
        <v>0</v>
      </c>
      <c r="AD98" s="38">
        <f>IF(AQ98="7",BH98,0)</f>
        <v>0</v>
      </c>
      <c r="AE98" s="38">
        <f>IF(AQ98="7",BI98,0)</f>
        <v>0</v>
      </c>
      <c r="AF98" s="38">
        <f>IF(AQ98="2",BH98,0)</f>
        <v>0</v>
      </c>
      <c r="AG98" s="38">
        <f>IF(AQ98="2",BI98,0)</f>
        <v>0</v>
      </c>
      <c r="AH98" s="38">
        <f>IF(AQ98="0",BJ98,0)</f>
        <v>0</v>
      </c>
      <c r="AI98" s="50" t="s">
        <v>84</v>
      </c>
      <c r="AJ98" s="38">
        <f>IF(AN98=0,I98,0)</f>
        <v>0</v>
      </c>
      <c r="AK98" s="38">
        <f>IF(AN98=12,I98,0)</f>
        <v>0</v>
      </c>
      <c r="AL98" s="38">
        <f>IF(AN98=21,I98,0)</f>
        <v>0</v>
      </c>
      <c r="AN98" s="38">
        <v>21</v>
      </c>
      <c r="AO98" s="38">
        <f>H98*0.371007101</f>
        <v>0</v>
      </c>
      <c r="AP98" s="38">
        <f>H98*(1-0.371007101)</f>
        <v>0</v>
      </c>
      <c r="AQ98" s="72" t="s">
        <v>132</v>
      </c>
      <c r="AV98" s="38">
        <f>AW98+AX98</f>
        <v>0</v>
      </c>
      <c r="AW98" s="38">
        <f>G98*AO98</f>
        <v>0</v>
      </c>
      <c r="AX98" s="38">
        <f>G98*AP98</f>
        <v>0</v>
      </c>
      <c r="AY98" s="72" t="s">
        <v>294</v>
      </c>
      <c r="AZ98" s="72" t="s">
        <v>201</v>
      </c>
      <c r="BA98" s="50" t="s">
        <v>139</v>
      </c>
      <c r="BB98" s="73">
        <v>100003</v>
      </c>
      <c r="BC98" s="38">
        <f>AW98+AX98</f>
        <v>0</v>
      </c>
      <c r="BD98" s="38">
        <f>H98/(100-BE98)*100</f>
        <v>0</v>
      </c>
      <c r="BE98" s="38">
        <v>0</v>
      </c>
      <c r="BF98" s="38">
        <f>K98</f>
        <v>0.43435560000000006</v>
      </c>
      <c r="BH98" s="38">
        <f>G98*AO98</f>
        <v>0</v>
      </c>
      <c r="BI98" s="38">
        <f>G98*AP98</f>
        <v>0</v>
      </c>
      <c r="BJ98" s="38">
        <f>G98*H98</f>
        <v>0</v>
      </c>
      <c r="BK98" s="38"/>
      <c r="BL98" s="38">
        <v>34</v>
      </c>
      <c r="BW98" s="38">
        <v>21</v>
      </c>
    </row>
    <row r="99" spans="1:12" ht="15">
      <c r="A99" s="74"/>
      <c r="D99" s="75" t="s">
        <v>299</v>
      </c>
      <c r="E99" s="75" t="s">
        <v>250</v>
      </c>
      <c r="G99" s="76">
        <v>0.86</v>
      </c>
      <c r="L99" s="77"/>
    </row>
    <row r="100" spans="1:12" ht="15">
      <c r="A100" s="74"/>
      <c r="D100" s="75" t="s">
        <v>300</v>
      </c>
      <c r="E100" s="75" t="s">
        <v>252</v>
      </c>
      <c r="G100" s="76">
        <v>1.01</v>
      </c>
      <c r="L100" s="77"/>
    </row>
    <row r="101" spans="1:12" ht="15">
      <c r="A101" s="74"/>
      <c r="D101" s="75" t="s">
        <v>301</v>
      </c>
      <c r="E101" s="75" t="s">
        <v>254</v>
      </c>
      <c r="G101" s="76">
        <v>0.32</v>
      </c>
      <c r="L101" s="77"/>
    </row>
    <row r="102" spans="1:12" ht="15">
      <c r="A102" s="74"/>
      <c r="D102" s="75" t="s">
        <v>302</v>
      </c>
      <c r="E102" s="75" t="s">
        <v>303</v>
      </c>
      <c r="G102" s="76">
        <v>0.3</v>
      </c>
      <c r="L102" s="77"/>
    </row>
    <row r="103" spans="1:75" ht="13.5" customHeight="1">
      <c r="A103" s="1" t="s">
        <v>304</v>
      </c>
      <c r="B103" s="2" t="s">
        <v>84</v>
      </c>
      <c r="C103" s="2" t="s">
        <v>305</v>
      </c>
      <c r="D103" s="108" t="s">
        <v>306</v>
      </c>
      <c r="E103" s="103"/>
      <c r="F103" s="2" t="s">
        <v>263</v>
      </c>
      <c r="G103" s="38">
        <f>'Stavební rozpočet'!G103</f>
        <v>17.43</v>
      </c>
      <c r="H103" s="38">
        <f>'Stavební rozpočet'!H103</f>
        <v>0</v>
      </c>
      <c r="I103" s="38">
        <f>G103*H103</f>
        <v>0</v>
      </c>
      <c r="J103" s="38">
        <f>'Stavební rozpočet'!J103</f>
        <v>0.25493</v>
      </c>
      <c r="K103" s="38">
        <f>G103*J103</f>
        <v>4.4434299</v>
      </c>
      <c r="L103" s="71" t="s">
        <v>136</v>
      </c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50" t="s">
        <v>84</v>
      </c>
      <c r="AJ103" s="38">
        <f>IF(AN103=0,I103,0)</f>
        <v>0</v>
      </c>
      <c r="AK103" s="38">
        <f>IF(AN103=12,I103,0)</f>
        <v>0</v>
      </c>
      <c r="AL103" s="38">
        <f>IF(AN103=21,I103,0)</f>
        <v>0</v>
      </c>
      <c r="AN103" s="38">
        <v>21</v>
      </c>
      <c r="AO103" s="38">
        <f>H103*0.637150622</f>
        <v>0</v>
      </c>
      <c r="AP103" s="38">
        <f>H103*(1-0.637150622)</f>
        <v>0</v>
      </c>
      <c r="AQ103" s="72" t="s">
        <v>132</v>
      </c>
      <c r="AV103" s="38">
        <f>AW103+AX103</f>
        <v>0</v>
      </c>
      <c r="AW103" s="38">
        <f>G103*AO103</f>
        <v>0</v>
      </c>
      <c r="AX103" s="38">
        <f>G103*AP103</f>
        <v>0</v>
      </c>
      <c r="AY103" s="72" t="s">
        <v>294</v>
      </c>
      <c r="AZ103" s="72" t="s">
        <v>201</v>
      </c>
      <c r="BA103" s="50" t="s">
        <v>139</v>
      </c>
      <c r="BB103" s="73">
        <v>100003</v>
      </c>
      <c r="BC103" s="38">
        <f>AW103+AX103</f>
        <v>0</v>
      </c>
      <c r="BD103" s="38">
        <f>H103/(100-BE103)*100</f>
        <v>0</v>
      </c>
      <c r="BE103" s="38">
        <v>0</v>
      </c>
      <c r="BF103" s="38">
        <f>K103</f>
        <v>4.4434299</v>
      </c>
      <c r="BH103" s="38">
        <f>G103*AO103</f>
        <v>0</v>
      </c>
      <c r="BI103" s="38">
        <f>G103*AP103</f>
        <v>0</v>
      </c>
      <c r="BJ103" s="38">
        <f>G103*H103</f>
        <v>0</v>
      </c>
      <c r="BK103" s="38"/>
      <c r="BL103" s="38">
        <v>34</v>
      </c>
      <c r="BW103" s="38">
        <v>21</v>
      </c>
    </row>
    <row r="104" spans="1:12" ht="15">
      <c r="A104" s="74"/>
      <c r="D104" s="75" t="s">
        <v>307</v>
      </c>
      <c r="E104" s="75" t="s">
        <v>308</v>
      </c>
      <c r="G104" s="76">
        <v>1.53</v>
      </c>
      <c r="L104" s="77"/>
    </row>
    <row r="105" spans="1:12" ht="15">
      <c r="A105" s="74"/>
      <c r="D105" s="75" t="s">
        <v>309</v>
      </c>
      <c r="E105" s="75" t="s">
        <v>310</v>
      </c>
      <c r="G105" s="76">
        <v>15.9</v>
      </c>
      <c r="L105" s="77"/>
    </row>
    <row r="106" spans="1:75" ht="13.5" customHeight="1">
      <c r="A106" s="1" t="s">
        <v>311</v>
      </c>
      <c r="B106" s="2" t="s">
        <v>84</v>
      </c>
      <c r="C106" s="2" t="s">
        <v>312</v>
      </c>
      <c r="D106" s="108" t="s">
        <v>313</v>
      </c>
      <c r="E106" s="103"/>
      <c r="F106" s="2" t="s">
        <v>263</v>
      </c>
      <c r="G106" s="38">
        <f>'Stavební rozpočet'!G106</f>
        <v>14.25</v>
      </c>
      <c r="H106" s="38">
        <f>'Stavební rozpočet'!H106</f>
        <v>0</v>
      </c>
      <c r="I106" s="38">
        <f>G106*H106</f>
        <v>0</v>
      </c>
      <c r="J106" s="38">
        <f>'Stavební rozpočet'!J106</f>
        <v>0.07856</v>
      </c>
      <c r="K106" s="38">
        <f>G106*J106</f>
        <v>1.11948</v>
      </c>
      <c r="L106" s="71" t="s">
        <v>136</v>
      </c>
      <c r="Z106" s="38">
        <f>IF(AQ106="5",BJ106,0)</f>
        <v>0</v>
      </c>
      <c r="AB106" s="38">
        <f>IF(AQ106="1",BH106,0)</f>
        <v>0</v>
      </c>
      <c r="AC106" s="38">
        <f>IF(AQ106="1",BI106,0)</f>
        <v>0</v>
      </c>
      <c r="AD106" s="38">
        <f>IF(AQ106="7",BH106,0)</f>
        <v>0</v>
      </c>
      <c r="AE106" s="38">
        <f>IF(AQ106="7",BI106,0)</f>
        <v>0</v>
      </c>
      <c r="AF106" s="38">
        <f>IF(AQ106="2",BH106,0)</f>
        <v>0</v>
      </c>
      <c r="AG106" s="38">
        <f>IF(AQ106="2",BI106,0)</f>
        <v>0</v>
      </c>
      <c r="AH106" s="38">
        <f>IF(AQ106="0",BJ106,0)</f>
        <v>0</v>
      </c>
      <c r="AI106" s="50" t="s">
        <v>84</v>
      </c>
      <c r="AJ106" s="38">
        <f>IF(AN106=0,I106,0)</f>
        <v>0</v>
      </c>
      <c r="AK106" s="38">
        <f>IF(AN106=12,I106,0)</f>
        <v>0</v>
      </c>
      <c r="AL106" s="38">
        <f>IF(AN106=21,I106,0)</f>
        <v>0</v>
      </c>
      <c r="AN106" s="38">
        <v>21</v>
      </c>
      <c r="AO106" s="38">
        <f>H106*0.773683958</f>
        <v>0</v>
      </c>
      <c r="AP106" s="38">
        <f>H106*(1-0.773683958)</f>
        <v>0</v>
      </c>
      <c r="AQ106" s="72" t="s">
        <v>132</v>
      </c>
      <c r="AV106" s="38">
        <f>AW106+AX106</f>
        <v>0</v>
      </c>
      <c r="AW106" s="38">
        <f>G106*AO106</f>
        <v>0</v>
      </c>
      <c r="AX106" s="38">
        <f>G106*AP106</f>
        <v>0</v>
      </c>
      <c r="AY106" s="72" t="s">
        <v>294</v>
      </c>
      <c r="AZ106" s="72" t="s">
        <v>201</v>
      </c>
      <c r="BA106" s="50" t="s">
        <v>139</v>
      </c>
      <c r="BB106" s="73">
        <v>100003</v>
      </c>
      <c r="BC106" s="38">
        <f>AW106+AX106</f>
        <v>0</v>
      </c>
      <c r="BD106" s="38">
        <f>H106/(100-BE106)*100</f>
        <v>0</v>
      </c>
      <c r="BE106" s="38">
        <v>0</v>
      </c>
      <c r="BF106" s="38">
        <f>K106</f>
        <v>1.11948</v>
      </c>
      <c r="BH106" s="38">
        <f>G106*AO106</f>
        <v>0</v>
      </c>
      <c r="BI106" s="38">
        <f>G106*AP106</f>
        <v>0</v>
      </c>
      <c r="BJ106" s="38">
        <f>G106*H106</f>
        <v>0</v>
      </c>
      <c r="BK106" s="38"/>
      <c r="BL106" s="38">
        <v>34</v>
      </c>
      <c r="BW106" s="38">
        <v>21</v>
      </c>
    </row>
    <row r="107" spans="1:12" ht="15">
      <c r="A107" s="74"/>
      <c r="D107" s="75" t="s">
        <v>314</v>
      </c>
      <c r="E107" s="75" t="s">
        <v>315</v>
      </c>
      <c r="G107" s="76">
        <v>4.61</v>
      </c>
      <c r="L107" s="77"/>
    </row>
    <row r="108" spans="1:12" ht="15">
      <c r="A108" s="74"/>
      <c r="D108" s="75" t="s">
        <v>316</v>
      </c>
      <c r="E108" s="75" t="s">
        <v>317</v>
      </c>
      <c r="G108" s="76">
        <v>9.64</v>
      </c>
      <c r="L108" s="77"/>
    </row>
    <row r="109" spans="1:75" ht="13.5" customHeight="1">
      <c r="A109" s="1" t="s">
        <v>195</v>
      </c>
      <c r="B109" s="2" t="s">
        <v>84</v>
      </c>
      <c r="C109" s="2" t="s">
        <v>318</v>
      </c>
      <c r="D109" s="108" t="s">
        <v>319</v>
      </c>
      <c r="E109" s="103"/>
      <c r="F109" s="2" t="s">
        <v>263</v>
      </c>
      <c r="G109" s="38">
        <f>'Stavební rozpočet'!G109</f>
        <v>56.38</v>
      </c>
      <c r="H109" s="38">
        <f>'Stavební rozpočet'!H109</f>
        <v>0</v>
      </c>
      <c r="I109" s="38">
        <f>G109*H109</f>
        <v>0</v>
      </c>
      <c r="J109" s="38">
        <f>'Stavební rozpočet'!J109</f>
        <v>0.12956</v>
      </c>
      <c r="K109" s="38">
        <f>G109*J109</f>
        <v>7.304592800000001</v>
      </c>
      <c r="L109" s="71" t="s">
        <v>136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84</v>
      </c>
      <c r="AJ109" s="38">
        <f>IF(AN109=0,I109,0)</f>
        <v>0</v>
      </c>
      <c r="AK109" s="38">
        <f>IF(AN109=12,I109,0)</f>
        <v>0</v>
      </c>
      <c r="AL109" s="38">
        <f>IF(AN109=21,I109,0)</f>
        <v>0</v>
      </c>
      <c r="AN109" s="38">
        <v>21</v>
      </c>
      <c r="AO109" s="38">
        <f>H109*0.800539554</f>
        <v>0</v>
      </c>
      <c r="AP109" s="38">
        <f>H109*(1-0.800539554)</f>
        <v>0</v>
      </c>
      <c r="AQ109" s="72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294</v>
      </c>
      <c r="AZ109" s="72" t="s">
        <v>201</v>
      </c>
      <c r="BA109" s="50" t="s">
        <v>139</v>
      </c>
      <c r="BB109" s="73">
        <v>100003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7.304592800000001</v>
      </c>
      <c r="BH109" s="38">
        <f>G109*AO109</f>
        <v>0</v>
      </c>
      <c r="BI109" s="38">
        <f>G109*AP109</f>
        <v>0</v>
      </c>
      <c r="BJ109" s="38">
        <f>G109*H109</f>
        <v>0</v>
      </c>
      <c r="BK109" s="38"/>
      <c r="BL109" s="38">
        <v>34</v>
      </c>
      <c r="BW109" s="38">
        <v>21</v>
      </c>
    </row>
    <row r="110" spans="1:12" ht="15">
      <c r="A110" s="74"/>
      <c r="D110" s="75" t="s">
        <v>320</v>
      </c>
      <c r="E110" s="75" t="s">
        <v>315</v>
      </c>
      <c r="G110" s="76">
        <v>4.7</v>
      </c>
      <c r="L110" s="77"/>
    </row>
    <row r="111" spans="1:12" ht="15">
      <c r="A111" s="74"/>
      <c r="D111" s="75" t="s">
        <v>321</v>
      </c>
      <c r="E111" s="75" t="s">
        <v>317</v>
      </c>
      <c r="G111" s="76">
        <v>51.68</v>
      </c>
      <c r="L111" s="77"/>
    </row>
    <row r="112" spans="1:75" ht="13.5" customHeight="1">
      <c r="A112" s="1" t="s">
        <v>322</v>
      </c>
      <c r="B112" s="2" t="s">
        <v>84</v>
      </c>
      <c r="C112" s="2" t="s">
        <v>323</v>
      </c>
      <c r="D112" s="108" t="s">
        <v>324</v>
      </c>
      <c r="E112" s="103"/>
      <c r="F112" s="2" t="s">
        <v>199</v>
      </c>
      <c r="G112" s="38">
        <f>'Stavební rozpočet'!G112</f>
        <v>4</v>
      </c>
      <c r="H112" s="38">
        <f>'Stavební rozpočet'!H112</f>
        <v>0</v>
      </c>
      <c r="I112" s="38">
        <f>G112*H112</f>
        <v>0</v>
      </c>
      <c r="J112" s="38">
        <f>'Stavební rozpočet'!J112</f>
        <v>0.00569</v>
      </c>
      <c r="K112" s="38">
        <f>G112*J112</f>
        <v>0.02276</v>
      </c>
      <c r="L112" s="71" t="s">
        <v>136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50" t="s">
        <v>84</v>
      </c>
      <c r="AJ112" s="38">
        <f>IF(AN112=0,I112,0)</f>
        <v>0</v>
      </c>
      <c r="AK112" s="38">
        <f>IF(AN112=12,I112,0)</f>
        <v>0</v>
      </c>
      <c r="AL112" s="38">
        <f>IF(AN112=21,I112,0)</f>
        <v>0</v>
      </c>
      <c r="AN112" s="38">
        <v>21</v>
      </c>
      <c r="AO112" s="38">
        <f>H112*0.581931464</f>
        <v>0</v>
      </c>
      <c r="AP112" s="38">
        <f>H112*(1-0.581931464)</f>
        <v>0</v>
      </c>
      <c r="AQ112" s="72" t="s">
        <v>132</v>
      </c>
      <c r="AV112" s="38">
        <f>AW112+AX112</f>
        <v>0</v>
      </c>
      <c r="AW112" s="38">
        <f>G112*AO112</f>
        <v>0</v>
      </c>
      <c r="AX112" s="38">
        <f>G112*AP112</f>
        <v>0</v>
      </c>
      <c r="AY112" s="72" t="s">
        <v>294</v>
      </c>
      <c r="AZ112" s="72" t="s">
        <v>201</v>
      </c>
      <c r="BA112" s="50" t="s">
        <v>139</v>
      </c>
      <c r="BB112" s="73">
        <v>100003</v>
      </c>
      <c r="BC112" s="38">
        <f>AW112+AX112</f>
        <v>0</v>
      </c>
      <c r="BD112" s="38">
        <f>H112/(100-BE112)*100</f>
        <v>0</v>
      </c>
      <c r="BE112" s="38">
        <v>0</v>
      </c>
      <c r="BF112" s="38">
        <f>K112</f>
        <v>0.02276</v>
      </c>
      <c r="BH112" s="38">
        <f>G112*AO112</f>
        <v>0</v>
      </c>
      <c r="BI112" s="38">
        <f>G112*AP112</f>
        <v>0</v>
      </c>
      <c r="BJ112" s="38">
        <f>G112*H112</f>
        <v>0</v>
      </c>
      <c r="BK112" s="38"/>
      <c r="BL112" s="38">
        <v>34</v>
      </c>
      <c r="BW112" s="38">
        <v>21</v>
      </c>
    </row>
    <row r="113" spans="1:12" ht="15">
      <c r="A113" s="74"/>
      <c r="D113" s="75" t="s">
        <v>132</v>
      </c>
      <c r="E113" s="75" t="s">
        <v>325</v>
      </c>
      <c r="G113" s="76">
        <v>1</v>
      </c>
      <c r="L113" s="77"/>
    </row>
    <row r="114" spans="1:12" ht="15">
      <c r="A114" s="74"/>
      <c r="D114" s="75" t="s">
        <v>132</v>
      </c>
      <c r="E114" s="75" t="s">
        <v>326</v>
      </c>
      <c r="G114" s="76">
        <v>1</v>
      </c>
      <c r="L114" s="77"/>
    </row>
    <row r="115" spans="1:12" ht="15">
      <c r="A115" s="74"/>
      <c r="D115" s="75" t="s">
        <v>143</v>
      </c>
      <c r="E115" s="75" t="s">
        <v>327</v>
      </c>
      <c r="G115" s="76">
        <v>2</v>
      </c>
      <c r="L115" s="77"/>
    </row>
    <row r="116" spans="1:75" ht="13.5" customHeight="1">
      <c r="A116" s="1" t="s">
        <v>328</v>
      </c>
      <c r="B116" s="2" t="s">
        <v>84</v>
      </c>
      <c r="C116" s="2" t="s">
        <v>329</v>
      </c>
      <c r="D116" s="108" t="s">
        <v>330</v>
      </c>
      <c r="E116" s="103"/>
      <c r="F116" s="2" t="s">
        <v>263</v>
      </c>
      <c r="G116" s="38">
        <f>'Stavební rozpočet'!G116</f>
        <v>28.4</v>
      </c>
      <c r="H116" s="38">
        <f>'Stavební rozpočet'!H116</f>
        <v>0</v>
      </c>
      <c r="I116" s="38">
        <f>G116*H116</f>
        <v>0</v>
      </c>
      <c r="J116" s="38">
        <f>'Stavební rozpočet'!J116</f>
        <v>0.02813</v>
      </c>
      <c r="K116" s="38">
        <f>G116*J116</f>
        <v>0.7988919999999999</v>
      </c>
      <c r="L116" s="71" t="s">
        <v>136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50" t="s">
        <v>84</v>
      </c>
      <c r="AJ116" s="38">
        <f>IF(AN116=0,I116,0)</f>
        <v>0</v>
      </c>
      <c r="AK116" s="38">
        <f>IF(AN116=12,I116,0)</f>
        <v>0</v>
      </c>
      <c r="AL116" s="38">
        <f>IF(AN116=21,I116,0)</f>
        <v>0</v>
      </c>
      <c r="AN116" s="38">
        <v>21</v>
      </c>
      <c r="AO116" s="38">
        <f>H116*0.572129381</f>
        <v>0</v>
      </c>
      <c r="AP116" s="38">
        <f>H116*(1-0.572129381)</f>
        <v>0</v>
      </c>
      <c r="AQ116" s="72" t="s">
        <v>132</v>
      </c>
      <c r="AV116" s="38">
        <f>AW116+AX116</f>
        <v>0</v>
      </c>
      <c r="AW116" s="38">
        <f>G116*AO116</f>
        <v>0</v>
      </c>
      <c r="AX116" s="38">
        <f>G116*AP116</f>
        <v>0</v>
      </c>
      <c r="AY116" s="72" t="s">
        <v>294</v>
      </c>
      <c r="AZ116" s="72" t="s">
        <v>201</v>
      </c>
      <c r="BA116" s="50" t="s">
        <v>139</v>
      </c>
      <c r="BB116" s="73">
        <v>100003</v>
      </c>
      <c r="BC116" s="38">
        <f>AW116+AX116</f>
        <v>0</v>
      </c>
      <c r="BD116" s="38">
        <f>H116/(100-BE116)*100</f>
        <v>0</v>
      </c>
      <c r="BE116" s="38">
        <v>0</v>
      </c>
      <c r="BF116" s="38">
        <f>K116</f>
        <v>0.7988919999999999</v>
      </c>
      <c r="BH116" s="38">
        <f>G116*AO116</f>
        <v>0</v>
      </c>
      <c r="BI116" s="38">
        <f>G116*AP116</f>
        <v>0</v>
      </c>
      <c r="BJ116" s="38">
        <f>G116*H116</f>
        <v>0</v>
      </c>
      <c r="BK116" s="38"/>
      <c r="BL116" s="38">
        <v>34</v>
      </c>
      <c r="BW116" s="38">
        <v>21</v>
      </c>
    </row>
    <row r="117" spans="1:12" ht="13.5" customHeight="1">
      <c r="A117" s="74"/>
      <c r="D117" s="194" t="s">
        <v>331</v>
      </c>
      <c r="E117" s="195"/>
      <c r="F117" s="195"/>
      <c r="G117" s="195"/>
      <c r="H117" s="195"/>
      <c r="I117" s="195"/>
      <c r="J117" s="195"/>
      <c r="K117" s="195"/>
      <c r="L117" s="197"/>
    </row>
    <row r="118" spans="1:12" ht="15">
      <c r="A118" s="74"/>
      <c r="D118" s="75" t="s">
        <v>332</v>
      </c>
      <c r="E118" s="75" t="s">
        <v>317</v>
      </c>
      <c r="G118" s="76">
        <v>28.4</v>
      </c>
      <c r="L118" s="77"/>
    </row>
    <row r="119" spans="1:75" ht="13.5" customHeight="1">
      <c r="A119" s="1" t="s">
        <v>289</v>
      </c>
      <c r="B119" s="2" t="s">
        <v>84</v>
      </c>
      <c r="C119" s="2" t="s">
        <v>333</v>
      </c>
      <c r="D119" s="108" t="s">
        <v>334</v>
      </c>
      <c r="E119" s="103"/>
      <c r="F119" s="2" t="s">
        <v>263</v>
      </c>
      <c r="G119" s="38">
        <f>'Stavební rozpočet'!G119</f>
        <v>6.48</v>
      </c>
      <c r="H119" s="38">
        <f>'Stavební rozpočet'!H119</f>
        <v>0</v>
      </c>
      <c r="I119" s="38">
        <f>G119*H119</f>
        <v>0</v>
      </c>
      <c r="J119" s="38">
        <f>'Stavební rozpočet'!J119</f>
        <v>0.05229</v>
      </c>
      <c r="K119" s="38">
        <f>G119*J119</f>
        <v>0.33883920000000006</v>
      </c>
      <c r="L119" s="71" t="s">
        <v>136</v>
      </c>
      <c r="Z119" s="38">
        <f>IF(AQ119="5",BJ119,0)</f>
        <v>0</v>
      </c>
      <c r="AB119" s="38">
        <f>IF(AQ119="1",BH119,0)</f>
        <v>0</v>
      </c>
      <c r="AC119" s="38">
        <f>IF(AQ119="1",BI119,0)</f>
        <v>0</v>
      </c>
      <c r="AD119" s="38">
        <f>IF(AQ119="7",BH119,0)</f>
        <v>0</v>
      </c>
      <c r="AE119" s="38">
        <f>IF(AQ119="7",BI119,0)</f>
        <v>0</v>
      </c>
      <c r="AF119" s="38">
        <f>IF(AQ119="2",BH119,0)</f>
        <v>0</v>
      </c>
      <c r="AG119" s="38">
        <f>IF(AQ119="2",BI119,0)</f>
        <v>0</v>
      </c>
      <c r="AH119" s="38">
        <f>IF(AQ119="0",BJ119,0)</f>
        <v>0</v>
      </c>
      <c r="AI119" s="50" t="s">
        <v>84</v>
      </c>
      <c r="AJ119" s="38">
        <f>IF(AN119=0,I119,0)</f>
        <v>0</v>
      </c>
      <c r="AK119" s="38">
        <f>IF(AN119=12,I119,0)</f>
        <v>0</v>
      </c>
      <c r="AL119" s="38">
        <f>IF(AN119=21,I119,0)</f>
        <v>0</v>
      </c>
      <c r="AN119" s="38">
        <v>21</v>
      </c>
      <c r="AO119" s="38">
        <f>H119*0.58544864</f>
        <v>0</v>
      </c>
      <c r="AP119" s="38">
        <f>H119*(1-0.58544864)</f>
        <v>0</v>
      </c>
      <c r="AQ119" s="72" t="s">
        <v>132</v>
      </c>
      <c r="AV119" s="38">
        <f>AW119+AX119</f>
        <v>0</v>
      </c>
      <c r="AW119" s="38">
        <f>G119*AO119</f>
        <v>0</v>
      </c>
      <c r="AX119" s="38">
        <f>G119*AP119</f>
        <v>0</v>
      </c>
      <c r="AY119" s="72" t="s">
        <v>294</v>
      </c>
      <c r="AZ119" s="72" t="s">
        <v>201</v>
      </c>
      <c r="BA119" s="50" t="s">
        <v>139</v>
      </c>
      <c r="BB119" s="73">
        <v>100003</v>
      </c>
      <c r="BC119" s="38">
        <f>AW119+AX119</f>
        <v>0</v>
      </c>
      <c r="BD119" s="38">
        <f>H119/(100-BE119)*100</f>
        <v>0</v>
      </c>
      <c r="BE119" s="38">
        <v>0</v>
      </c>
      <c r="BF119" s="38">
        <f>K119</f>
        <v>0.33883920000000006</v>
      </c>
      <c r="BH119" s="38">
        <f>G119*AO119</f>
        <v>0</v>
      </c>
      <c r="BI119" s="38">
        <f>G119*AP119</f>
        <v>0</v>
      </c>
      <c r="BJ119" s="38">
        <f>G119*H119</f>
        <v>0</v>
      </c>
      <c r="BK119" s="38"/>
      <c r="BL119" s="38">
        <v>34</v>
      </c>
      <c r="BW119" s="38">
        <v>21</v>
      </c>
    </row>
    <row r="120" spans="1:12" ht="13.5" customHeight="1">
      <c r="A120" s="74"/>
      <c r="D120" s="194" t="s">
        <v>331</v>
      </c>
      <c r="E120" s="195"/>
      <c r="F120" s="195"/>
      <c r="G120" s="195"/>
      <c r="H120" s="195"/>
      <c r="I120" s="195"/>
      <c r="J120" s="195"/>
      <c r="K120" s="195"/>
      <c r="L120" s="197"/>
    </row>
    <row r="121" spans="1:12" ht="15">
      <c r="A121" s="74"/>
      <c r="D121" s="75" t="s">
        <v>335</v>
      </c>
      <c r="E121" s="75" t="s">
        <v>317</v>
      </c>
      <c r="G121" s="76">
        <v>6.48</v>
      </c>
      <c r="L121" s="77"/>
    </row>
    <row r="122" spans="1:75" ht="13.5" customHeight="1">
      <c r="A122" s="1" t="s">
        <v>336</v>
      </c>
      <c r="B122" s="2" t="s">
        <v>84</v>
      </c>
      <c r="C122" s="2" t="s">
        <v>337</v>
      </c>
      <c r="D122" s="108" t="s">
        <v>338</v>
      </c>
      <c r="E122" s="103"/>
      <c r="F122" s="2" t="s">
        <v>263</v>
      </c>
      <c r="G122" s="38">
        <f>'Stavební rozpočet'!G122</f>
        <v>5.81</v>
      </c>
      <c r="H122" s="38">
        <f>'Stavební rozpočet'!H122</f>
        <v>0</v>
      </c>
      <c r="I122" s="38">
        <f>G122*H122</f>
        <v>0</v>
      </c>
      <c r="J122" s="38">
        <f>'Stavební rozpočet'!J122</f>
        <v>0.052</v>
      </c>
      <c r="K122" s="38">
        <f>G122*J122</f>
        <v>0.30211999999999994</v>
      </c>
      <c r="L122" s="71" t="s">
        <v>136</v>
      </c>
      <c r="Z122" s="38">
        <f>IF(AQ122="5",BJ122,0)</f>
        <v>0</v>
      </c>
      <c r="AB122" s="38">
        <f>IF(AQ122="1",BH122,0)</f>
        <v>0</v>
      </c>
      <c r="AC122" s="38">
        <f>IF(AQ122="1",BI122,0)</f>
        <v>0</v>
      </c>
      <c r="AD122" s="38">
        <f>IF(AQ122="7",BH122,0)</f>
        <v>0</v>
      </c>
      <c r="AE122" s="38">
        <f>IF(AQ122="7",BI122,0)</f>
        <v>0</v>
      </c>
      <c r="AF122" s="38">
        <f>IF(AQ122="2",BH122,0)</f>
        <v>0</v>
      </c>
      <c r="AG122" s="38">
        <f>IF(AQ122="2",BI122,0)</f>
        <v>0</v>
      </c>
      <c r="AH122" s="38">
        <f>IF(AQ122="0",BJ122,0)</f>
        <v>0</v>
      </c>
      <c r="AI122" s="50" t="s">
        <v>84</v>
      </c>
      <c r="AJ122" s="38">
        <f>IF(AN122=0,I122,0)</f>
        <v>0</v>
      </c>
      <c r="AK122" s="38">
        <f>IF(AN122=12,I122,0)</f>
        <v>0</v>
      </c>
      <c r="AL122" s="38">
        <f>IF(AN122=21,I122,0)</f>
        <v>0</v>
      </c>
      <c r="AN122" s="38">
        <v>21</v>
      </c>
      <c r="AO122" s="38">
        <f>H122*0.588320459</f>
        <v>0</v>
      </c>
      <c r="AP122" s="38">
        <f>H122*(1-0.588320459)</f>
        <v>0</v>
      </c>
      <c r="AQ122" s="72" t="s">
        <v>132</v>
      </c>
      <c r="AV122" s="38">
        <f>AW122+AX122</f>
        <v>0</v>
      </c>
      <c r="AW122" s="38">
        <f>G122*AO122</f>
        <v>0</v>
      </c>
      <c r="AX122" s="38">
        <f>G122*AP122</f>
        <v>0</v>
      </c>
      <c r="AY122" s="72" t="s">
        <v>294</v>
      </c>
      <c r="AZ122" s="72" t="s">
        <v>201</v>
      </c>
      <c r="BA122" s="50" t="s">
        <v>139</v>
      </c>
      <c r="BB122" s="73">
        <v>100003</v>
      </c>
      <c r="BC122" s="38">
        <f>AW122+AX122</f>
        <v>0</v>
      </c>
      <c r="BD122" s="38">
        <f>H122/(100-BE122)*100</f>
        <v>0</v>
      </c>
      <c r="BE122" s="38">
        <v>0</v>
      </c>
      <c r="BF122" s="38">
        <f>K122</f>
        <v>0.30211999999999994</v>
      </c>
      <c r="BH122" s="38">
        <f>G122*AO122</f>
        <v>0</v>
      </c>
      <c r="BI122" s="38">
        <f>G122*AP122</f>
        <v>0</v>
      </c>
      <c r="BJ122" s="38">
        <f>G122*H122</f>
        <v>0</v>
      </c>
      <c r="BK122" s="38"/>
      <c r="BL122" s="38">
        <v>34</v>
      </c>
      <c r="BW122" s="38">
        <v>21</v>
      </c>
    </row>
    <row r="123" spans="1:12" ht="13.5" customHeight="1">
      <c r="A123" s="74"/>
      <c r="D123" s="194" t="s">
        <v>339</v>
      </c>
      <c r="E123" s="195"/>
      <c r="F123" s="195"/>
      <c r="G123" s="195"/>
      <c r="H123" s="195"/>
      <c r="I123" s="195"/>
      <c r="J123" s="195"/>
      <c r="K123" s="195"/>
      <c r="L123" s="197"/>
    </row>
    <row r="124" spans="1:12" ht="15">
      <c r="A124" s="74"/>
      <c r="D124" s="75" t="s">
        <v>340</v>
      </c>
      <c r="E124" s="75" t="s">
        <v>341</v>
      </c>
      <c r="G124" s="76">
        <v>5.81</v>
      </c>
      <c r="L124" s="77"/>
    </row>
    <row r="125" spans="1:75" ht="13.5" customHeight="1">
      <c r="A125" s="1" t="s">
        <v>342</v>
      </c>
      <c r="B125" s="2" t="s">
        <v>84</v>
      </c>
      <c r="C125" s="2" t="s">
        <v>343</v>
      </c>
      <c r="D125" s="108" t="s">
        <v>344</v>
      </c>
      <c r="E125" s="103"/>
      <c r="F125" s="2" t="s">
        <v>263</v>
      </c>
      <c r="G125" s="38">
        <f>'Stavební rozpočet'!G125</f>
        <v>2.21</v>
      </c>
      <c r="H125" s="38">
        <f>'Stavební rozpočet'!H125</f>
        <v>0</v>
      </c>
      <c r="I125" s="38">
        <f>G125*H125</f>
        <v>0</v>
      </c>
      <c r="J125" s="38">
        <f>'Stavební rozpočet'!J125</f>
        <v>0.01627</v>
      </c>
      <c r="K125" s="38">
        <f>G125*J125</f>
        <v>0.0359567</v>
      </c>
      <c r="L125" s="71" t="s">
        <v>136</v>
      </c>
      <c r="Z125" s="38">
        <f>IF(AQ125="5",BJ125,0)</f>
        <v>0</v>
      </c>
      <c r="AB125" s="38">
        <f>IF(AQ125="1",BH125,0)</f>
        <v>0</v>
      </c>
      <c r="AC125" s="38">
        <f>IF(AQ125="1",BI125,0)</f>
        <v>0</v>
      </c>
      <c r="AD125" s="38">
        <f>IF(AQ125="7",BH125,0)</f>
        <v>0</v>
      </c>
      <c r="AE125" s="38">
        <f>IF(AQ125="7",BI125,0)</f>
        <v>0</v>
      </c>
      <c r="AF125" s="38">
        <f>IF(AQ125="2",BH125,0)</f>
        <v>0</v>
      </c>
      <c r="AG125" s="38">
        <f>IF(AQ125="2",BI125,0)</f>
        <v>0</v>
      </c>
      <c r="AH125" s="38">
        <f>IF(AQ125="0",BJ125,0)</f>
        <v>0</v>
      </c>
      <c r="AI125" s="50" t="s">
        <v>84</v>
      </c>
      <c r="AJ125" s="38">
        <f>IF(AN125=0,I125,0)</f>
        <v>0</v>
      </c>
      <c r="AK125" s="38">
        <f>IF(AN125=12,I125,0)</f>
        <v>0</v>
      </c>
      <c r="AL125" s="38">
        <f>IF(AN125=21,I125,0)</f>
        <v>0</v>
      </c>
      <c r="AN125" s="38">
        <v>21</v>
      </c>
      <c r="AO125" s="38">
        <f>H125*0.608131589</f>
        <v>0</v>
      </c>
      <c r="AP125" s="38">
        <f>H125*(1-0.608131589)</f>
        <v>0</v>
      </c>
      <c r="AQ125" s="72" t="s">
        <v>132</v>
      </c>
      <c r="AV125" s="38">
        <f>AW125+AX125</f>
        <v>0</v>
      </c>
      <c r="AW125" s="38">
        <f>G125*AO125</f>
        <v>0</v>
      </c>
      <c r="AX125" s="38">
        <f>G125*AP125</f>
        <v>0</v>
      </c>
      <c r="AY125" s="72" t="s">
        <v>294</v>
      </c>
      <c r="AZ125" s="72" t="s">
        <v>201</v>
      </c>
      <c r="BA125" s="50" t="s">
        <v>139</v>
      </c>
      <c r="BB125" s="73">
        <v>100003</v>
      </c>
      <c r="BC125" s="38">
        <f>AW125+AX125</f>
        <v>0</v>
      </c>
      <c r="BD125" s="38">
        <f>H125/(100-BE125)*100</f>
        <v>0</v>
      </c>
      <c r="BE125" s="38">
        <v>0</v>
      </c>
      <c r="BF125" s="38">
        <f>K125</f>
        <v>0.0359567</v>
      </c>
      <c r="BH125" s="38">
        <f>G125*AO125</f>
        <v>0</v>
      </c>
      <c r="BI125" s="38">
        <f>G125*AP125</f>
        <v>0</v>
      </c>
      <c r="BJ125" s="38">
        <f>G125*H125</f>
        <v>0</v>
      </c>
      <c r="BK125" s="38"/>
      <c r="BL125" s="38">
        <v>34</v>
      </c>
      <c r="BW125" s="38">
        <v>21</v>
      </c>
    </row>
    <row r="126" spans="1:12" ht="15">
      <c r="A126" s="74"/>
      <c r="D126" s="75" t="s">
        <v>345</v>
      </c>
      <c r="E126" s="75" t="s">
        <v>317</v>
      </c>
      <c r="G126" s="76">
        <v>2.21</v>
      </c>
      <c r="L126" s="77"/>
    </row>
    <row r="127" spans="1:75" ht="13.5" customHeight="1">
      <c r="A127" s="1" t="s">
        <v>346</v>
      </c>
      <c r="B127" s="2" t="s">
        <v>84</v>
      </c>
      <c r="C127" s="2" t="s">
        <v>347</v>
      </c>
      <c r="D127" s="108" t="s">
        <v>348</v>
      </c>
      <c r="E127" s="103"/>
      <c r="F127" s="2" t="s">
        <v>263</v>
      </c>
      <c r="G127" s="38">
        <f>'Stavební rozpočet'!G127</f>
        <v>19</v>
      </c>
      <c r="H127" s="38">
        <f>'Stavební rozpočet'!H127</f>
        <v>0</v>
      </c>
      <c r="I127" s="38">
        <f>G127*H127</f>
        <v>0</v>
      </c>
      <c r="J127" s="38">
        <f>'Stavební rozpočet'!J127</f>
        <v>0.01573</v>
      </c>
      <c r="K127" s="38">
        <f>G127*J127</f>
        <v>0.29887</v>
      </c>
      <c r="L127" s="71" t="s">
        <v>207</v>
      </c>
      <c r="Z127" s="38">
        <f>IF(AQ127="5",BJ127,0)</f>
        <v>0</v>
      </c>
      <c r="AB127" s="38">
        <f>IF(AQ127="1",BH127,0)</f>
        <v>0</v>
      </c>
      <c r="AC127" s="38">
        <f>IF(AQ127="1",BI127,0)</f>
        <v>0</v>
      </c>
      <c r="AD127" s="38">
        <f>IF(AQ127="7",BH127,0)</f>
        <v>0</v>
      </c>
      <c r="AE127" s="38">
        <f>IF(AQ127="7",BI127,0)</f>
        <v>0</v>
      </c>
      <c r="AF127" s="38">
        <f>IF(AQ127="2",BH127,0)</f>
        <v>0</v>
      </c>
      <c r="AG127" s="38">
        <f>IF(AQ127="2",BI127,0)</f>
        <v>0</v>
      </c>
      <c r="AH127" s="38">
        <f>IF(AQ127="0",BJ127,0)</f>
        <v>0</v>
      </c>
      <c r="AI127" s="50" t="s">
        <v>84</v>
      </c>
      <c r="AJ127" s="38">
        <f>IF(AN127=0,I127,0)</f>
        <v>0</v>
      </c>
      <c r="AK127" s="38">
        <f>IF(AN127=12,I127,0)</f>
        <v>0</v>
      </c>
      <c r="AL127" s="38">
        <f>IF(AN127=21,I127,0)</f>
        <v>0</v>
      </c>
      <c r="AN127" s="38">
        <v>21</v>
      </c>
      <c r="AO127" s="38">
        <f>H127*0.575339809</f>
        <v>0</v>
      </c>
      <c r="AP127" s="38">
        <f>H127*(1-0.575339809)</f>
        <v>0</v>
      </c>
      <c r="AQ127" s="72" t="s">
        <v>132</v>
      </c>
      <c r="AV127" s="38">
        <f>AW127+AX127</f>
        <v>0</v>
      </c>
      <c r="AW127" s="38">
        <f>G127*AO127</f>
        <v>0</v>
      </c>
      <c r="AX127" s="38">
        <f>G127*AP127</f>
        <v>0</v>
      </c>
      <c r="AY127" s="72" t="s">
        <v>294</v>
      </c>
      <c r="AZ127" s="72" t="s">
        <v>201</v>
      </c>
      <c r="BA127" s="50" t="s">
        <v>139</v>
      </c>
      <c r="BB127" s="73">
        <v>100003</v>
      </c>
      <c r="BC127" s="38">
        <f>AW127+AX127</f>
        <v>0</v>
      </c>
      <c r="BD127" s="38">
        <f>H127/(100-BE127)*100</f>
        <v>0</v>
      </c>
      <c r="BE127" s="38">
        <v>0</v>
      </c>
      <c r="BF127" s="38">
        <f>K127</f>
        <v>0.29887</v>
      </c>
      <c r="BH127" s="38">
        <f>G127*AO127</f>
        <v>0</v>
      </c>
      <c r="BI127" s="38">
        <f>G127*AP127</f>
        <v>0</v>
      </c>
      <c r="BJ127" s="38">
        <f>G127*H127</f>
        <v>0</v>
      </c>
      <c r="BK127" s="38"/>
      <c r="BL127" s="38">
        <v>34</v>
      </c>
      <c r="BW127" s="38">
        <v>21</v>
      </c>
    </row>
    <row r="128" spans="1:12" ht="15">
      <c r="A128" s="74"/>
      <c r="D128" s="75" t="s">
        <v>349</v>
      </c>
      <c r="E128" s="75" t="s">
        <v>350</v>
      </c>
      <c r="G128" s="76">
        <v>19</v>
      </c>
      <c r="L128" s="77"/>
    </row>
    <row r="129" spans="1:75" ht="27" customHeight="1">
      <c r="A129" s="1" t="s">
        <v>351</v>
      </c>
      <c r="B129" s="2" t="s">
        <v>84</v>
      </c>
      <c r="C129" s="2" t="s">
        <v>352</v>
      </c>
      <c r="D129" s="108" t="s">
        <v>353</v>
      </c>
      <c r="E129" s="103"/>
      <c r="F129" s="2" t="s">
        <v>354</v>
      </c>
      <c r="G129" s="38">
        <f>'Stavební rozpočet'!G129</f>
        <v>1</v>
      </c>
      <c r="H129" s="38">
        <f>'Stavební rozpočet'!H129</f>
        <v>0</v>
      </c>
      <c r="I129" s="38">
        <f>G129*H129</f>
        <v>0</v>
      </c>
      <c r="J129" s="38">
        <f>'Stavební rozpočet'!J129</f>
        <v>0</v>
      </c>
      <c r="K129" s="38">
        <f>G129*J129</f>
        <v>0</v>
      </c>
      <c r="L129" s="71" t="s">
        <v>207</v>
      </c>
      <c r="Z129" s="38">
        <f>IF(AQ129="5",BJ129,0)</f>
        <v>0</v>
      </c>
      <c r="AB129" s="38">
        <f>IF(AQ129="1",BH129,0)</f>
        <v>0</v>
      </c>
      <c r="AC129" s="38">
        <f>IF(AQ129="1",BI129,0)</f>
        <v>0</v>
      </c>
      <c r="AD129" s="38">
        <f>IF(AQ129="7",BH129,0)</f>
        <v>0</v>
      </c>
      <c r="AE129" s="38">
        <f>IF(AQ129="7",BI129,0)</f>
        <v>0</v>
      </c>
      <c r="AF129" s="38">
        <f>IF(AQ129="2",BH129,0)</f>
        <v>0</v>
      </c>
      <c r="AG129" s="38">
        <f>IF(AQ129="2",BI129,0)</f>
        <v>0</v>
      </c>
      <c r="AH129" s="38">
        <f>IF(AQ129="0",BJ129,0)</f>
        <v>0</v>
      </c>
      <c r="AI129" s="50" t="s">
        <v>84</v>
      </c>
      <c r="AJ129" s="38">
        <f>IF(AN129=0,I129,0)</f>
        <v>0</v>
      </c>
      <c r="AK129" s="38">
        <f>IF(AN129=12,I129,0)</f>
        <v>0</v>
      </c>
      <c r="AL129" s="38">
        <f>IF(AN129=21,I129,0)</f>
        <v>0</v>
      </c>
      <c r="AN129" s="38">
        <v>21</v>
      </c>
      <c r="AO129" s="38">
        <f>H129*0</f>
        <v>0</v>
      </c>
      <c r="AP129" s="38">
        <f>H129*(1-0)</f>
        <v>0</v>
      </c>
      <c r="AQ129" s="72" t="s">
        <v>132</v>
      </c>
      <c r="AV129" s="38">
        <f>AW129+AX129</f>
        <v>0</v>
      </c>
      <c r="AW129" s="38">
        <f>G129*AO129</f>
        <v>0</v>
      </c>
      <c r="AX129" s="38">
        <f>G129*AP129</f>
        <v>0</v>
      </c>
      <c r="AY129" s="72" t="s">
        <v>294</v>
      </c>
      <c r="AZ129" s="72" t="s">
        <v>201</v>
      </c>
      <c r="BA129" s="50" t="s">
        <v>139</v>
      </c>
      <c r="BB129" s="73">
        <v>100003</v>
      </c>
      <c r="BC129" s="38">
        <f>AW129+AX129</f>
        <v>0</v>
      </c>
      <c r="BD129" s="38">
        <f>H129/(100-BE129)*100</f>
        <v>0</v>
      </c>
      <c r="BE129" s="38">
        <v>0</v>
      </c>
      <c r="BF129" s="38">
        <f>K129</f>
        <v>0</v>
      </c>
      <c r="BH129" s="38">
        <f>G129*AO129</f>
        <v>0</v>
      </c>
      <c r="BI129" s="38">
        <f>G129*AP129</f>
        <v>0</v>
      </c>
      <c r="BJ129" s="38">
        <f>G129*H129</f>
        <v>0</v>
      </c>
      <c r="BK129" s="38"/>
      <c r="BL129" s="38">
        <v>34</v>
      </c>
      <c r="BW129" s="38">
        <v>21</v>
      </c>
    </row>
    <row r="130" spans="1:12" ht="13.5" customHeight="1">
      <c r="A130" s="74"/>
      <c r="D130" s="194" t="s">
        <v>355</v>
      </c>
      <c r="E130" s="195"/>
      <c r="F130" s="195"/>
      <c r="G130" s="195"/>
      <c r="H130" s="195"/>
      <c r="I130" s="195"/>
      <c r="J130" s="195"/>
      <c r="K130" s="195"/>
      <c r="L130" s="197"/>
    </row>
    <row r="131" spans="1:12" ht="15">
      <c r="A131" s="74"/>
      <c r="D131" s="75" t="s">
        <v>132</v>
      </c>
      <c r="E131" s="75" t="s">
        <v>4</v>
      </c>
      <c r="G131" s="76">
        <v>1</v>
      </c>
      <c r="L131" s="77"/>
    </row>
    <row r="132" spans="1:75" ht="27" customHeight="1">
      <c r="A132" s="1" t="s">
        <v>356</v>
      </c>
      <c r="B132" s="2" t="s">
        <v>84</v>
      </c>
      <c r="C132" s="2" t="s">
        <v>357</v>
      </c>
      <c r="D132" s="108" t="s">
        <v>358</v>
      </c>
      <c r="E132" s="103"/>
      <c r="F132" s="2" t="s">
        <v>354</v>
      </c>
      <c r="G132" s="38">
        <f>'Stavební rozpočet'!G132</f>
        <v>1</v>
      </c>
      <c r="H132" s="38">
        <f>'Stavební rozpočet'!H132</f>
        <v>0</v>
      </c>
      <c r="I132" s="38">
        <f>G132*H132</f>
        <v>0</v>
      </c>
      <c r="J132" s="38">
        <f>'Stavební rozpočet'!J132</f>
        <v>0</v>
      </c>
      <c r="K132" s="38">
        <f>G132*J132</f>
        <v>0</v>
      </c>
      <c r="L132" s="71" t="s">
        <v>207</v>
      </c>
      <c r="Z132" s="38">
        <f>IF(AQ132="5",BJ132,0)</f>
        <v>0</v>
      </c>
      <c r="AB132" s="38">
        <f>IF(AQ132="1",BH132,0)</f>
        <v>0</v>
      </c>
      <c r="AC132" s="38">
        <f>IF(AQ132="1",BI132,0)</f>
        <v>0</v>
      </c>
      <c r="AD132" s="38">
        <f>IF(AQ132="7",BH132,0)</f>
        <v>0</v>
      </c>
      <c r="AE132" s="38">
        <f>IF(AQ132="7",BI132,0)</f>
        <v>0</v>
      </c>
      <c r="AF132" s="38">
        <f>IF(AQ132="2",BH132,0)</f>
        <v>0</v>
      </c>
      <c r="AG132" s="38">
        <f>IF(AQ132="2",BI132,0)</f>
        <v>0</v>
      </c>
      <c r="AH132" s="38">
        <f>IF(AQ132="0",BJ132,0)</f>
        <v>0</v>
      </c>
      <c r="AI132" s="50" t="s">
        <v>84</v>
      </c>
      <c r="AJ132" s="38">
        <f>IF(AN132=0,I132,0)</f>
        <v>0</v>
      </c>
      <c r="AK132" s="38">
        <f>IF(AN132=12,I132,0)</f>
        <v>0</v>
      </c>
      <c r="AL132" s="38">
        <f>IF(AN132=21,I132,0)</f>
        <v>0</v>
      </c>
      <c r="AN132" s="38">
        <v>21</v>
      </c>
      <c r="AO132" s="38">
        <f>H132*0</f>
        <v>0</v>
      </c>
      <c r="AP132" s="38">
        <f>H132*(1-0)</f>
        <v>0</v>
      </c>
      <c r="AQ132" s="72" t="s">
        <v>132</v>
      </c>
      <c r="AV132" s="38">
        <f>AW132+AX132</f>
        <v>0</v>
      </c>
      <c r="AW132" s="38">
        <f>G132*AO132</f>
        <v>0</v>
      </c>
      <c r="AX132" s="38">
        <f>G132*AP132</f>
        <v>0</v>
      </c>
      <c r="AY132" s="72" t="s">
        <v>294</v>
      </c>
      <c r="AZ132" s="72" t="s">
        <v>201</v>
      </c>
      <c r="BA132" s="50" t="s">
        <v>139</v>
      </c>
      <c r="BB132" s="73">
        <v>100003</v>
      </c>
      <c r="BC132" s="38">
        <f>AW132+AX132</f>
        <v>0</v>
      </c>
      <c r="BD132" s="38">
        <f>H132/(100-BE132)*100</f>
        <v>0</v>
      </c>
      <c r="BE132" s="38">
        <v>0</v>
      </c>
      <c r="BF132" s="38">
        <f>K132</f>
        <v>0</v>
      </c>
      <c r="BH132" s="38">
        <f>G132*AO132</f>
        <v>0</v>
      </c>
      <c r="BI132" s="38">
        <f>G132*AP132</f>
        <v>0</v>
      </c>
      <c r="BJ132" s="38">
        <f>G132*H132</f>
        <v>0</v>
      </c>
      <c r="BK132" s="38"/>
      <c r="BL132" s="38">
        <v>34</v>
      </c>
      <c r="BW132" s="38">
        <v>21</v>
      </c>
    </row>
    <row r="133" spans="1:12" ht="13.5" customHeight="1">
      <c r="A133" s="74"/>
      <c r="D133" s="194" t="s">
        <v>359</v>
      </c>
      <c r="E133" s="195"/>
      <c r="F133" s="195"/>
      <c r="G133" s="195"/>
      <c r="H133" s="195"/>
      <c r="I133" s="195"/>
      <c r="J133" s="195"/>
      <c r="K133" s="195"/>
      <c r="L133" s="197"/>
    </row>
    <row r="134" spans="1:12" ht="15">
      <c r="A134" s="74"/>
      <c r="D134" s="75" t="s">
        <v>132</v>
      </c>
      <c r="E134" s="75" t="s">
        <v>4</v>
      </c>
      <c r="G134" s="76">
        <v>1</v>
      </c>
      <c r="L134" s="77"/>
    </row>
    <row r="135" spans="1:47" ht="15">
      <c r="A135" s="65" t="s">
        <v>4</v>
      </c>
      <c r="B135" s="66" t="s">
        <v>84</v>
      </c>
      <c r="C135" s="66" t="s">
        <v>360</v>
      </c>
      <c r="D135" s="192" t="s">
        <v>361</v>
      </c>
      <c r="E135" s="193"/>
      <c r="F135" s="67" t="s">
        <v>78</v>
      </c>
      <c r="G135" s="67" t="s">
        <v>78</v>
      </c>
      <c r="H135" s="67" t="s">
        <v>78</v>
      </c>
      <c r="I135" s="44">
        <f>SUM(I136:I159)</f>
        <v>0</v>
      </c>
      <c r="J135" s="50" t="s">
        <v>4</v>
      </c>
      <c r="K135" s="44">
        <f>SUM(K136:K159)</f>
        <v>4.1486827</v>
      </c>
      <c r="L135" s="69" t="s">
        <v>4</v>
      </c>
      <c r="AI135" s="50" t="s">
        <v>84</v>
      </c>
      <c r="AS135" s="44">
        <f>SUM(AJ136:AJ159)</f>
        <v>0</v>
      </c>
      <c r="AT135" s="44">
        <f>SUM(AK136:AK159)</f>
        <v>0</v>
      </c>
      <c r="AU135" s="44">
        <f>SUM(AL136:AL159)</f>
        <v>0</v>
      </c>
    </row>
    <row r="136" spans="1:75" ht="13.5" customHeight="1">
      <c r="A136" s="1" t="s">
        <v>362</v>
      </c>
      <c r="B136" s="2" t="s">
        <v>84</v>
      </c>
      <c r="C136" s="2" t="s">
        <v>363</v>
      </c>
      <c r="D136" s="108" t="s">
        <v>364</v>
      </c>
      <c r="E136" s="103"/>
      <c r="F136" s="2" t="s">
        <v>135</v>
      </c>
      <c r="G136" s="38">
        <f>'Stavební rozpočet'!G136</f>
        <v>0.25</v>
      </c>
      <c r="H136" s="38">
        <f>'Stavební rozpočet'!H136</f>
        <v>0</v>
      </c>
      <c r="I136" s="38">
        <f>G136*H136</f>
        <v>0</v>
      </c>
      <c r="J136" s="38">
        <f>'Stavební rozpočet'!J136</f>
        <v>2.52514</v>
      </c>
      <c r="K136" s="38">
        <f>G136*J136</f>
        <v>0.631285</v>
      </c>
      <c r="L136" s="71" t="s">
        <v>136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50" t="s">
        <v>84</v>
      </c>
      <c r="AJ136" s="38">
        <f>IF(AN136=0,I136,0)</f>
        <v>0</v>
      </c>
      <c r="AK136" s="38">
        <f>IF(AN136=12,I136,0)</f>
        <v>0</v>
      </c>
      <c r="AL136" s="38">
        <f>IF(AN136=21,I136,0)</f>
        <v>0</v>
      </c>
      <c r="AN136" s="38">
        <v>21</v>
      </c>
      <c r="AO136" s="38">
        <f>H136*0.878725656</f>
        <v>0</v>
      </c>
      <c r="AP136" s="38">
        <f>H136*(1-0.878725656)</f>
        <v>0</v>
      </c>
      <c r="AQ136" s="72" t="s">
        <v>132</v>
      </c>
      <c r="AV136" s="38">
        <f>AW136+AX136</f>
        <v>0</v>
      </c>
      <c r="AW136" s="38">
        <f>G136*AO136</f>
        <v>0</v>
      </c>
      <c r="AX136" s="38">
        <f>G136*AP136</f>
        <v>0</v>
      </c>
      <c r="AY136" s="72" t="s">
        <v>365</v>
      </c>
      <c r="AZ136" s="72" t="s">
        <v>366</v>
      </c>
      <c r="BA136" s="50" t="s">
        <v>139</v>
      </c>
      <c r="BB136" s="73">
        <v>100019</v>
      </c>
      <c r="BC136" s="38">
        <f>AW136+AX136</f>
        <v>0</v>
      </c>
      <c r="BD136" s="38">
        <f>H136/(100-BE136)*100</f>
        <v>0</v>
      </c>
      <c r="BE136" s="38">
        <v>0</v>
      </c>
      <c r="BF136" s="38">
        <f>K136</f>
        <v>0.631285</v>
      </c>
      <c r="BH136" s="38">
        <f>G136*AO136</f>
        <v>0</v>
      </c>
      <c r="BI136" s="38">
        <f>G136*AP136</f>
        <v>0</v>
      </c>
      <c r="BJ136" s="38">
        <f>G136*H136</f>
        <v>0</v>
      </c>
      <c r="BK136" s="38"/>
      <c r="BL136" s="38">
        <v>41</v>
      </c>
      <c r="BW136" s="38">
        <v>21</v>
      </c>
    </row>
    <row r="137" spans="1:12" ht="15">
      <c r="A137" s="74"/>
      <c r="D137" s="75" t="s">
        <v>367</v>
      </c>
      <c r="E137" s="75" t="s">
        <v>368</v>
      </c>
      <c r="G137" s="76">
        <v>0.25</v>
      </c>
      <c r="L137" s="77"/>
    </row>
    <row r="138" spans="1:75" ht="13.5" customHeight="1">
      <c r="A138" s="1" t="s">
        <v>360</v>
      </c>
      <c r="B138" s="2" t="s">
        <v>84</v>
      </c>
      <c r="C138" s="2" t="s">
        <v>369</v>
      </c>
      <c r="D138" s="108" t="s">
        <v>370</v>
      </c>
      <c r="E138" s="103"/>
      <c r="F138" s="2" t="s">
        <v>263</v>
      </c>
      <c r="G138" s="38">
        <f>'Stavební rozpočet'!G138</f>
        <v>2.02</v>
      </c>
      <c r="H138" s="38">
        <f>'Stavební rozpočet'!H138</f>
        <v>0</v>
      </c>
      <c r="I138" s="38">
        <f>G138*H138</f>
        <v>0</v>
      </c>
      <c r="J138" s="38">
        <f>'Stavební rozpočet'!J138</f>
        <v>0.03391</v>
      </c>
      <c r="K138" s="38">
        <f>G138*J138</f>
        <v>0.06849820000000001</v>
      </c>
      <c r="L138" s="71" t="s">
        <v>136</v>
      </c>
      <c r="Z138" s="38">
        <f>IF(AQ138="5",BJ138,0)</f>
        <v>0</v>
      </c>
      <c r="AB138" s="38">
        <f>IF(AQ138="1",BH138,0)</f>
        <v>0</v>
      </c>
      <c r="AC138" s="38">
        <f>IF(AQ138="1",BI138,0)</f>
        <v>0</v>
      </c>
      <c r="AD138" s="38">
        <f>IF(AQ138="7",BH138,0)</f>
        <v>0</v>
      </c>
      <c r="AE138" s="38">
        <f>IF(AQ138="7",BI138,0)</f>
        <v>0</v>
      </c>
      <c r="AF138" s="38">
        <f>IF(AQ138="2",BH138,0)</f>
        <v>0</v>
      </c>
      <c r="AG138" s="38">
        <f>IF(AQ138="2",BI138,0)</f>
        <v>0</v>
      </c>
      <c r="AH138" s="38">
        <f>IF(AQ138="0",BJ138,0)</f>
        <v>0</v>
      </c>
      <c r="AI138" s="50" t="s">
        <v>84</v>
      </c>
      <c r="AJ138" s="38">
        <f>IF(AN138=0,I138,0)</f>
        <v>0</v>
      </c>
      <c r="AK138" s="38">
        <f>IF(AN138=12,I138,0)</f>
        <v>0</v>
      </c>
      <c r="AL138" s="38">
        <f>IF(AN138=21,I138,0)</f>
        <v>0</v>
      </c>
      <c r="AN138" s="38">
        <v>21</v>
      </c>
      <c r="AO138" s="38">
        <f>H138*0.513701095</f>
        <v>0</v>
      </c>
      <c r="AP138" s="38">
        <f>H138*(1-0.513701095)</f>
        <v>0</v>
      </c>
      <c r="AQ138" s="72" t="s">
        <v>132</v>
      </c>
      <c r="AV138" s="38">
        <f>AW138+AX138</f>
        <v>0</v>
      </c>
      <c r="AW138" s="38">
        <f>G138*AO138</f>
        <v>0</v>
      </c>
      <c r="AX138" s="38">
        <f>G138*AP138</f>
        <v>0</v>
      </c>
      <c r="AY138" s="72" t="s">
        <v>365</v>
      </c>
      <c r="AZ138" s="72" t="s">
        <v>366</v>
      </c>
      <c r="BA138" s="50" t="s">
        <v>139</v>
      </c>
      <c r="BB138" s="73">
        <v>100019</v>
      </c>
      <c r="BC138" s="38">
        <f>AW138+AX138</f>
        <v>0</v>
      </c>
      <c r="BD138" s="38">
        <f>H138/(100-BE138)*100</f>
        <v>0</v>
      </c>
      <c r="BE138" s="38">
        <v>0</v>
      </c>
      <c r="BF138" s="38">
        <f>K138</f>
        <v>0.06849820000000001</v>
      </c>
      <c r="BH138" s="38">
        <f>G138*AO138</f>
        <v>0</v>
      </c>
      <c r="BI138" s="38">
        <f>G138*AP138</f>
        <v>0</v>
      </c>
      <c r="BJ138" s="38">
        <f>G138*H138</f>
        <v>0</v>
      </c>
      <c r="BK138" s="38"/>
      <c r="BL138" s="38">
        <v>41</v>
      </c>
      <c r="BW138" s="38">
        <v>21</v>
      </c>
    </row>
    <row r="139" spans="1:12" ht="15">
      <c r="A139" s="74"/>
      <c r="D139" s="75" t="s">
        <v>371</v>
      </c>
      <c r="E139" s="75" t="s">
        <v>368</v>
      </c>
      <c r="G139" s="76">
        <v>2.02</v>
      </c>
      <c r="L139" s="77"/>
    </row>
    <row r="140" spans="1:75" ht="13.5" customHeight="1">
      <c r="A140" s="1" t="s">
        <v>372</v>
      </c>
      <c r="B140" s="2" t="s">
        <v>84</v>
      </c>
      <c r="C140" s="2" t="s">
        <v>373</v>
      </c>
      <c r="D140" s="108" t="s">
        <v>374</v>
      </c>
      <c r="E140" s="103"/>
      <c r="F140" s="2" t="s">
        <v>263</v>
      </c>
      <c r="G140" s="38">
        <f>'Stavební rozpočet'!G140</f>
        <v>2.02</v>
      </c>
      <c r="H140" s="38">
        <f>'Stavební rozpočet'!H140</f>
        <v>0</v>
      </c>
      <c r="I140" s="38">
        <f>G140*H140</f>
        <v>0</v>
      </c>
      <c r="J140" s="38">
        <f>'Stavební rozpočet'!J140</f>
        <v>0</v>
      </c>
      <c r="K140" s="38">
        <f>G140*J140</f>
        <v>0</v>
      </c>
      <c r="L140" s="71" t="s">
        <v>136</v>
      </c>
      <c r="Z140" s="38">
        <f>IF(AQ140="5",BJ140,0)</f>
        <v>0</v>
      </c>
      <c r="AB140" s="38">
        <f>IF(AQ140="1",BH140,0)</f>
        <v>0</v>
      </c>
      <c r="AC140" s="38">
        <f>IF(AQ140="1",BI140,0)</f>
        <v>0</v>
      </c>
      <c r="AD140" s="38">
        <f>IF(AQ140="7",BH140,0)</f>
        <v>0</v>
      </c>
      <c r="AE140" s="38">
        <f>IF(AQ140="7",BI140,0)</f>
        <v>0</v>
      </c>
      <c r="AF140" s="38">
        <f>IF(AQ140="2",BH140,0)</f>
        <v>0</v>
      </c>
      <c r="AG140" s="38">
        <f>IF(AQ140="2",BI140,0)</f>
        <v>0</v>
      </c>
      <c r="AH140" s="38">
        <f>IF(AQ140="0",BJ140,0)</f>
        <v>0</v>
      </c>
      <c r="AI140" s="50" t="s">
        <v>84</v>
      </c>
      <c r="AJ140" s="38">
        <f>IF(AN140=0,I140,0)</f>
        <v>0</v>
      </c>
      <c r="AK140" s="38">
        <f>IF(AN140=12,I140,0)</f>
        <v>0</v>
      </c>
      <c r="AL140" s="38">
        <f>IF(AN140=21,I140,0)</f>
        <v>0</v>
      </c>
      <c r="AN140" s="38">
        <v>21</v>
      </c>
      <c r="AO140" s="38">
        <f>H140*0</f>
        <v>0</v>
      </c>
      <c r="AP140" s="38">
        <f>H140*(1-0)</f>
        <v>0</v>
      </c>
      <c r="AQ140" s="72" t="s">
        <v>132</v>
      </c>
      <c r="AV140" s="38">
        <f>AW140+AX140</f>
        <v>0</v>
      </c>
      <c r="AW140" s="38">
        <f>G140*AO140</f>
        <v>0</v>
      </c>
      <c r="AX140" s="38">
        <f>G140*AP140</f>
        <v>0</v>
      </c>
      <c r="AY140" s="72" t="s">
        <v>365</v>
      </c>
      <c r="AZ140" s="72" t="s">
        <v>366</v>
      </c>
      <c r="BA140" s="50" t="s">
        <v>139</v>
      </c>
      <c r="BB140" s="73">
        <v>100019</v>
      </c>
      <c r="BC140" s="38">
        <f>AW140+AX140</f>
        <v>0</v>
      </c>
      <c r="BD140" s="38">
        <f>H140/(100-BE140)*100</f>
        <v>0</v>
      </c>
      <c r="BE140" s="38">
        <v>0</v>
      </c>
      <c r="BF140" s="38">
        <f>K140</f>
        <v>0</v>
      </c>
      <c r="BH140" s="38">
        <f>G140*AO140</f>
        <v>0</v>
      </c>
      <c r="BI140" s="38">
        <f>G140*AP140</f>
        <v>0</v>
      </c>
      <c r="BJ140" s="38">
        <f>G140*H140</f>
        <v>0</v>
      </c>
      <c r="BK140" s="38"/>
      <c r="BL140" s="38">
        <v>41</v>
      </c>
      <c r="BW140" s="38">
        <v>21</v>
      </c>
    </row>
    <row r="141" spans="1:12" ht="15">
      <c r="A141" s="74"/>
      <c r="D141" s="75" t="s">
        <v>371</v>
      </c>
      <c r="E141" s="75" t="s">
        <v>368</v>
      </c>
      <c r="G141" s="76">
        <v>2.02</v>
      </c>
      <c r="L141" s="77"/>
    </row>
    <row r="142" spans="1:75" ht="13.5" customHeight="1">
      <c r="A142" s="1" t="s">
        <v>375</v>
      </c>
      <c r="B142" s="2" t="s">
        <v>84</v>
      </c>
      <c r="C142" s="2" t="s">
        <v>376</v>
      </c>
      <c r="D142" s="108" t="s">
        <v>377</v>
      </c>
      <c r="E142" s="103"/>
      <c r="F142" s="2" t="s">
        <v>214</v>
      </c>
      <c r="G142" s="38">
        <f>'Stavební rozpočet'!G142</f>
        <v>0.61</v>
      </c>
      <c r="H142" s="38">
        <f>'Stavební rozpočet'!H142</f>
        <v>0</v>
      </c>
      <c r="I142" s="38">
        <f>G142*H142</f>
        <v>0</v>
      </c>
      <c r="J142" s="38">
        <f>'Stavební rozpočet'!J142</f>
        <v>0.03047</v>
      </c>
      <c r="K142" s="38">
        <f>G142*J142</f>
        <v>0.0185867</v>
      </c>
      <c r="L142" s="71" t="s">
        <v>136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50" t="s">
        <v>84</v>
      </c>
      <c r="AJ142" s="38">
        <f>IF(AN142=0,I142,0)</f>
        <v>0</v>
      </c>
      <c r="AK142" s="38">
        <f>IF(AN142=12,I142,0)</f>
        <v>0</v>
      </c>
      <c r="AL142" s="38">
        <f>IF(AN142=21,I142,0)</f>
        <v>0</v>
      </c>
      <c r="AN142" s="38">
        <v>21</v>
      </c>
      <c r="AO142" s="38">
        <f>H142*0.213888986</f>
        <v>0</v>
      </c>
      <c r="AP142" s="38">
        <f>H142*(1-0.213888986)</f>
        <v>0</v>
      </c>
      <c r="AQ142" s="72" t="s">
        <v>132</v>
      </c>
      <c r="AV142" s="38">
        <f>AW142+AX142</f>
        <v>0</v>
      </c>
      <c r="AW142" s="38">
        <f>G142*AO142</f>
        <v>0</v>
      </c>
      <c r="AX142" s="38">
        <f>G142*AP142</f>
        <v>0</v>
      </c>
      <c r="AY142" s="72" t="s">
        <v>365</v>
      </c>
      <c r="AZ142" s="72" t="s">
        <v>366</v>
      </c>
      <c r="BA142" s="50" t="s">
        <v>139</v>
      </c>
      <c r="BB142" s="73">
        <v>100019</v>
      </c>
      <c r="BC142" s="38">
        <f>AW142+AX142</f>
        <v>0</v>
      </c>
      <c r="BD142" s="38">
        <f>H142/(100-BE142)*100</f>
        <v>0</v>
      </c>
      <c r="BE142" s="38">
        <v>0</v>
      </c>
      <c r="BF142" s="38">
        <f>K142</f>
        <v>0.0185867</v>
      </c>
      <c r="BH142" s="38">
        <f>G142*AO142</f>
        <v>0</v>
      </c>
      <c r="BI142" s="38">
        <f>G142*AP142</f>
        <v>0</v>
      </c>
      <c r="BJ142" s="38">
        <f>G142*H142</f>
        <v>0</v>
      </c>
      <c r="BK142" s="38"/>
      <c r="BL142" s="38">
        <v>41</v>
      </c>
      <c r="BW142" s="38">
        <v>21</v>
      </c>
    </row>
    <row r="143" spans="1:12" ht="15">
      <c r="A143" s="74"/>
      <c r="D143" s="75" t="s">
        <v>378</v>
      </c>
      <c r="E143" s="75" t="s">
        <v>368</v>
      </c>
      <c r="G143" s="76">
        <v>0.61</v>
      </c>
      <c r="L143" s="77"/>
    </row>
    <row r="144" spans="1:75" ht="13.5" customHeight="1">
      <c r="A144" s="1" t="s">
        <v>379</v>
      </c>
      <c r="B144" s="2" t="s">
        <v>84</v>
      </c>
      <c r="C144" s="2" t="s">
        <v>380</v>
      </c>
      <c r="D144" s="108" t="s">
        <v>381</v>
      </c>
      <c r="E144" s="103"/>
      <c r="F144" s="2" t="s">
        <v>214</v>
      </c>
      <c r="G144" s="38">
        <f>'Stavební rozpočet'!G144</f>
        <v>0.61</v>
      </c>
      <c r="H144" s="38">
        <f>'Stavební rozpočet'!H144</f>
        <v>0</v>
      </c>
      <c r="I144" s="38">
        <f>G144*H144</f>
        <v>0</v>
      </c>
      <c r="J144" s="38">
        <f>'Stavební rozpočet'!J144</f>
        <v>0</v>
      </c>
      <c r="K144" s="38">
        <f>G144*J144</f>
        <v>0</v>
      </c>
      <c r="L144" s="71" t="s">
        <v>136</v>
      </c>
      <c r="Z144" s="38">
        <f>IF(AQ144="5",BJ144,0)</f>
        <v>0</v>
      </c>
      <c r="AB144" s="38">
        <f>IF(AQ144="1",BH144,0)</f>
        <v>0</v>
      </c>
      <c r="AC144" s="38">
        <f>IF(AQ144="1",BI144,0)</f>
        <v>0</v>
      </c>
      <c r="AD144" s="38">
        <f>IF(AQ144="7",BH144,0)</f>
        <v>0</v>
      </c>
      <c r="AE144" s="38">
        <f>IF(AQ144="7",BI144,0)</f>
        <v>0</v>
      </c>
      <c r="AF144" s="38">
        <f>IF(AQ144="2",BH144,0)</f>
        <v>0</v>
      </c>
      <c r="AG144" s="38">
        <f>IF(AQ144="2",BI144,0)</f>
        <v>0</v>
      </c>
      <c r="AH144" s="38">
        <f>IF(AQ144="0",BJ144,0)</f>
        <v>0</v>
      </c>
      <c r="AI144" s="50" t="s">
        <v>84</v>
      </c>
      <c r="AJ144" s="38">
        <f>IF(AN144=0,I144,0)</f>
        <v>0</v>
      </c>
      <c r="AK144" s="38">
        <f>IF(AN144=12,I144,0)</f>
        <v>0</v>
      </c>
      <c r="AL144" s="38">
        <f>IF(AN144=21,I144,0)</f>
        <v>0</v>
      </c>
      <c r="AN144" s="38">
        <v>21</v>
      </c>
      <c r="AO144" s="38">
        <f>H144*0</f>
        <v>0</v>
      </c>
      <c r="AP144" s="38">
        <f>H144*(1-0)</f>
        <v>0</v>
      </c>
      <c r="AQ144" s="72" t="s">
        <v>132</v>
      </c>
      <c r="AV144" s="38">
        <f>AW144+AX144</f>
        <v>0</v>
      </c>
      <c r="AW144" s="38">
        <f>G144*AO144</f>
        <v>0</v>
      </c>
      <c r="AX144" s="38">
        <f>G144*AP144</f>
        <v>0</v>
      </c>
      <c r="AY144" s="72" t="s">
        <v>365</v>
      </c>
      <c r="AZ144" s="72" t="s">
        <v>366</v>
      </c>
      <c r="BA144" s="50" t="s">
        <v>139</v>
      </c>
      <c r="BB144" s="73">
        <v>100019</v>
      </c>
      <c r="BC144" s="38">
        <f>AW144+AX144</f>
        <v>0</v>
      </c>
      <c r="BD144" s="38">
        <f>H144/(100-BE144)*100</f>
        <v>0</v>
      </c>
      <c r="BE144" s="38">
        <v>0</v>
      </c>
      <c r="BF144" s="38">
        <f>K144</f>
        <v>0</v>
      </c>
      <c r="BH144" s="38">
        <f>G144*AO144</f>
        <v>0</v>
      </c>
      <c r="BI144" s="38">
        <f>G144*AP144</f>
        <v>0</v>
      </c>
      <c r="BJ144" s="38">
        <f>G144*H144</f>
        <v>0</v>
      </c>
      <c r="BK144" s="38"/>
      <c r="BL144" s="38">
        <v>41</v>
      </c>
      <c r="BW144" s="38">
        <v>21</v>
      </c>
    </row>
    <row r="145" spans="1:12" ht="15">
      <c r="A145" s="74"/>
      <c r="D145" s="75" t="s">
        <v>378</v>
      </c>
      <c r="E145" s="75" t="s">
        <v>368</v>
      </c>
      <c r="G145" s="76">
        <v>0.61</v>
      </c>
      <c r="L145" s="77"/>
    </row>
    <row r="146" spans="1:75" ht="13.5" customHeight="1">
      <c r="A146" s="1" t="s">
        <v>382</v>
      </c>
      <c r="B146" s="2" t="s">
        <v>84</v>
      </c>
      <c r="C146" s="2" t="s">
        <v>383</v>
      </c>
      <c r="D146" s="108" t="s">
        <v>384</v>
      </c>
      <c r="E146" s="103"/>
      <c r="F146" s="2" t="s">
        <v>189</v>
      </c>
      <c r="G146" s="38">
        <f>'Stavební rozpočet'!G146</f>
        <v>0.01</v>
      </c>
      <c r="H146" s="38">
        <f>'Stavební rozpočet'!H146</f>
        <v>0</v>
      </c>
      <c r="I146" s="38">
        <f>G146*H146</f>
        <v>0</v>
      </c>
      <c r="J146" s="38">
        <f>'Stavební rozpočet'!J146</f>
        <v>1.05544</v>
      </c>
      <c r="K146" s="38">
        <f>G146*J146</f>
        <v>0.0105544</v>
      </c>
      <c r="L146" s="71" t="s">
        <v>136</v>
      </c>
      <c r="Z146" s="38">
        <f>IF(AQ146="5",BJ146,0)</f>
        <v>0</v>
      </c>
      <c r="AB146" s="38">
        <f>IF(AQ146="1",BH146,0)</f>
        <v>0</v>
      </c>
      <c r="AC146" s="38">
        <f>IF(AQ146="1",BI146,0)</f>
        <v>0</v>
      </c>
      <c r="AD146" s="38">
        <f>IF(AQ146="7",BH146,0)</f>
        <v>0</v>
      </c>
      <c r="AE146" s="38">
        <f>IF(AQ146="7",BI146,0)</f>
        <v>0</v>
      </c>
      <c r="AF146" s="38">
        <f>IF(AQ146="2",BH146,0)</f>
        <v>0</v>
      </c>
      <c r="AG146" s="38">
        <f>IF(AQ146="2",BI146,0)</f>
        <v>0</v>
      </c>
      <c r="AH146" s="38">
        <f>IF(AQ146="0",BJ146,0)</f>
        <v>0</v>
      </c>
      <c r="AI146" s="50" t="s">
        <v>84</v>
      </c>
      <c r="AJ146" s="38">
        <f>IF(AN146=0,I146,0)</f>
        <v>0</v>
      </c>
      <c r="AK146" s="38">
        <f>IF(AN146=12,I146,0)</f>
        <v>0</v>
      </c>
      <c r="AL146" s="38">
        <f>IF(AN146=21,I146,0)</f>
        <v>0</v>
      </c>
      <c r="AN146" s="38">
        <v>21</v>
      </c>
      <c r="AO146" s="38">
        <f>H146*0.80156966</f>
        <v>0</v>
      </c>
      <c r="AP146" s="38">
        <f>H146*(1-0.80156966)</f>
        <v>0</v>
      </c>
      <c r="AQ146" s="72" t="s">
        <v>132</v>
      </c>
      <c r="AV146" s="38">
        <f>AW146+AX146</f>
        <v>0</v>
      </c>
      <c r="AW146" s="38">
        <f>G146*AO146</f>
        <v>0</v>
      </c>
      <c r="AX146" s="38">
        <f>G146*AP146</f>
        <v>0</v>
      </c>
      <c r="AY146" s="72" t="s">
        <v>365</v>
      </c>
      <c r="AZ146" s="72" t="s">
        <v>366</v>
      </c>
      <c r="BA146" s="50" t="s">
        <v>139</v>
      </c>
      <c r="BB146" s="73">
        <v>100019</v>
      </c>
      <c r="BC146" s="38">
        <f>AW146+AX146</f>
        <v>0</v>
      </c>
      <c r="BD146" s="38">
        <f>H146/(100-BE146)*100</f>
        <v>0</v>
      </c>
      <c r="BE146" s="38">
        <v>0</v>
      </c>
      <c r="BF146" s="38">
        <f>K146</f>
        <v>0.0105544</v>
      </c>
      <c r="BH146" s="38">
        <f>G146*AO146</f>
        <v>0</v>
      </c>
      <c r="BI146" s="38">
        <f>G146*AP146</f>
        <v>0</v>
      </c>
      <c r="BJ146" s="38">
        <f>G146*H146</f>
        <v>0</v>
      </c>
      <c r="BK146" s="38"/>
      <c r="BL146" s="38">
        <v>41</v>
      </c>
      <c r="BW146" s="38">
        <v>21</v>
      </c>
    </row>
    <row r="147" spans="1:12" ht="13.5" customHeight="1">
      <c r="A147" s="74"/>
      <c r="D147" s="194" t="s">
        <v>385</v>
      </c>
      <c r="E147" s="195"/>
      <c r="F147" s="195"/>
      <c r="G147" s="195"/>
      <c r="H147" s="195"/>
      <c r="I147" s="195"/>
      <c r="J147" s="195"/>
      <c r="K147" s="195"/>
      <c r="L147" s="197"/>
    </row>
    <row r="148" spans="1:12" ht="15">
      <c r="A148" s="74"/>
      <c r="D148" s="75" t="s">
        <v>386</v>
      </c>
      <c r="E148" s="75" t="s">
        <v>368</v>
      </c>
      <c r="G148" s="76">
        <v>0.01</v>
      </c>
      <c r="L148" s="77"/>
    </row>
    <row r="149" spans="1:75" ht="13.5" customHeight="1">
      <c r="A149" s="1" t="s">
        <v>387</v>
      </c>
      <c r="B149" s="2" t="s">
        <v>84</v>
      </c>
      <c r="C149" s="2" t="s">
        <v>388</v>
      </c>
      <c r="D149" s="108" t="s">
        <v>389</v>
      </c>
      <c r="E149" s="103"/>
      <c r="F149" s="2" t="s">
        <v>199</v>
      </c>
      <c r="G149" s="38">
        <f>'Stavební rozpočet'!G149</f>
        <v>4</v>
      </c>
      <c r="H149" s="38">
        <f>'Stavební rozpočet'!H149</f>
        <v>0</v>
      </c>
      <c r="I149" s="38">
        <f>G149*H149</f>
        <v>0</v>
      </c>
      <c r="J149" s="38">
        <f>'Stavební rozpočet'!J149</f>
        <v>0.02398</v>
      </c>
      <c r="K149" s="38">
        <f>G149*J149</f>
        <v>0.09592</v>
      </c>
      <c r="L149" s="71" t="s">
        <v>207</v>
      </c>
      <c r="Z149" s="38">
        <f>IF(AQ149="5",BJ149,0)</f>
        <v>0</v>
      </c>
      <c r="AB149" s="38">
        <f>IF(AQ149="1",BH149,0)</f>
        <v>0</v>
      </c>
      <c r="AC149" s="38">
        <f>IF(AQ149="1",BI149,0)</f>
        <v>0</v>
      </c>
      <c r="AD149" s="38">
        <f>IF(AQ149="7",BH149,0)</f>
        <v>0</v>
      </c>
      <c r="AE149" s="38">
        <f>IF(AQ149="7",BI149,0)</f>
        <v>0</v>
      </c>
      <c r="AF149" s="38">
        <f>IF(AQ149="2",BH149,0)</f>
        <v>0</v>
      </c>
      <c r="AG149" s="38">
        <f>IF(AQ149="2",BI149,0)</f>
        <v>0</v>
      </c>
      <c r="AH149" s="38">
        <f>IF(AQ149="0",BJ149,0)</f>
        <v>0</v>
      </c>
      <c r="AI149" s="50" t="s">
        <v>84</v>
      </c>
      <c r="AJ149" s="38">
        <f>IF(AN149=0,I149,0)</f>
        <v>0</v>
      </c>
      <c r="AK149" s="38">
        <f>IF(AN149=12,I149,0)</f>
        <v>0</v>
      </c>
      <c r="AL149" s="38">
        <f>IF(AN149=21,I149,0)</f>
        <v>0</v>
      </c>
      <c r="AN149" s="38">
        <v>21</v>
      </c>
      <c r="AO149" s="38">
        <f>H149*0.278508997</f>
        <v>0</v>
      </c>
      <c r="AP149" s="38">
        <f>H149*(1-0.278508997)</f>
        <v>0</v>
      </c>
      <c r="AQ149" s="72" t="s">
        <v>132</v>
      </c>
      <c r="AV149" s="38">
        <f>AW149+AX149</f>
        <v>0</v>
      </c>
      <c r="AW149" s="38">
        <f>G149*AO149</f>
        <v>0</v>
      </c>
      <c r="AX149" s="38">
        <f>G149*AP149</f>
        <v>0</v>
      </c>
      <c r="AY149" s="72" t="s">
        <v>365</v>
      </c>
      <c r="AZ149" s="72" t="s">
        <v>366</v>
      </c>
      <c r="BA149" s="50" t="s">
        <v>139</v>
      </c>
      <c r="BB149" s="73">
        <v>100019</v>
      </c>
      <c r="BC149" s="38">
        <f>AW149+AX149</f>
        <v>0</v>
      </c>
      <c r="BD149" s="38">
        <f>H149/(100-BE149)*100</f>
        <v>0</v>
      </c>
      <c r="BE149" s="38">
        <v>0</v>
      </c>
      <c r="BF149" s="38">
        <f>K149</f>
        <v>0.09592</v>
      </c>
      <c r="BH149" s="38">
        <f>G149*AO149</f>
        <v>0</v>
      </c>
      <c r="BI149" s="38">
        <f>G149*AP149</f>
        <v>0</v>
      </c>
      <c r="BJ149" s="38">
        <f>G149*H149</f>
        <v>0</v>
      </c>
      <c r="BK149" s="38"/>
      <c r="BL149" s="38">
        <v>41</v>
      </c>
      <c r="BW149" s="38">
        <v>21</v>
      </c>
    </row>
    <row r="150" spans="1:12" ht="13.5" customHeight="1">
      <c r="A150" s="74"/>
      <c r="D150" s="194" t="s">
        <v>390</v>
      </c>
      <c r="E150" s="195"/>
      <c r="F150" s="195"/>
      <c r="G150" s="195"/>
      <c r="H150" s="195"/>
      <c r="I150" s="195"/>
      <c r="J150" s="195"/>
      <c r="K150" s="195"/>
      <c r="L150" s="197"/>
    </row>
    <row r="151" spans="1:12" ht="15">
      <c r="A151" s="74"/>
      <c r="D151" s="75" t="s">
        <v>157</v>
      </c>
      <c r="E151" s="75" t="s">
        <v>391</v>
      </c>
      <c r="G151" s="76">
        <v>4</v>
      </c>
      <c r="L151" s="77"/>
    </row>
    <row r="152" spans="1:75" ht="13.5" customHeight="1">
      <c r="A152" s="1" t="s">
        <v>392</v>
      </c>
      <c r="B152" s="2" t="s">
        <v>84</v>
      </c>
      <c r="C152" s="2" t="s">
        <v>393</v>
      </c>
      <c r="D152" s="108" t="s">
        <v>394</v>
      </c>
      <c r="E152" s="103"/>
      <c r="F152" s="2" t="s">
        <v>263</v>
      </c>
      <c r="G152" s="38">
        <f>'Stavební rozpočet'!G152</f>
        <v>226.75</v>
      </c>
      <c r="H152" s="38">
        <f>'Stavební rozpočet'!H152</f>
        <v>0</v>
      </c>
      <c r="I152" s="38">
        <f>G152*H152</f>
        <v>0</v>
      </c>
      <c r="J152" s="38">
        <f>'Stavební rozpočet'!J152</f>
        <v>0.01375</v>
      </c>
      <c r="K152" s="38">
        <f>G152*J152</f>
        <v>3.1178125</v>
      </c>
      <c r="L152" s="71" t="s">
        <v>136</v>
      </c>
      <c r="Z152" s="38">
        <f>IF(AQ152="5",BJ152,0)</f>
        <v>0</v>
      </c>
      <c r="AB152" s="38">
        <f>IF(AQ152="1",BH152,0)</f>
        <v>0</v>
      </c>
      <c r="AC152" s="38">
        <f>IF(AQ152="1",BI152,0)</f>
        <v>0</v>
      </c>
      <c r="AD152" s="38">
        <f>IF(AQ152="7",BH152,0)</f>
        <v>0</v>
      </c>
      <c r="AE152" s="38">
        <f>IF(AQ152="7",BI152,0)</f>
        <v>0</v>
      </c>
      <c r="AF152" s="38">
        <f>IF(AQ152="2",BH152,0)</f>
        <v>0</v>
      </c>
      <c r="AG152" s="38">
        <f>IF(AQ152="2",BI152,0)</f>
        <v>0</v>
      </c>
      <c r="AH152" s="38">
        <f>IF(AQ152="0",BJ152,0)</f>
        <v>0</v>
      </c>
      <c r="AI152" s="50" t="s">
        <v>84</v>
      </c>
      <c r="AJ152" s="38">
        <f>IF(AN152=0,I152,0)</f>
        <v>0</v>
      </c>
      <c r="AK152" s="38">
        <f>IF(AN152=12,I152,0)</f>
        <v>0</v>
      </c>
      <c r="AL152" s="38">
        <f>IF(AN152=21,I152,0)</f>
        <v>0</v>
      </c>
      <c r="AN152" s="38">
        <v>21</v>
      </c>
      <c r="AO152" s="38">
        <f>H152*0.461431227</f>
        <v>0</v>
      </c>
      <c r="AP152" s="38">
        <f>H152*(1-0.461431227)</f>
        <v>0</v>
      </c>
      <c r="AQ152" s="72" t="s">
        <v>132</v>
      </c>
      <c r="AV152" s="38">
        <f>AW152+AX152</f>
        <v>0</v>
      </c>
      <c r="AW152" s="38">
        <f>G152*AO152</f>
        <v>0</v>
      </c>
      <c r="AX152" s="38">
        <f>G152*AP152</f>
        <v>0</v>
      </c>
      <c r="AY152" s="72" t="s">
        <v>365</v>
      </c>
      <c r="AZ152" s="72" t="s">
        <v>366</v>
      </c>
      <c r="BA152" s="50" t="s">
        <v>139</v>
      </c>
      <c r="BB152" s="73">
        <v>100019</v>
      </c>
      <c r="BC152" s="38">
        <f>AW152+AX152</f>
        <v>0</v>
      </c>
      <c r="BD152" s="38">
        <f>H152/(100-BE152)*100</f>
        <v>0</v>
      </c>
      <c r="BE152" s="38">
        <v>0</v>
      </c>
      <c r="BF152" s="38">
        <f>K152</f>
        <v>3.1178125</v>
      </c>
      <c r="BH152" s="38">
        <f>G152*AO152</f>
        <v>0</v>
      </c>
      <c r="BI152" s="38">
        <f>G152*AP152</f>
        <v>0</v>
      </c>
      <c r="BJ152" s="38">
        <f>G152*H152</f>
        <v>0</v>
      </c>
      <c r="BK152" s="38"/>
      <c r="BL152" s="38">
        <v>41</v>
      </c>
      <c r="BW152" s="38">
        <v>21</v>
      </c>
    </row>
    <row r="153" spans="1:12" ht="15">
      <c r="A153" s="74"/>
      <c r="D153" s="75" t="s">
        <v>395</v>
      </c>
      <c r="E153" s="75" t="s">
        <v>396</v>
      </c>
      <c r="G153" s="76">
        <v>161.9</v>
      </c>
      <c r="L153" s="77"/>
    </row>
    <row r="154" spans="1:12" ht="15">
      <c r="A154" s="74"/>
      <c r="D154" s="75" t="s">
        <v>397</v>
      </c>
      <c r="E154" s="75" t="s">
        <v>398</v>
      </c>
      <c r="G154" s="76">
        <v>47.9</v>
      </c>
      <c r="L154" s="77"/>
    </row>
    <row r="155" spans="1:12" ht="15">
      <c r="A155" s="74"/>
      <c r="D155" s="75" t="s">
        <v>399</v>
      </c>
      <c r="E155" s="75" t="s">
        <v>400</v>
      </c>
      <c r="G155" s="76">
        <v>16.95</v>
      </c>
      <c r="L155" s="77"/>
    </row>
    <row r="156" spans="1:75" ht="13.5" customHeight="1">
      <c r="A156" s="1" t="s">
        <v>401</v>
      </c>
      <c r="B156" s="2" t="s">
        <v>84</v>
      </c>
      <c r="C156" s="2" t="s">
        <v>402</v>
      </c>
      <c r="D156" s="108" t="s">
        <v>403</v>
      </c>
      <c r="E156" s="103"/>
      <c r="F156" s="2" t="s">
        <v>263</v>
      </c>
      <c r="G156" s="38">
        <f>'Stavební rozpočet'!G156</f>
        <v>12.47</v>
      </c>
      <c r="H156" s="38">
        <f>'Stavební rozpočet'!H156</f>
        <v>0</v>
      </c>
      <c r="I156" s="38">
        <f>G156*H156</f>
        <v>0</v>
      </c>
      <c r="J156" s="38">
        <f>'Stavební rozpočet'!J156</f>
        <v>0.01555</v>
      </c>
      <c r="K156" s="38">
        <f>G156*J156</f>
        <v>0.1939085</v>
      </c>
      <c r="L156" s="71" t="s">
        <v>136</v>
      </c>
      <c r="Z156" s="38">
        <f>IF(AQ156="5",BJ156,0)</f>
        <v>0</v>
      </c>
      <c r="AB156" s="38">
        <f>IF(AQ156="1",BH156,0)</f>
        <v>0</v>
      </c>
      <c r="AC156" s="38">
        <f>IF(AQ156="1",BI156,0)</f>
        <v>0</v>
      </c>
      <c r="AD156" s="38">
        <f>IF(AQ156="7",BH156,0)</f>
        <v>0</v>
      </c>
      <c r="AE156" s="38">
        <f>IF(AQ156="7",BI156,0)</f>
        <v>0</v>
      </c>
      <c r="AF156" s="38">
        <f>IF(AQ156="2",BH156,0)</f>
        <v>0</v>
      </c>
      <c r="AG156" s="38">
        <f>IF(AQ156="2",BI156,0)</f>
        <v>0</v>
      </c>
      <c r="AH156" s="38">
        <f>IF(AQ156="0",BJ156,0)</f>
        <v>0</v>
      </c>
      <c r="AI156" s="50" t="s">
        <v>84</v>
      </c>
      <c r="AJ156" s="38">
        <f>IF(AN156=0,I156,0)</f>
        <v>0</v>
      </c>
      <c r="AK156" s="38">
        <f>IF(AN156=12,I156,0)</f>
        <v>0</v>
      </c>
      <c r="AL156" s="38">
        <f>IF(AN156=21,I156,0)</f>
        <v>0</v>
      </c>
      <c r="AN156" s="38">
        <v>21</v>
      </c>
      <c r="AO156" s="38">
        <f>H156*0.556912621</f>
        <v>0</v>
      </c>
      <c r="AP156" s="38">
        <f>H156*(1-0.556912621)</f>
        <v>0</v>
      </c>
      <c r="AQ156" s="72" t="s">
        <v>132</v>
      </c>
      <c r="AV156" s="38">
        <f>AW156+AX156</f>
        <v>0</v>
      </c>
      <c r="AW156" s="38">
        <f>G156*AO156</f>
        <v>0</v>
      </c>
      <c r="AX156" s="38">
        <f>G156*AP156</f>
        <v>0</v>
      </c>
      <c r="AY156" s="72" t="s">
        <v>365</v>
      </c>
      <c r="AZ156" s="72" t="s">
        <v>366</v>
      </c>
      <c r="BA156" s="50" t="s">
        <v>139</v>
      </c>
      <c r="BB156" s="73">
        <v>100019</v>
      </c>
      <c r="BC156" s="38">
        <f>AW156+AX156</f>
        <v>0</v>
      </c>
      <c r="BD156" s="38">
        <f>H156/(100-BE156)*100</f>
        <v>0</v>
      </c>
      <c r="BE156" s="38">
        <v>0</v>
      </c>
      <c r="BF156" s="38">
        <f>K156</f>
        <v>0.1939085</v>
      </c>
      <c r="BH156" s="38">
        <f>G156*AO156</f>
        <v>0</v>
      </c>
      <c r="BI156" s="38">
        <f>G156*AP156</f>
        <v>0</v>
      </c>
      <c r="BJ156" s="38">
        <f>G156*H156</f>
        <v>0</v>
      </c>
      <c r="BK156" s="38"/>
      <c r="BL156" s="38">
        <v>41</v>
      </c>
      <c r="BW156" s="38">
        <v>21</v>
      </c>
    </row>
    <row r="157" spans="1:12" ht="13.5" customHeight="1">
      <c r="A157" s="74"/>
      <c r="D157" s="194" t="s">
        <v>404</v>
      </c>
      <c r="E157" s="195"/>
      <c r="F157" s="195"/>
      <c r="G157" s="195"/>
      <c r="H157" s="195"/>
      <c r="I157" s="195"/>
      <c r="J157" s="195"/>
      <c r="K157" s="195"/>
      <c r="L157" s="197"/>
    </row>
    <row r="158" spans="1:12" ht="15">
      <c r="A158" s="74"/>
      <c r="D158" s="75" t="s">
        <v>405</v>
      </c>
      <c r="E158" s="75" t="s">
        <v>4</v>
      </c>
      <c r="G158" s="76">
        <v>12.47</v>
      </c>
      <c r="L158" s="77"/>
    </row>
    <row r="159" spans="1:75" ht="13.5" customHeight="1">
      <c r="A159" s="1" t="s">
        <v>406</v>
      </c>
      <c r="B159" s="2" t="s">
        <v>84</v>
      </c>
      <c r="C159" s="2" t="s">
        <v>407</v>
      </c>
      <c r="D159" s="108" t="s">
        <v>408</v>
      </c>
      <c r="E159" s="103"/>
      <c r="F159" s="2" t="s">
        <v>263</v>
      </c>
      <c r="G159" s="38">
        <f>'Stavební rozpočet'!G159</f>
        <v>0.86</v>
      </c>
      <c r="H159" s="38">
        <f>'Stavební rozpočet'!H159</f>
        <v>0</v>
      </c>
      <c r="I159" s="38">
        <f>G159*H159</f>
        <v>0</v>
      </c>
      <c r="J159" s="38">
        <f>'Stavební rozpočet'!J159</f>
        <v>0.01409</v>
      </c>
      <c r="K159" s="38">
        <f>G159*J159</f>
        <v>0.0121174</v>
      </c>
      <c r="L159" s="71" t="s">
        <v>207</v>
      </c>
      <c r="Z159" s="38">
        <f>IF(AQ159="5",BJ159,0)</f>
        <v>0</v>
      </c>
      <c r="AB159" s="38">
        <f>IF(AQ159="1",BH159,0)</f>
        <v>0</v>
      </c>
      <c r="AC159" s="38">
        <f>IF(AQ159="1",BI159,0)</f>
        <v>0</v>
      </c>
      <c r="AD159" s="38">
        <f>IF(AQ159="7",BH159,0)</f>
        <v>0</v>
      </c>
      <c r="AE159" s="38">
        <f>IF(AQ159="7",BI159,0)</f>
        <v>0</v>
      </c>
      <c r="AF159" s="38">
        <f>IF(AQ159="2",BH159,0)</f>
        <v>0</v>
      </c>
      <c r="AG159" s="38">
        <f>IF(AQ159="2",BI159,0)</f>
        <v>0</v>
      </c>
      <c r="AH159" s="38">
        <f>IF(AQ159="0",BJ159,0)</f>
        <v>0</v>
      </c>
      <c r="AI159" s="50" t="s">
        <v>84</v>
      </c>
      <c r="AJ159" s="38">
        <f>IF(AN159=0,I159,0)</f>
        <v>0</v>
      </c>
      <c r="AK159" s="38">
        <f>IF(AN159=12,I159,0)</f>
        <v>0</v>
      </c>
      <c r="AL159" s="38">
        <f>IF(AN159=21,I159,0)</f>
        <v>0</v>
      </c>
      <c r="AN159" s="38">
        <v>21</v>
      </c>
      <c r="AO159" s="38">
        <f>H159*0.507607825</f>
        <v>0</v>
      </c>
      <c r="AP159" s="38">
        <f>H159*(1-0.507607825)</f>
        <v>0</v>
      </c>
      <c r="AQ159" s="72" t="s">
        <v>132</v>
      </c>
      <c r="AV159" s="38">
        <f>AW159+AX159</f>
        <v>0</v>
      </c>
      <c r="AW159" s="38">
        <f>G159*AO159</f>
        <v>0</v>
      </c>
      <c r="AX159" s="38">
        <f>G159*AP159</f>
        <v>0</v>
      </c>
      <c r="AY159" s="72" t="s">
        <v>365</v>
      </c>
      <c r="AZ159" s="72" t="s">
        <v>366</v>
      </c>
      <c r="BA159" s="50" t="s">
        <v>139</v>
      </c>
      <c r="BB159" s="73">
        <v>100019</v>
      </c>
      <c r="BC159" s="38">
        <f>AW159+AX159</f>
        <v>0</v>
      </c>
      <c r="BD159" s="38">
        <f>H159/(100-BE159)*100</f>
        <v>0</v>
      </c>
      <c r="BE159" s="38">
        <v>0</v>
      </c>
      <c r="BF159" s="38">
        <f>K159</f>
        <v>0.0121174</v>
      </c>
      <c r="BH159" s="38">
        <f>G159*AO159</f>
        <v>0</v>
      </c>
      <c r="BI159" s="38">
        <f>G159*AP159</f>
        <v>0</v>
      </c>
      <c r="BJ159" s="38">
        <f>G159*H159</f>
        <v>0</v>
      </c>
      <c r="BK159" s="38"/>
      <c r="BL159" s="38">
        <v>41</v>
      </c>
      <c r="BW159" s="38">
        <v>21</v>
      </c>
    </row>
    <row r="160" spans="1:12" ht="13.5" customHeight="1">
      <c r="A160" s="74"/>
      <c r="D160" s="194" t="s">
        <v>409</v>
      </c>
      <c r="E160" s="195"/>
      <c r="F160" s="195"/>
      <c r="G160" s="195"/>
      <c r="H160" s="195"/>
      <c r="I160" s="195"/>
      <c r="J160" s="195"/>
      <c r="K160" s="195"/>
      <c r="L160" s="197"/>
    </row>
    <row r="161" spans="1:12" ht="15">
      <c r="A161" s="74"/>
      <c r="D161" s="75" t="s">
        <v>410</v>
      </c>
      <c r="E161" s="75" t="s">
        <v>4</v>
      </c>
      <c r="G161" s="76">
        <v>0.86</v>
      </c>
      <c r="L161" s="77"/>
    </row>
    <row r="162" spans="1:47" ht="15">
      <c r="A162" s="65" t="s">
        <v>4</v>
      </c>
      <c r="B162" s="66" t="s">
        <v>84</v>
      </c>
      <c r="C162" s="66" t="s">
        <v>375</v>
      </c>
      <c r="D162" s="192" t="s">
        <v>411</v>
      </c>
      <c r="E162" s="193"/>
      <c r="F162" s="67" t="s">
        <v>78</v>
      </c>
      <c r="G162" s="67" t="s">
        <v>78</v>
      </c>
      <c r="H162" s="67" t="s">
        <v>78</v>
      </c>
      <c r="I162" s="44">
        <f>SUM(I163:I190)</f>
        <v>0</v>
      </c>
      <c r="J162" s="50" t="s">
        <v>4</v>
      </c>
      <c r="K162" s="44">
        <f>SUM(K163:K190)</f>
        <v>12.2152187</v>
      </c>
      <c r="L162" s="69" t="s">
        <v>4</v>
      </c>
      <c r="AI162" s="50" t="s">
        <v>84</v>
      </c>
      <c r="AS162" s="44">
        <f>SUM(AJ163:AJ190)</f>
        <v>0</v>
      </c>
      <c r="AT162" s="44">
        <f>SUM(AK163:AK190)</f>
        <v>0</v>
      </c>
      <c r="AU162" s="44">
        <f>SUM(AL163:AL190)</f>
        <v>0</v>
      </c>
    </row>
    <row r="163" spans="1:75" ht="13.5" customHeight="1">
      <c r="A163" s="1" t="s">
        <v>412</v>
      </c>
      <c r="B163" s="2" t="s">
        <v>84</v>
      </c>
      <c r="C163" s="2" t="s">
        <v>413</v>
      </c>
      <c r="D163" s="108" t="s">
        <v>414</v>
      </c>
      <c r="E163" s="103"/>
      <c r="F163" s="2" t="s">
        <v>135</v>
      </c>
      <c r="G163" s="38">
        <f>'Stavební rozpočet'!G163</f>
        <v>2.94</v>
      </c>
      <c r="H163" s="38">
        <f>'Stavební rozpočet'!H163</f>
        <v>0</v>
      </c>
      <c r="I163" s="38">
        <f>G163*H163</f>
        <v>0</v>
      </c>
      <c r="J163" s="38">
        <f>'Stavební rozpočet'!J163</f>
        <v>2.52508</v>
      </c>
      <c r="K163" s="38">
        <f>G163*J163</f>
        <v>7.423735199999999</v>
      </c>
      <c r="L163" s="71" t="s">
        <v>136</v>
      </c>
      <c r="Z163" s="38">
        <f>IF(AQ163="5",BJ163,0)</f>
        <v>0</v>
      </c>
      <c r="AB163" s="38">
        <f>IF(AQ163="1",BH163,0)</f>
        <v>0</v>
      </c>
      <c r="AC163" s="38">
        <f>IF(AQ163="1",BI163,0)</f>
        <v>0</v>
      </c>
      <c r="AD163" s="38">
        <f>IF(AQ163="7",BH163,0)</f>
        <v>0</v>
      </c>
      <c r="AE163" s="38">
        <f>IF(AQ163="7",BI163,0)</f>
        <v>0</v>
      </c>
      <c r="AF163" s="38">
        <f>IF(AQ163="2",BH163,0)</f>
        <v>0</v>
      </c>
      <c r="AG163" s="38">
        <f>IF(AQ163="2",BI163,0)</f>
        <v>0</v>
      </c>
      <c r="AH163" s="38">
        <f>IF(AQ163="0",BJ163,0)</f>
        <v>0</v>
      </c>
      <c r="AI163" s="50" t="s">
        <v>84</v>
      </c>
      <c r="AJ163" s="38">
        <f>IF(AN163=0,I163,0)</f>
        <v>0</v>
      </c>
      <c r="AK163" s="38">
        <f>IF(AN163=12,I163,0)</f>
        <v>0</v>
      </c>
      <c r="AL163" s="38">
        <f>IF(AN163=21,I163,0)</f>
        <v>0</v>
      </c>
      <c r="AN163" s="38">
        <v>21</v>
      </c>
      <c r="AO163" s="38">
        <f>H163*0.654851811</f>
        <v>0</v>
      </c>
      <c r="AP163" s="38">
        <f>H163*(1-0.654851811)</f>
        <v>0</v>
      </c>
      <c r="AQ163" s="72" t="s">
        <v>132</v>
      </c>
      <c r="AV163" s="38">
        <f>AW163+AX163</f>
        <v>0</v>
      </c>
      <c r="AW163" s="38">
        <f>G163*AO163</f>
        <v>0</v>
      </c>
      <c r="AX163" s="38">
        <f>G163*AP163</f>
        <v>0</v>
      </c>
      <c r="AY163" s="72" t="s">
        <v>415</v>
      </c>
      <c r="AZ163" s="72" t="s">
        <v>366</v>
      </c>
      <c r="BA163" s="50" t="s">
        <v>139</v>
      </c>
      <c r="BB163" s="73">
        <v>100025</v>
      </c>
      <c r="BC163" s="38">
        <f>AW163+AX163</f>
        <v>0</v>
      </c>
      <c r="BD163" s="38">
        <f>H163/(100-BE163)*100</f>
        <v>0</v>
      </c>
      <c r="BE163" s="38">
        <v>0</v>
      </c>
      <c r="BF163" s="38">
        <f>K163</f>
        <v>7.423735199999999</v>
      </c>
      <c r="BH163" s="38">
        <f>G163*AO163</f>
        <v>0</v>
      </c>
      <c r="BI163" s="38">
        <f>G163*AP163</f>
        <v>0</v>
      </c>
      <c r="BJ163" s="38">
        <f>G163*H163</f>
        <v>0</v>
      </c>
      <c r="BK163" s="38"/>
      <c r="BL163" s="38">
        <v>43</v>
      </c>
      <c r="BW163" s="38">
        <v>21</v>
      </c>
    </row>
    <row r="164" spans="1:12" ht="15">
      <c r="A164" s="74"/>
      <c r="D164" s="75" t="s">
        <v>416</v>
      </c>
      <c r="E164" s="75" t="s">
        <v>417</v>
      </c>
      <c r="G164" s="76">
        <v>0.81</v>
      </c>
      <c r="L164" s="77"/>
    </row>
    <row r="165" spans="1:12" ht="15">
      <c r="A165" s="74"/>
      <c r="D165" s="75" t="s">
        <v>418</v>
      </c>
      <c r="E165" s="75" t="s">
        <v>419</v>
      </c>
      <c r="G165" s="76">
        <v>0.44</v>
      </c>
      <c r="L165" s="77"/>
    </row>
    <row r="166" spans="1:12" ht="15">
      <c r="A166" s="74"/>
      <c r="D166" s="75" t="s">
        <v>420</v>
      </c>
      <c r="E166" s="75" t="s">
        <v>421</v>
      </c>
      <c r="G166" s="76">
        <v>1.69</v>
      </c>
      <c r="L166" s="77"/>
    </row>
    <row r="167" spans="1:75" ht="13.5" customHeight="1">
      <c r="A167" s="1" t="s">
        <v>422</v>
      </c>
      <c r="B167" s="2" t="s">
        <v>84</v>
      </c>
      <c r="C167" s="2" t="s">
        <v>423</v>
      </c>
      <c r="D167" s="108" t="s">
        <v>424</v>
      </c>
      <c r="E167" s="103"/>
      <c r="F167" s="2" t="s">
        <v>189</v>
      </c>
      <c r="G167" s="38">
        <f>'Stavební rozpočet'!G167</f>
        <v>0.29</v>
      </c>
      <c r="H167" s="38">
        <f>'Stavební rozpočet'!H167</f>
        <v>0</v>
      </c>
      <c r="I167" s="38">
        <f>G167*H167</f>
        <v>0</v>
      </c>
      <c r="J167" s="38">
        <f>'Stavební rozpočet'!J167</f>
        <v>1.02092</v>
      </c>
      <c r="K167" s="38">
        <f>G167*J167</f>
        <v>0.2960668</v>
      </c>
      <c r="L167" s="71" t="s">
        <v>136</v>
      </c>
      <c r="Z167" s="38">
        <f>IF(AQ167="5",BJ167,0)</f>
        <v>0</v>
      </c>
      <c r="AB167" s="38">
        <f>IF(AQ167="1",BH167,0)</f>
        <v>0</v>
      </c>
      <c r="AC167" s="38">
        <f>IF(AQ167="1",BI167,0)</f>
        <v>0</v>
      </c>
      <c r="AD167" s="38">
        <f>IF(AQ167="7",BH167,0)</f>
        <v>0</v>
      </c>
      <c r="AE167" s="38">
        <f>IF(AQ167="7",BI167,0)</f>
        <v>0</v>
      </c>
      <c r="AF167" s="38">
        <f>IF(AQ167="2",BH167,0)</f>
        <v>0</v>
      </c>
      <c r="AG167" s="38">
        <f>IF(AQ167="2",BI167,0)</f>
        <v>0</v>
      </c>
      <c r="AH167" s="38">
        <f>IF(AQ167="0",BJ167,0)</f>
        <v>0</v>
      </c>
      <c r="AI167" s="50" t="s">
        <v>84</v>
      </c>
      <c r="AJ167" s="38">
        <f>IF(AN167=0,I167,0)</f>
        <v>0</v>
      </c>
      <c r="AK167" s="38">
        <f>IF(AN167=12,I167,0)</f>
        <v>0</v>
      </c>
      <c r="AL167" s="38">
        <f>IF(AN167=21,I167,0)</f>
        <v>0</v>
      </c>
      <c r="AN167" s="38">
        <v>21</v>
      </c>
      <c r="AO167" s="38">
        <f>H167*0.594939876</f>
        <v>0</v>
      </c>
      <c r="AP167" s="38">
        <f>H167*(1-0.594939876)</f>
        <v>0</v>
      </c>
      <c r="AQ167" s="72" t="s">
        <v>132</v>
      </c>
      <c r="AV167" s="38">
        <f>AW167+AX167</f>
        <v>0</v>
      </c>
      <c r="AW167" s="38">
        <f>G167*AO167</f>
        <v>0</v>
      </c>
      <c r="AX167" s="38">
        <f>G167*AP167</f>
        <v>0</v>
      </c>
      <c r="AY167" s="72" t="s">
        <v>415</v>
      </c>
      <c r="AZ167" s="72" t="s">
        <v>366</v>
      </c>
      <c r="BA167" s="50" t="s">
        <v>139</v>
      </c>
      <c r="BB167" s="73">
        <v>100025</v>
      </c>
      <c r="BC167" s="38">
        <f>AW167+AX167</f>
        <v>0</v>
      </c>
      <c r="BD167" s="38">
        <f>H167/(100-BE167)*100</f>
        <v>0</v>
      </c>
      <c r="BE167" s="38">
        <v>0</v>
      </c>
      <c r="BF167" s="38">
        <f>K167</f>
        <v>0.2960668</v>
      </c>
      <c r="BH167" s="38">
        <f>G167*AO167</f>
        <v>0</v>
      </c>
      <c r="BI167" s="38">
        <f>G167*AP167</f>
        <v>0</v>
      </c>
      <c r="BJ167" s="38">
        <f>G167*H167</f>
        <v>0</v>
      </c>
      <c r="BK167" s="38"/>
      <c r="BL167" s="38">
        <v>43</v>
      </c>
      <c r="BW167" s="38">
        <v>21</v>
      </c>
    </row>
    <row r="168" spans="1:12" ht="13.5" customHeight="1">
      <c r="A168" s="74"/>
      <c r="D168" s="194" t="s">
        <v>425</v>
      </c>
      <c r="E168" s="195"/>
      <c r="F168" s="195"/>
      <c r="G168" s="195"/>
      <c r="H168" s="195"/>
      <c r="I168" s="195"/>
      <c r="J168" s="195"/>
      <c r="K168" s="195"/>
      <c r="L168" s="197"/>
    </row>
    <row r="169" spans="1:12" ht="15">
      <c r="A169" s="74"/>
      <c r="D169" s="75" t="s">
        <v>426</v>
      </c>
      <c r="E169" s="75" t="s">
        <v>4</v>
      </c>
      <c r="G169" s="76">
        <v>0.29</v>
      </c>
      <c r="L169" s="77"/>
    </row>
    <row r="170" spans="1:75" ht="13.5" customHeight="1">
      <c r="A170" s="1" t="s">
        <v>427</v>
      </c>
      <c r="B170" s="2" t="s">
        <v>84</v>
      </c>
      <c r="C170" s="2" t="s">
        <v>428</v>
      </c>
      <c r="D170" s="108" t="s">
        <v>429</v>
      </c>
      <c r="E170" s="103"/>
      <c r="F170" s="2" t="s">
        <v>263</v>
      </c>
      <c r="G170" s="38">
        <f>'Stavební rozpočet'!G170</f>
        <v>18.72</v>
      </c>
      <c r="H170" s="38">
        <f>'Stavební rozpočet'!H170</f>
        <v>0</v>
      </c>
      <c r="I170" s="38">
        <f>G170*H170</f>
        <v>0</v>
      </c>
      <c r="J170" s="38">
        <f>'Stavební rozpočet'!J170</f>
        <v>0.04597</v>
      </c>
      <c r="K170" s="38">
        <f>G170*J170</f>
        <v>0.8605584</v>
      </c>
      <c r="L170" s="71" t="s">
        <v>136</v>
      </c>
      <c r="Z170" s="38">
        <f>IF(AQ170="5",BJ170,0)</f>
        <v>0</v>
      </c>
      <c r="AB170" s="38">
        <f>IF(AQ170="1",BH170,0)</f>
        <v>0</v>
      </c>
      <c r="AC170" s="38">
        <f>IF(AQ170="1",BI170,0)</f>
        <v>0</v>
      </c>
      <c r="AD170" s="38">
        <f>IF(AQ170="7",BH170,0)</f>
        <v>0</v>
      </c>
      <c r="AE170" s="38">
        <f>IF(AQ170="7",BI170,0)</f>
        <v>0</v>
      </c>
      <c r="AF170" s="38">
        <f>IF(AQ170="2",BH170,0)</f>
        <v>0</v>
      </c>
      <c r="AG170" s="38">
        <f>IF(AQ170="2",BI170,0)</f>
        <v>0</v>
      </c>
      <c r="AH170" s="38">
        <f>IF(AQ170="0",BJ170,0)</f>
        <v>0</v>
      </c>
      <c r="AI170" s="50" t="s">
        <v>84</v>
      </c>
      <c r="AJ170" s="38">
        <f>IF(AN170=0,I170,0)</f>
        <v>0</v>
      </c>
      <c r="AK170" s="38">
        <f>IF(AN170=12,I170,0)</f>
        <v>0</v>
      </c>
      <c r="AL170" s="38">
        <f>IF(AN170=21,I170,0)</f>
        <v>0</v>
      </c>
      <c r="AN170" s="38">
        <v>21</v>
      </c>
      <c r="AO170" s="38">
        <f>H170*0.682585103</f>
        <v>0</v>
      </c>
      <c r="AP170" s="38">
        <f>H170*(1-0.682585103)</f>
        <v>0</v>
      </c>
      <c r="AQ170" s="72" t="s">
        <v>132</v>
      </c>
      <c r="AV170" s="38">
        <f>AW170+AX170</f>
        <v>0</v>
      </c>
      <c r="AW170" s="38">
        <f>G170*AO170</f>
        <v>0</v>
      </c>
      <c r="AX170" s="38">
        <f>G170*AP170</f>
        <v>0</v>
      </c>
      <c r="AY170" s="72" t="s">
        <v>415</v>
      </c>
      <c r="AZ170" s="72" t="s">
        <v>366</v>
      </c>
      <c r="BA170" s="50" t="s">
        <v>139</v>
      </c>
      <c r="BB170" s="73">
        <v>100025</v>
      </c>
      <c r="BC170" s="38">
        <f>AW170+AX170</f>
        <v>0</v>
      </c>
      <c r="BD170" s="38">
        <f>H170/(100-BE170)*100</f>
        <v>0</v>
      </c>
      <c r="BE170" s="38">
        <v>0</v>
      </c>
      <c r="BF170" s="38">
        <f>K170</f>
        <v>0.8605584</v>
      </c>
      <c r="BH170" s="38">
        <f>G170*AO170</f>
        <v>0</v>
      </c>
      <c r="BI170" s="38">
        <f>G170*AP170</f>
        <v>0</v>
      </c>
      <c r="BJ170" s="38">
        <f>G170*H170</f>
        <v>0</v>
      </c>
      <c r="BK170" s="38"/>
      <c r="BL170" s="38">
        <v>43</v>
      </c>
      <c r="BW170" s="38">
        <v>21</v>
      </c>
    </row>
    <row r="171" spans="1:12" ht="13.5" customHeight="1">
      <c r="A171" s="74"/>
      <c r="D171" s="194" t="s">
        <v>430</v>
      </c>
      <c r="E171" s="195"/>
      <c r="F171" s="195"/>
      <c r="G171" s="195"/>
      <c r="H171" s="195"/>
      <c r="I171" s="195"/>
      <c r="J171" s="195"/>
      <c r="K171" s="195"/>
      <c r="L171" s="197"/>
    </row>
    <row r="172" spans="1:12" ht="15">
      <c r="A172" s="74"/>
      <c r="D172" s="75" t="s">
        <v>431</v>
      </c>
      <c r="E172" s="75" t="s">
        <v>432</v>
      </c>
      <c r="G172" s="76">
        <v>7.49</v>
      </c>
      <c r="L172" s="77"/>
    </row>
    <row r="173" spans="1:12" ht="15">
      <c r="A173" s="74"/>
      <c r="D173" s="75" t="s">
        <v>433</v>
      </c>
      <c r="E173" s="75" t="s">
        <v>434</v>
      </c>
      <c r="G173" s="76">
        <v>8.79</v>
      </c>
      <c r="L173" s="77"/>
    </row>
    <row r="174" spans="1:12" ht="15">
      <c r="A174" s="74"/>
      <c r="D174" s="75" t="s">
        <v>435</v>
      </c>
      <c r="E174" s="75" t="s">
        <v>436</v>
      </c>
      <c r="G174" s="76">
        <v>2.44</v>
      </c>
      <c r="L174" s="77"/>
    </row>
    <row r="175" spans="1:75" ht="13.5" customHeight="1">
      <c r="A175" s="1" t="s">
        <v>437</v>
      </c>
      <c r="B175" s="2" t="s">
        <v>84</v>
      </c>
      <c r="C175" s="2" t="s">
        <v>438</v>
      </c>
      <c r="D175" s="108" t="s">
        <v>439</v>
      </c>
      <c r="E175" s="103"/>
      <c r="F175" s="2" t="s">
        <v>263</v>
      </c>
      <c r="G175" s="38">
        <f>'Stavební rozpočet'!G175</f>
        <v>18.72</v>
      </c>
      <c r="H175" s="38">
        <f>'Stavební rozpočet'!H175</f>
        <v>0</v>
      </c>
      <c r="I175" s="38">
        <f>G175*H175</f>
        <v>0</v>
      </c>
      <c r="J175" s="38">
        <f>'Stavební rozpočet'!J175</f>
        <v>0</v>
      </c>
      <c r="K175" s="38">
        <f>G175*J175</f>
        <v>0</v>
      </c>
      <c r="L175" s="71" t="s">
        <v>136</v>
      </c>
      <c r="Z175" s="38">
        <f>IF(AQ175="5",BJ175,0)</f>
        <v>0</v>
      </c>
      <c r="AB175" s="38">
        <f>IF(AQ175="1",BH175,0)</f>
        <v>0</v>
      </c>
      <c r="AC175" s="38">
        <f>IF(AQ175="1",BI175,0)</f>
        <v>0</v>
      </c>
      <c r="AD175" s="38">
        <f>IF(AQ175="7",BH175,0)</f>
        <v>0</v>
      </c>
      <c r="AE175" s="38">
        <f>IF(AQ175="7",BI175,0)</f>
        <v>0</v>
      </c>
      <c r="AF175" s="38">
        <f>IF(AQ175="2",BH175,0)</f>
        <v>0</v>
      </c>
      <c r="AG175" s="38">
        <f>IF(AQ175="2",BI175,0)</f>
        <v>0</v>
      </c>
      <c r="AH175" s="38">
        <f>IF(AQ175="0",BJ175,0)</f>
        <v>0</v>
      </c>
      <c r="AI175" s="50" t="s">
        <v>84</v>
      </c>
      <c r="AJ175" s="38">
        <f>IF(AN175=0,I175,0)</f>
        <v>0</v>
      </c>
      <c r="AK175" s="38">
        <f>IF(AN175=12,I175,0)</f>
        <v>0</v>
      </c>
      <c r="AL175" s="38">
        <f>IF(AN175=21,I175,0)</f>
        <v>0</v>
      </c>
      <c r="AN175" s="38">
        <v>21</v>
      </c>
      <c r="AO175" s="38">
        <f>H175*0</f>
        <v>0</v>
      </c>
      <c r="AP175" s="38">
        <f>H175*(1-0)</f>
        <v>0</v>
      </c>
      <c r="AQ175" s="72" t="s">
        <v>132</v>
      </c>
      <c r="AV175" s="38">
        <f>AW175+AX175</f>
        <v>0</v>
      </c>
      <c r="AW175" s="38">
        <f>G175*AO175</f>
        <v>0</v>
      </c>
      <c r="AX175" s="38">
        <f>G175*AP175</f>
        <v>0</v>
      </c>
      <c r="AY175" s="72" t="s">
        <v>415</v>
      </c>
      <c r="AZ175" s="72" t="s">
        <v>366</v>
      </c>
      <c r="BA175" s="50" t="s">
        <v>139</v>
      </c>
      <c r="BB175" s="73">
        <v>100025</v>
      </c>
      <c r="BC175" s="38">
        <f>AW175+AX175</f>
        <v>0</v>
      </c>
      <c r="BD175" s="38">
        <f>H175/(100-BE175)*100</f>
        <v>0</v>
      </c>
      <c r="BE175" s="38">
        <v>0</v>
      </c>
      <c r="BF175" s="38">
        <f>K175</f>
        <v>0</v>
      </c>
      <c r="BH175" s="38">
        <f>G175*AO175</f>
        <v>0</v>
      </c>
      <c r="BI175" s="38">
        <f>G175*AP175</f>
        <v>0</v>
      </c>
      <c r="BJ175" s="38">
        <f>G175*H175</f>
        <v>0</v>
      </c>
      <c r="BK175" s="38"/>
      <c r="BL175" s="38">
        <v>43</v>
      </c>
      <c r="BW175" s="38">
        <v>21</v>
      </c>
    </row>
    <row r="176" spans="1:12" ht="13.5" customHeight="1">
      <c r="A176" s="74"/>
      <c r="D176" s="194" t="s">
        <v>430</v>
      </c>
      <c r="E176" s="195"/>
      <c r="F176" s="195"/>
      <c r="G176" s="195"/>
      <c r="H176" s="195"/>
      <c r="I176" s="195"/>
      <c r="J176" s="195"/>
      <c r="K176" s="195"/>
      <c r="L176" s="197"/>
    </row>
    <row r="177" spans="1:12" ht="15">
      <c r="A177" s="74"/>
      <c r="D177" s="75" t="s">
        <v>440</v>
      </c>
      <c r="E177" s="75" t="s">
        <v>4</v>
      </c>
      <c r="G177" s="76">
        <v>18.72</v>
      </c>
      <c r="L177" s="77"/>
    </row>
    <row r="178" spans="1:75" ht="13.5" customHeight="1">
      <c r="A178" s="1" t="s">
        <v>441</v>
      </c>
      <c r="B178" s="2" t="s">
        <v>84</v>
      </c>
      <c r="C178" s="2" t="s">
        <v>442</v>
      </c>
      <c r="D178" s="108" t="s">
        <v>443</v>
      </c>
      <c r="E178" s="103"/>
      <c r="F178" s="2" t="s">
        <v>214</v>
      </c>
      <c r="G178" s="38">
        <f>'Stavební rozpočet'!G178</f>
        <v>30.58</v>
      </c>
      <c r="H178" s="38">
        <f>'Stavební rozpočet'!H178</f>
        <v>0</v>
      </c>
      <c r="I178" s="38">
        <f>G178*H178</f>
        <v>0</v>
      </c>
      <c r="J178" s="38">
        <f>'Stavební rozpočet'!J178</f>
        <v>0.11369</v>
      </c>
      <c r="K178" s="38">
        <f>G178*J178</f>
        <v>3.4766402</v>
      </c>
      <c r="L178" s="71" t="s">
        <v>136</v>
      </c>
      <c r="Z178" s="38">
        <f>IF(AQ178="5",BJ178,0)</f>
        <v>0</v>
      </c>
      <c r="AB178" s="38">
        <f>IF(AQ178="1",BH178,0)</f>
        <v>0</v>
      </c>
      <c r="AC178" s="38">
        <f>IF(AQ178="1",BI178,0)</f>
        <v>0</v>
      </c>
      <c r="AD178" s="38">
        <f>IF(AQ178="7",BH178,0)</f>
        <v>0</v>
      </c>
      <c r="AE178" s="38">
        <f>IF(AQ178="7",BI178,0)</f>
        <v>0</v>
      </c>
      <c r="AF178" s="38">
        <f>IF(AQ178="2",BH178,0)</f>
        <v>0</v>
      </c>
      <c r="AG178" s="38">
        <f>IF(AQ178="2",BI178,0)</f>
        <v>0</v>
      </c>
      <c r="AH178" s="38">
        <f>IF(AQ178="0",BJ178,0)</f>
        <v>0</v>
      </c>
      <c r="AI178" s="50" t="s">
        <v>84</v>
      </c>
      <c r="AJ178" s="38">
        <f>IF(AN178=0,I178,0)</f>
        <v>0</v>
      </c>
      <c r="AK178" s="38">
        <f>IF(AN178=12,I178,0)</f>
        <v>0</v>
      </c>
      <c r="AL178" s="38">
        <f>IF(AN178=21,I178,0)</f>
        <v>0</v>
      </c>
      <c r="AN178" s="38">
        <v>21</v>
      </c>
      <c r="AO178" s="38">
        <f>H178*0.385004457</f>
        <v>0</v>
      </c>
      <c r="AP178" s="38">
        <f>H178*(1-0.385004457)</f>
        <v>0</v>
      </c>
      <c r="AQ178" s="72" t="s">
        <v>132</v>
      </c>
      <c r="AV178" s="38">
        <f>AW178+AX178</f>
        <v>0</v>
      </c>
      <c r="AW178" s="38">
        <f>G178*AO178</f>
        <v>0</v>
      </c>
      <c r="AX178" s="38">
        <f>G178*AP178</f>
        <v>0</v>
      </c>
      <c r="AY178" s="72" t="s">
        <v>415</v>
      </c>
      <c r="AZ178" s="72" t="s">
        <v>366</v>
      </c>
      <c r="BA178" s="50" t="s">
        <v>139</v>
      </c>
      <c r="BB178" s="73">
        <v>100025</v>
      </c>
      <c r="BC178" s="38">
        <f>AW178+AX178</f>
        <v>0</v>
      </c>
      <c r="BD178" s="38">
        <f>H178/(100-BE178)*100</f>
        <v>0</v>
      </c>
      <c r="BE178" s="38">
        <v>0</v>
      </c>
      <c r="BF178" s="38">
        <f>K178</f>
        <v>3.4766402</v>
      </c>
      <c r="BH178" s="38">
        <f>G178*AO178</f>
        <v>0</v>
      </c>
      <c r="BI178" s="38">
        <f>G178*AP178</f>
        <v>0</v>
      </c>
      <c r="BJ178" s="38">
        <f>G178*H178</f>
        <v>0</v>
      </c>
      <c r="BK178" s="38"/>
      <c r="BL178" s="38">
        <v>43</v>
      </c>
      <c r="BW178" s="38">
        <v>21</v>
      </c>
    </row>
    <row r="179" spans="1:12" ht="15">
      <c r="A179" s="74"/>
      <c r="D179" s="75" t="s">
        <v>444</v>
      </c>
      <c r="E179" s="75" t="s">
        <v>445</v>
      </c>
      <c r="G179" s="76">
        <v>20</v>
      </c>
      <c r="L179" s="77"/>
    </row>
    <row r="180" spans="1:12" ht="15">
      <c r="A180" s="74"/>
      <c r="D180" s="75" t="s">
        <v>446</v>
      </c>
      <c r="E180" s="75" t="s">
        <v>447</v>
      </c>
      <c r="G180" s="76">
        <v>10.58</v>
      </c>
      <c r="L180" s="77"/>
    </row>
    <row r="181" spans="1:75" ht="13.5" customHeight="1">
      <c r="A181" s="1" t="s">
        <v>448</v>
      </c>
      <c r="B181" s="2" t="s">
        <v>84</v>
      </c>
      <c r="C181" s="2" t="s">
        <v>449</v>
      </c>
      <c r="D181" s="108" t="s">
        <v>450</v>
      </c>
      <c r="E181" s="103"/>
      <c r="F181" s="2" t="s">
        <v>263</v>
      </c>
      <c r="G181" s="38">
        <f>'Stavební rozpočet'!G181</f>
        <v>7.37</v>
      </c>
      <c r="H181" s="38">
        <f>'Stavební rozpočet'!H181</f>
        <v>0</v>
      </c>
      <c r="I181" s="38">
        <f>G181*H181</f>
        <v>0</v>
      </c>
      <c r="J181" s="38">
        <f>'Stavební rozpočet'!J181</f>
        <v>0.01693</v>
      </c>
      <c r="K181" s="38">
        <f>G181*J181</f>
        <v>0.12477410000000001</v>
      </c>
      <c r="L181" s="71" t="s">
        <v>136</v>
      </c>
      <c r="Z181" s="38">
        <f>IF(AQ181="5",BJ181,0)</f>
        <v>0</v>
      </c>
      <c r="AB181" s="38">
        <f>IF(AQ181="1",BH181,0)</f>
        <v>0</v>
      </c>
      <c r="AC181" s="38">
        <f>IF(AQ181="1",BI181,0)</f>
        <v>0</v>
      </c>
      <c r="AD181" s="38">
        <f>IF(AQ181="7",BH181,0)</f>
        <v>0</v>
      </c>
      <c r="AE181" s="38">
        <f>IF(AQ181="7",BI181,0)</f>
        <v>0</v>
      </c>
      <c r="AF181" s="38">
        <f>IF(AQ181="2",BH181,0)</f>
        <v>0</v>
      </c>
      <c r="AG181" s="38">
        <f>IF(AQ181="2",BI181,0)</f>
        <v>0</v>
      </c>
      <c r="AH181" s="38">
        <f>IF(AQ181="0",BJ181,0)</f>
        <v>0</v>
      </c>
      <c r="AI181" s="50" t="s">
        <v>84</v>
      </c>
      <c r="AJ181" s="38">
        <f>IF(AN181=0,I181,0)</f>
        <v>0</v>
      </c>
      <c r="AK181" s="38">
        <f>IF(AN181=12,I181,0)</f>
        <v>0</v>
      </c>
      <c r="AL181" s="38">
        <f>IF(AN181=21,I181,0)</f>
        <v>0</v>
      </c>
      <c r="AN181" s="38">
        <v>21</v>
      </c>
      <c r="AO181" s="38">
        <f>H181*0.629220428</f>
        <v>0</v>
      </c>
      <c r="AP181" s="38">
        <f>H181*(1-0.629220428)</f>
        <v>0</v>
      </c>
      <c r="AQ181" s="72" t="s">
        <v>132</v>
      </c>
      <c r="AV181" s="38">
        <f>AW181+AX181</f>
        <v>0</v>
      </c>
      <c r="AW181" s="38">
        <f>G181*AO181</f>
        <v>0</v>
      </c>
      <c r="AX181" s="38">
        <f>G181*AP181</f>
        <v>0</v>
      </c>
      <c r="AY181" s="72" t="s">
        <v>415</v>
      </c>
      <c r="AZ181" s="72" t="s">
        <v>366</v>
      </c>
      <c r="BA181" s="50" t="s">
        <v>139</v>
      </c>
      <c r="BB181" s="73">
        <v>100025</v>
      </c>
      <c r="BC181" s="38">
        <f>AW181+AX181</f>
        <v>0</v>
      </c>
      <c r="BD181" s="38">
        <f>H181/(100-BE181)*100</f>
        <v>0</v>
      </c>
      <c r="BE181" s="38">
        <v>0</v>
      </c>
      <c r="BF181" s="38">
        <f>K181</f>
        <v>0.12477410000000001</v>
      </c>
      <c r="BH181" s="38">
        <f>G181*AO181</f>
        <v>0</v>
      </c>
      <c r="BI181" s="38">
        <f>G181*AP181</f>
        <v>0</v>
      </c>
      <c r="BJ181" s="38">
        <f>G181*H181</f>
        <v>0</v>
      </c>
      <c r="BK181" s="38"/>
      <c r="BL181" s="38">
        <v>43</v>
      </c>
      <c r="BW181" s="38">
        <v>21</v>
      </c>
    </row>
    <row r="182" spans="1:12" ht="15">
      <c r="A182" s="74"/>
      <c r="D182" s="75" t="s">
        <v>451</v>
      </c>
      <c r="E182" s="75" t="s">
        <v>452</v>
      </c>
      <c r="G182" s="76">
        <v>3.97</v>
      </c>
      <c r="L182" s="77"/>
    </row>
    <row r="183" spans="1:12" ht="15">
      <c r="A183" s="74"/>
      <c r="D183" s="75" t="s">
        <v>453</v>
      </c>
      <c r="E183" s="75" t="s">
        <v>454</v>
      </c>
      <c r="G183" s="76">
        <v>3.4</v>
      </c>
      <c r="L183" s="77"/>
    </row>
    <row r="184" spans="1:75" ht="13.5" customHeight="1">
      <c r="A184" s="1" t="s">
        <v>455</v>
      </c>
      <c r="B184" s="2" t="s">
        <v>84</v>
      </c>
      <c r="C184" s="2" t="s">
        <v>456</v>
      </c>
      <c r="D184" s="108" t="s">
        <v>457</v>
      </c>
      <c r="E184" s="103"/>
      <c r="F184" s="2" t="s">
        <v>263</v>
      </c>
      <c r="G184" s="38">
        <f>'Stavební rozpočet'!G184</f>
        <v>7.37</v>
      </c>
      <c r="H184" s="38">
        <f>'Stavební rozpočet'!H184</f>
        <v>0</v>
      </c>
      <c r="I184" s="38">
        <f>G184*H184</f>
        <v>0</v>
      </c>
      <c r="J184" s="38">
        <f>'Stavební rozpočet'!J184</f>
        <v>0</v>
      </c>
      <c r="K184" s="38">
        <f>G184*J184</f>
        <v>0</v>
      </c>
      <c r="L184" s="71" t="s">
        <v>136</v>
      </c>
      <c r="Z184" s="38">
        <f>IF(AQ184="5",BJ184,0)</f>
        <v>0</v>
      </c>
      <c r="AB184" s="38">
        <f>IF(AQ184="1",BH184,0)</f>
        <v>0</v>
      </c>
      <c r="AC184" s="38">
        <f>IF(AQ184="1",BI184,0)</f>
        <v>0</v>
      </c>
      <c r="AD184" s="38">
        <f>IF(AQ184="7",BH184,0)</f>
        <v>0</v>
      </c>
      <c r="AE184" s="38">
        <f>IF(AQ184="7",BI184,0)</f>
        <v>0</v>
      </c>
      <c r="AF184" s="38">
        <f>IF(AQ184="2",BH184,0)</f>
        <v>0</v>
      </c>
      <c r="AG184" s="38">
        <f>IF(AQ184="2",BI184,0)</f>
        <v>0</v>
      </c>
      <c r="AH184" s="38">
        <f>IF(AQ184="0",BJ184,0)</f>
        <v>0</v>
      </c>
      <c r="AI184" s="50" t="s">
        <v>84</v>
      </c>
      <c r="AJ184" s="38">
        <f>IF(AN184=0,I184,0)</f>
        <v>0</v>
      </c>
      <c r="AK184" s="38">
        <f>IF(AN184=12,I184,0)</f>
        <v>0</v>
      </c>
      <c r="AL184" s="38">
        <f>IF(AN184=21,I184,0)</f>
        <v>0</v>
      </c>
      <c r="AN184" s="38">
        <v>21</v>
      </c>
      <c r="AO184" s="38">
        <f>H184*0</f>
        <v>0</v>
      </c>
      <c r="AP184" s="38">
        <f>H184*(1-0)</f>
        <v>0</v>
      </c>
      <c r="AQ184" s="72" t="s">
        <v>132</v>
      </c>
      <c r="AV184" s="38">
        <f>AW184+AX184</f>
        <v>0</v>
      </c>
      <c r="AW184" s="38">
        <f>G184*AO184</f>
        <v>0</v>
      </c>
      <c r="AX184" s="38">
        <f>G184*AP184</f>
        <v>0</v>
      </c>
      <c r="AY184" s="72" t="s">
        <v>415</v>
      </c>
      <c r="AZ184" s="72" t="s">
        <v>366</v>
      </c>
      <c r="BA184" s="50" t="s">
        <v>139</v>
      </c>
      <c r="BB184" s="73">
        <v>100025</v>
      </c>
      <c r="BC184" s="38">
        <f>AW184+AX184</f>
        <v>0</v>
      </c>
      <c r="BD184" s="38">
        <f>H184/(100-BE184)*100</f>
        <v>0</v>
      </c>
      <c r="BE184" s="38">
        <v>0</v>
      </c>
      <c r="BF184" s="38">
        <f>K184</f>
        <v>0</v>
      </c>
      <c r="BH184" s="38">
        <f>G184*AO184</f>
        <v>0</v>
      </c>
      <c r="BI184" s="38">
        <f>G184*AP184</f>
        <v>0</v>
      </c>
      <c r="BJ184" s="38">
        <f>G184*H184</f>
        <v>0</v>
      </c>
      <c r="BK184" s="38"/>
      <c r="BL184" s="38">
        <v>43</v>
      </c>
      <c r="BW184" s="38">
        <v>21</v>
      </c>
    </row>
    <row r="185" spans="1:12" ht="15">
      <c r="A185" s="74"/>
      <c r="D185" s="75" t="s">
        <v>458</v>
      </c>
      <c r="E185" s="75" t="s">
        <v>4</v>
      </c>
      <c r="G185" s="76">
        <v>7.37</v>
      </c>
      <c r="L185" s="77"/>
    </row>
    <row r="186" spans="1:75" ht="13.5" customHeight="1">
      <c r="A186" s="1" t="s">
        <v>459</v>
      </c>
      <c r="B186" s="2" t="s">
        <v>84</v>
      </c>
      <c r="C186" s="2" t="s">
        <v>460</v>
      </c>
      <c r="D186" s="108" t="s">
        <v>461</v>
      </c>
      <c r="E186" s="103"/>
      <c r="F186" s="2" t="s">
        <v>263</v>
      </c>
      <c r="G186" s="38">
        <f>'Stavební rozpočet'!G186</f>
        <v>1.8</v>
      </c>
      <c r="H186" s="38">
        <f>'Stavební rozpočet'!H186</f>
        <v>0</v>
      </c>
      <c r="I186" s="38">
        <f>G186*H186</f>
        <v>0</v>
      </c>
      <c r="J186" s="38">
        <f>'Stavební rozpočet'!J186</f>
        <v>0.01858</v>
      </c>
      <c r="K186" s="38">
        <f>G186*J186</f>
        <v>0.033444</v>
      </c>
      <c r="L186" s="71" t="s">
        <v>136</v>
      </c>
      <c r="Z186" s="38">
        <f>IF(AQ186="5",BJ186,0)</f>
        <v>0</v>
      </c>
      <c r="AB186" s="38">
        <f>IF(AQ186="1",BH186,0)</f>
        <v>0</v>
      </c>
      <c r="AC186" s="38">
        <f>IF(AQ186="1",BI186,0)</f>
        <v>0</v>
      </c>
      <c r="AD186" s="38">
        <f>IF(AQ186="7",BH186,0)</f>
        <v>0</v>
      </c>
      <c r="AE186" s="38">
        <f>IF(AQ186="7",BI186,0)</f>
        <v>0</v>
      </c>
      <c r="AF186" s="38">
        <f>IF(AQ186="2",BH186,0)</f>
        <v>0</v>
      </c>
      <c r="AG186" s="38">
        <f>IF(AQ186="2",BI186,0)</f>
        <v>0</v>
      </c>
      <c r="AH186" s="38">
        <f>IF(AQ186="0",BJ186,0)</f>
        <v>0</v>
      </c>
      <c r="AI186" s="50" t="s">
        <v>84</v>
      </c>
      <c r="AJ186" s="38">
        <f>IF(AN186=0,I186,0)</f>
        <v>0</v>
      </c>
      <c r="AK186" s="38">
        <f>IF(AN186=12,I186,0)</f>
        <v>0</v>
      </c>
      <c r="AL186" s="38">
        <f>IF(AN186=21,I186,0)</f>
        <v>0</v>
      </c>
      <c r="AN186" s="38">
        <v>21</v>
      </c>
      <c r="AO186" s="38">
        <f>H186*0.516503448</f>
        <v>0</v>
      </c>
      <c r="AP186" s="38">
        <f>H186*(1-0.516503448)</f>
        <v>0</v>
      </c>
      <c r="AQ186" s="72" t="s">
        <v>132</v>
      </c>
      <c r="AV186" s="38">
        <f>AW186+AX186</f>
        <v>0</v>
      </c>
      <c r="AW186" s="38">
        <f>G186*AO186</f>
        <v>0</v>
      </c>
      <c r="AX186" s="38">
        <f>G186*AP186</f>
        <v>0</v>
      </c>
      <c r="AY186" s="72" t="s">
        <v>415</v>
      </c>
      <c r="AZ186" s="72" t="s">
        <v>366</v>
      </c>
      <c r="BA186" s="50" t="s">
        <v>139</v>
      </c>
      <c r="BB186" s="73">
        <v>100025</v>
      </c>
      <c r="BC186" s="38">
        <f>AW186+AX186</f>
        <v>0</v>
      </c>
      <c r="BD186" s="38">
        <f>H186/(100-BE186)*100</f>
        <v>0</v>
      </c>
      <c r="BE186" s="38">
        <v>0</v>
      </c>
      <c r="BF186" s="38">
        <f>K186</f>
        <v>0.033444</v>
      </c>
      <c r="BH186" s="38">
        <f>G186*AO186</f>
        <v>0</v>
      </c>
      <c r="BI186" s="38">
        <f>G186*AP186</f>
        <v>0</v>
      </c>
      <c r="BJ186" s="38">
        <f>G186*H186</f>
        <v>0</v>
      </c>
      <c r="BK186" s="38"/>
      <c r="BL186" s="38">
        <v>43</v>
      </c>
      <c r="BW186" s="38">
        <v>21</v>
      </c>
    </row>
    <row r="187" spans="1:12" ht="15">
      <c r="A187" s="74"/>
      <c r="D187" s="75" t="s">
        <v>462</v>
      </c>
      <c r="E187" s="75" t="s">
        <v>463</v>
      </c>
      <c r="G187" s="76">
        <v>1.8</v>
      </c>
      <c r="L187" s="77"/>
    </row>
    <row r="188" spans="1:75" ht="13.5" customHeight="1">
      <c r="A188" s="1" t="s">
        <v>464</v>
      </c>
      <c r="B188" s="2" t="s">
        <v>84</v>
      </c>
      <c r="C188" s="2" t="s">
        <v>465</v>
      </c>
      <c r="D188" s="108" t="s">
        <v>466</v>
      </c>
      <c r="E188" s="103"/>
      <c r="F188" s="2" t="s">
        <v>263</v>
      </c>
      <c r="G188" s="38">
        <f>'Stavební rozpočet'!G188</f>
        <v>1.8</v>
      </c>
      <c r="H188" s="38">
        <f>'Stavební rozpočet'!H188</f>
        <v>0</v>
      </c>
      <c r="I188" s="38">
        <f>G188*H188</f>
        <v>0</v>
      </c>
      <c r="J188" s="38">
        <f>'Stavební rozpočet'!J188</f>
        <v>0</v>
      </c>
      <c r="K188" s="38">
        <f>G188*J188</f>
        <v>0</v>
      </c>
      <c r="L188" s="71" t="s">
        <v>136</v>
      </c>
      <c r="Z188" s="38">
        <f>IF(AQ188="5",BJ188,0)</f>
        <v>0</v>
      </c>
      <c r="AB188" s="38">
        <f>IF(AQ188="1",BH188,0)</f>
        <v>0</v>
      </c>
      <c r="AC188" s="38">
        <f>IF(AQ188="1",BI188,0)</f>
        <v>0</v>
      </c>
      <c r="AD188" s="38">
        <f>IF(AQ188="7",BH188,0)</f>
        <v>0</v>
      </c>
      <c r="AE188" s="38">
        <f>IF(AQ188="7",BI188,0)</f>
        <v>0</v>
      </c>
      <c r="AF188" s="38">
        <f>IF(AQ188="2",BH188,0)</f>
        <v>0</v>
      </c>
      <c r="AG188" s="38">
        <f>IF(AQ188="2",BI188,0)</f>
        <v>0</v>
      </c>
      <c r="AH188" s="38">
        <f>IF(AQ188="0",BJ188,0)</f>
        <v>0</v>
      </c>
      <c r="AI188" s="50" t="s">
        <v>84</v>
      </c>
      <c r="AJ188" s="38">
        <f>IF(AN188=0,I188,0)</f>
        <v>0</v>
      </c>
      <c r="AK188" s="38">
        <f>IF(AN188=12,I188,0)</f>
        <v>0</v>
      </c>
      <c r="AL188" s="38">
        <f>IF(AN188=21,I188,0)</f>
        <v>0</v>
      </c>
      <c r="AN188" s="38">
        <v>21</v>
      </c>
      <c r="AO188" s="38">
        <f>H188*0</f>
        <v>0</v>
      </c>
      <c r="AP188" s="38">
        <f>H188*(1-0)</f>
        <v>0</v>
      </c>
      <c r="AQ188" s="72" t="s">
        <v>132</v>
      </c>
      <c r="AV188" s="38">
        <f>AW188+AX188</f>
        <v>0</v>
      </c>
      <c r="AW188" s="38">
        <f>G188*AO188</f>
        <v>0</v>
      </c>
      <c r="AX188" s="38">
        <f>G188*AP188</f>
        <v>0</v>
      </c>
      <c r="AY188" s="72" t="s">
        <v>415</v>
      </c>
      <c r="AZ188" s="72" t="s">
        <v>366</v>
      </c>
      <c r="BA188" s="50" t="s">
        <v>139</v>
      </c>
      <c r="BB188" s="73">
        <v>100025</v>
      </c>
      <c r="BC188" s="38">
        <f>AW188+AX188</f>
        <v>0</v>
      </c>
      <c r="BD188" s="38">
        <f>H188/(100-BE188)*100</f>
        <v>0</v>
      </c>
      <c r="BE188" s="38">
        <v>0</v>
      </c>
      <c r="BF188" s="38">
        <f>K188</f>
        <v>0</v>
      </c>
      <c r="BH188" s="38">
        <f>G188*AO188</f>
        <v>0</v>
      </c>
      <c r="BI188" s="38">
        <f>G188*AP188</f>
        <v>0</v>
      </c>
      <c r="BJ188" s="38">
        <f>G188*H188</f>
        <v>0</v>
      </c>
      <c r="BK188" s="38"/>
      <c r="BL188" s="38">
        <v>43</v>
      </c>
      <c r="BW188" s="38">
        <v>21</v>
      </c>
    </row>
    <row r="189" spans="1:12" ht="15">
      <c r="A189" s="74"/>
      <c r="D189" s="75" t="s">
        <v>467</v>
      </c>
      <c r="E189" s="75" t="s">
        <v>4</v>
      </c>
      <c r="G189" s="76">
        <v>1.8</v>
      </c>
      <c r="L189" s="77"/>
    </row>
    <row r="190" spans="1:75" ht="13.5" customHeight="1">
      <c r="A190" s="1" t="s">
        <v>468</v>
      </c>
      <c r="B190" s="2" t="s">
        <v>84</v>
      </c>
      <c r="C190" s="2" t="s">
        <v>469</v>
      </c>
      <c r="D190" s="108" t="s">
        <v>470</v>
      </c>
      <c r="E190" s="103"/>
      <c r="F190" s="2" t="s">
        <v>471</v>
      </c>
      <c r="G190" s="38">
        <f>'Stavební rozpočet'!G190</f>
        <v>1</v>
      </c>
      <c r="H190" s="38">
        <f>'Stavební rozpočet'!H190</f>
        <v>0</v>
      </c>
      <c r="I190" s="38">
        <f>G190*H190</f>
        <v>0</v>
      </c>
      <c r="J190" s="38">
        <f>'Stavební rozpočet'!J190</f>
        <v>0</v>
      </c>
      <c r="K190" s="38">
        <f>G190*J190</f>
        <v>0</v>
      </c>
      <c r="L190" s="71" t="s">
        <v>207</v>
      </c>
      <c r="Z190" s="38">
        <f>IF(AQ190="5",BJ190,0)</f>
        <v>0</v>
      </c>
      <c r="AB190" s="38">
        <f>IF(AQ190="1",BH190,0)</f>
        <v>0</v>
      </c>
      <c r="AC190" s="38">
        <f>IF(AQ190="1",BI190,0)</f>
        <v>0</v>
      </c>
      <c r="AD190" s="38">
        <f>IF(AQ190="7",BH190,0)</f>
        <v>0</v>
      </c>
      <c r="AE190" s="38">
        <f>IF(AQ190="7",BI190,0)</f>
        <v>0</v>
      </c>
      <c r="AF190" s="38">
        <f>IF(AQ190="2",BH190,0)</f>
        <v>0</v>
      </c>
      <c r="AG190" s="38">
        <f>IF(AQ190="2",BI190,0)</f>
        <v>0</v>
      </c>
      <c r="AH190" s="38">
        <f>IF(AQ190="0",BJ190,0)</f>
        <v>0</v>
      </c>
      <c r="AI190" s="50" t="s">
        <v>84</v>
      </c>
      <c r="AJ190" s="38">
        <f>IF(AN190=0,I190,0)</f>
        <v>0</v>
      </c>
      <c r="AK190" s="38">
        <f>IF(AN190=12,I190,0)</f>
        <v>0</v>
      </c>
      <c r="AL190" s="38">
        <f>IF(AN190=21,I190,0)</f>
        <v>0</v>
      </c>
      <c r="AN190" s="38">
        <v>21</v>
      </c>
      <c r="AO190" s="38">
        <f>H190*0</f>
        <v>0</v>
      </c>
      <c r="AP190" s="38">
        <f>H190*(1-0)</f>
        <v>0</v>
      </c>
      <c r="AQ190" s="72" t="s">
        <v>132</v>
      </c>
      <c r="AV190" s="38">
        <f>AW190+AX190</f>
        <v>0</v>
      </c>
      <c r="AW190" s="38">
        <f>G190*AO190</f>
        <v>0</v>
      </c>
      <c r="AX190" s="38">
        <f>G190*AP190</f>
        <v>0</v>
      </c>
      <c r="AY190" s="72" t="s">
        <v>415</v>
      </c>
      <c r="AZ190" s="72" t="s">
        <v>366</v>
      </c>
      <c r="BA190" s="50" t="s">
        <v>139</v>
      </c>
      <c r="BB190" s="73">
        <v>100025</v>
      </c>
      <c r="BC190" s="38">
        <f>AW190+AX190</f>
        <v>0</v>
      </c>
      <c r="BD190" s="38">
        <f>H190/(100-BE190)*100</f>
        <v>0</v>
      </c>
      <c r="BE190" s="38">
        <v>0</v>
      </c>
      <c r="BF190" s="38">
        <f>K190</f>
        <v>0</v>
      </c>
      <c r="BH190" s="38">
        <f>G190*AO190</f>
        <v>0</v>
      </c>
      <c r="BI190" s="38">
        <f>G190*AP190</f>
        <v>0</v>
      </c>
      <c r="BJ190" s="38">
        <f>G190*H190</f>
        <v>0</v>
      </c>
      <c r="BK190" s="38"/>
      <c r="BL190" s="38">
        <v>43</v>
      </c>
      <c r="BW190" s="38">
        <v>21</v>
      </c>
    </row>
    <row r="191" spans="1:12" ht="15">
      <c r="A191" s="74"/>
      <c r="D191" s="75" t="s">
        <v>132</v>
      </c>
      <c r="E191" s="75" t="s">
        <v>4</v>
      </c>
      <c r="G191" s="76">
        <v>1</v>
      </c>
      <c r="L191" s="77"/>
    </row>
    <row r="192" spans="1:47" ht="15">
      <c r="A192" s="65" t="s">
        <v>4</v>
      </c>
      <c r="B192" s="66" t="s">
        <v>84</v>
      </c>
      <c r="C192" s="66" t="s">
        <v>455</v>
      </c>
      <c r="D192" s="192" t="s">
        <v>472</v>
      </c>
      <c r="E192" s="193"/>
      <c r="F192" s="67" t="s">
        <v>78</v>
      </c>
      <c r="G192" s="67" t="s">
        <v>78</v>
      </c>
      <c r="H192" s="67" t="s">
        <v>78</v>
      </c>
      <c r="I192" s="44">
        <f>SUM(I193:I193)</f>
        <v>0</v>
      </c>
      <c r="J192" s="50" t="s">
        <v>4</v>
      </c>
      <c r="K192" s="44">
        <f>SUM(K193:K193)</f>
        <v>1.069425</v>
      </c>
      <c r="L192" s="69" t="s">
        <v>4</v>
      </c>
      <c r="AI192" s="50" t="s">
        <v>84</v>
      </c>
      <c r="AS192" s="44">
        <f>SUM(AJ193:AJ193)</f>
        <v>0</v>
      </c>
      <c r="AT192" s="44">
        <f>SUM(AK193:AK193)</f>
        <v>0</v>
      </c>
      <c r="AU192" s="44">
        <f>SUM(AL193:AL193)</f>
        <v>0</v>
      </c>
    </row>
    <row r="193" spans="1:75" ht="13.5" customHeight="1">
      <c r="A193" s="1" t="s">
        <v>473</v>
      </c>
      <c r="B193" s="2" t="s">
        <v>84</v>
      </c>
      <c r="C193" s="2" t="s">
        <v>474</v>
      </c>
      <c r="D193" s="108" t="s">
        <v>475</v>
      </c>
      <c r="E193" s="103"/>
      <c r="F193" s="2" t="s">
        <v>263</v>
      </c>
      <c r="G193" s="38">
        <f>'Stavební rozpočet'!G193</f>
        <v>1.94</v>
      </c>
      <c r="H193" s="38">
        <f>'Stavební rozpočet'!H193</f>
        <v>0</v>
      </c>
      <c r="I193" s="38">
        <f>G193*H193</f>
        <v>0</v>
      </c>
      <c r="J193" s="38">
        <f>'Stavební rozpočet'!J193</f>
        <v>0.55125</v>
      </c>
      <c r="K193" s="38">
        <f>G193*J193</f>
        <v>1.069425</v>
      </c>
      <c r="L193" s="71" t="s">
        <v>136</v>
      </c>
      <c r="Z193" s="38">
        <f>IF(AQ193="5",BJ193,0)</f>
        <v>0</v>
      </c>
      <c r="AB193" s="38">
        <f>IF(AQ193="1",BH193,0)</f>
        <v>0</v>
      </c>
      <c r="AC193" s="38">
        <f>IF(AQ193="1",BI193,0)</f>
        <v>0</v>
      </c>
      <c r="AD193" s="38">
        <f>IF(AQ193="7",BH193,0)</f>
        <v>0</v>
      </c>
      <c r="AE193" s="38">
        <f>IF(AQ193="7",BI193,0)</f>
        <v>0</v>
      </c>
      <c r="AF193" s="38">
        <f>IF(AQ193="2",BH193,0)</f>
        <v>0</v>
      </c>
      <c r="AG193" s="38">
        <f>IF(AQ193="2",BI193,0)</f>
        <v>0</v>
      </c>
      <c r="AH193" s="38">
        <f>IF(AQ193="0",BJ193,0)</f>
        <v>0</v>
      </c>
      <c r="AI193" s="50" t="s">
        <v>84</v>
      </c>
      <c r="AJ193" s="38">
        <f>IF(AN193=0,I193,0)</f>
        <v>0</v>
      </c>
      <c r="AK193" s="38">
        <f>IF(AN193=12,I193,0)</f>
        <v>0</v>
      </c>
      <c r="AL193" s="38">
        <f>IF(AN193=21,I193,0)</f>
        <v>0</v>
      </c>
      <c r="AN193" s="38">
        <v>21</v>
      </c>
      <c r="AO193" s="38">
        <f>H193*0.866837218</f>
        <v>0</v>
      </c>
      <c r="AP193" s="38">
        <f>H193*(1-0.866837218)</f>
        <v>0</v>
      </c>
      <c r="AQ193" s="72" t="s">
        <v>132</v>
      </c>
      <c r="AV193" s="38">
        <f>AW193+AX193</f>
        <v>0</v>
      </c>
      <c r="AW193" s="38">
        <f>G193*AO193</f>
        <v>0</v>
      </c>
      <c r="AX193" s="38">
        <f>G193*AP193</f>
        <v>0</v>
      </c>
      <c r="AY193" s="72" t="s">
        <v>476</v>
      </c>
      <c r="AZ193" s="72" t="s">
        <v>477</v>
      </c>
      <c r="BA193" s="50" t="s">
        <v>139</v>
      </c>
      <c r="BB193" s="73">
        <v>100040</v>
      </c>
      <c r="BC193" s="38">
        <f>AW193+AX193</f>
        <v>0</v>
      </c>
      <c r="BD193" s="38">
        <f>H193/(100-BE193)*100</f>
        <v>0</v>
      </c>
      <c r="BE193" s="38">
        <v>0</v>
      </c>
      <c r="BF193" s="38">
        <f>K193</f>
        <v>1.069425</v>
      </c>
      <c r="BH193" s="38">
        <f>G193*AO193</f>
        <v>0</v>
      </c>
      <c r="BI193" s="38">
        <f>G193*AP193</f>
        <v>0</v>
      </c>
      <c r="BJ193" s="38">
        <f>G193*H193</f>
        <v>0</v>
      </c>
      <c r="BK193" s="38"/>
      <c r="BL193" s="38">
        <v>56</v>
      </c>
      <c r="BW193" s="38">
        <v>21</v>
      </c>
    </row>
    <row r="194" spans="1:12" ht="13.5" customHeight="1">
      <c r="A194" s="74"/>
      <c r="D194" s="194" t="s">
        <v>478</v>
      </c>
      <c r="E194" s="195"/>
      <c r="F194" s="195"/>
      <c r="G194" s="195"/>
      <c r="H194" s="195"/>
      <c r="I194" s="195"/>
      <c r="J194" s="195"/>
      <c r="K194" s="195"/>
      <c r="L194" s="197"/>
    </row>
    <row r="195" spans="1:12" ht="15">
      <c r="A195" s="74"/>
      <c r="D195" s="75" t="s">
        <v>479</v>
      </c>
      <c r="E195" s="75" t="s">
        <v>4</v>
      </c>
      <c r="G195" s="76">
        <v>1.94</v>
      </c>
      <c r="L195" s="77"/>
    </row>
    <row r="196" spans="1:47" ht="15">
      <c r="A196" s="65" t="s">
        <v>4</v>
      </c>
      <c r="B196" s="66" t="s">
        <v>84</v>
      </c>
      <c r="C196" s="66" t="s">
        <v>468</v>
      </c>
      <c r="D196" s="192" t="s">
        <v>480</v>
      </c>
      <c r="E196" s="193"/>
      <c r="F196" s="67" t="s">
        <v>78</v>
      </c>
      <c r="G196" s="67" t="s">
        <v>78</v>
      </c>
      <c r="H196" s="67" t="s">
        <v>78</v>
      </c>
      <c r="I196" s="44">
        <f>SUM(I197:I210)</f>
        <v>0</v>
      </c>
      <c r="J196" s="50" t="s">
        <v>4</v>
      </c>
      <c r="K196" s="44">
        <f>SUM(K197:K210)</f>
        <v>0.5749625</v>
      </c>
      <c r="L196" s="69" t="s">
        <v>4</v>
      </c>
      <c r="AI196" s="50" t="s">
        <v>84</v>
      </c>
      <c r="AS196" s="44">
        <f>SUM(AJ197:AJ210)</f>
        <v>0</v>
      </c>
      <c r="AT196" s="44">
        <f>SUM(AK197:AK210)</f>
        <v>0</v>
      </c>
      <c r="AU196" s="44">
        <f>SUM(AL197:AL210)</f>
        <v>0</v>
      </c>
    </row>
    <row r="197" spans="1:75" ht="13.5" customHeight="1">
      <c r="A197" s="1" t="s">
        <v>481</v>
      </c>
      <c r="B197" s="2" t="s">
        <v>84</v>
      </c>
      <c r="C197" s="2" t="s">
        <v>482</v>
      </c>
      <c r="D197" s="108" t="s">
        <v>483</v>
      </c>
      <c r="E197" s="103"/>
      <c r="F197" s="2" t="s">
        <v>263</v>
      </c>
      <c r="G197" s="38">
        <f>'Stavební rozpočet'!G197</f>
        <v>0.25</v>
      </c>
      <c r="H197" s="38">
        <f>'Stavební rozpočet'!H197</f>
        <v>0</v>
      </c>
      <c r="I197" s="38">
        <f>G197*H197</f>
        <v>0</v>
      </c>
      <c r="J197" s="38">
        <f>'Stavební rozpočet'!J197</f>
        <v>0.11931</v>
      </c>
      <c r="K197" s="38">
        <f>G197*J197</f>
        <v>0.0298275</v>
      </c>
      <c r="L197" s="71" t="s">
        <v>136</v>
      </c>
      <c r="Z197" s="38">
        <f>IF(AQ197="5",BJ197,0)</f>
        <v>0</v>
      </c>
      <c r="AB197" s="38">
        <f>IF(AQ197="1",BH197,0)</f>
        <v>0</v>
      </c>
      <c r="AC197" s="38">
        <f>IF(AQ197="1",BI197,0)</f>
        <v>0</v>
      </c>
      <c r="AD197" s="38">
        <f>IF(AQ197="7",BH197,0)</f>
        <v>0</v>
      </c>
      <c r="AE197" s="38">
        <f>IF(AQ197="7",BI197,0)</f>
        <v>0</v>
      </c>
      <c r="AF197" s="38">
        <f>IF(AQ197="2",BH197,0)</f>
        <v>0</v>
      </c>
      <c r="AG197" s="38">
        <f>IF(AQ197="2",BI197,0)</f>
        <v>0</v>
      </c>
      <c r="AH197" s="38">
        <f>IF(AQ197="0",BJ197,0)</f>
        <v>0</v>
      </c>
      <c r="AI197" s="50" t="s">
        <v>84</v>
      </c>
      <c r="AJ197" s="38">
        <f>IF(AN197=0,I197,0)</f>
        <v>0</v>
      </c>
      <c r="AK197" s="38">
        <f>IF(AN197=12,I197,0)</f>
        <v>0</v>
      </c>
      <c r="AL197" s="38">
        <f>IF(AN197=21,I197,0)</f>
        <v>0</v>
      </c>
      <c r="AN197" s="38">
        <v>21</v>
      </c>
      <c r="AO197" s="38">
        <f>H197*0.402799145</f>
        <v>0</v>
      </c>
      <c r="AP197" s="38">
        <f>H197*(1-0.402799145)</f>
        <v>0</v>
      </c>
      <c r="AQ197" s="72" t="s">
        <v>132</v>
      </c>
      <c r="AV197" s="38">
        <f>AW197+AX197</f>
        <v>0</v>
      </c>
      <c r="AW197" s="38">
        <f>G197*AO197</f>
        <v>0</v>
      </c>
      <c r="AX197" s="38">
        <f>G197*AP197</f>
        <v>0</v>
      </c>
      <c r="AY197" s="72" t="s">
        <v>484</v>
      </c>
      <c r="AZ197" s="72" t="s">
        <v>477</v>
      </c>
      <c r="BA197" s="50" t="s">
        <v>139</v>
      </c>
      <c r="BB197" s="73">
        <v>100041</v>
      </c>
      <c r="BC197" s="38">
        <f>AW197+AX197</f>
        <v>0</v>
      </c>
      <c r="BD197" s="38">
        <f>H197/(100-BE197)*100</f>
        <v>0</v>
      </c>
      <c r="BE197" s="38">
        <v>0</v>
      </c>
      <c r="BF197" s="38">
        <f>K197</f>
        <v>0.0298275</v>
      </c>
      <c r="BH197" s="38">
        <f>G197*AO197</f>
        <v>0</v>
      </c>
      <c r="BI197" s="38">
        <f>G197*AP197</f>
        <v>0</v>
      </c>
      <c r="BJ197" s="38">
        <f>G197*H197</f>
        <v>0</v>
      </c>
      <c r="BK197" s="38"/>
      <c r="BL197" s="38">
        <v>59</v>
      </c>
      <c r="BW197" s="38">
        <v>21</v>
      </c>
    </row>
    <row r="198" spans="1:12" ht="15">
      <c r="A198" s="74"/>
      <c r="D198" s="75" t="s">
        <v>485</v>
      </c>
      <c r="E198" s="75" t="s">
        <v>4</v>
      </c>
      <c r="G198" s="76">
        <v>0.25</v>
      </c>
      <c r="L198" s="77"/>
    </row>
    <row r="199" spans="1:75" ht="13.5" customHeight="1">
      <c r="A199" s="1" t="s">
        <v>486</v>
      </c>
      <c r="B199" s="2" t="s">
        <v>84</v>
      </c>
      <c r="C199" s="2" t="s">
        <v>487</v>
      </c>
      <c r="D199" s="108" t="s">
        <v>488</v>
      </c>
      <c r="E199" s="103"/>
      <c r="F199" s="2" t="s">
        <v>263</v>
      </c>
      <c r="G199" s="38">
        <f>'Stavební rozpočet'!G199</f>
        <v>0.75</v>
      </c>
      <c r="H199" s="38">
        <f>'Stavební rozpočet'!H199</f>
        <v>0</v>
      </c>
      <c r="I199" s="38">
        <f>G199*H199</f>
        <v>0</v>
      </c>
      <c r="J199" s="38">
        <f>'Stavební rozpočet'!J199</f>
        <v>0.0739</v>
      </c>
      <c r="K199" s="38">
        <f>G199*J199</f>
        <v>0.055424999999999995</v>
      </c>
      <c r="L199" s="71" t="s">
        <v>136</v>
      </c>
      <c r="Z199" s="38">
        <f>IF(AQ199="5",BJ199,0)</f>
        <v>0</v>
      </c>
      <c r="AB199" s="38">
        <f>IF(AQ199="1",BH199,0)</f>
        <v>0</v>
      </c>
      <c r="AC199" s="38">
        <f>IF(AQ199="1",BI199,0)</f>
        <v>0</v>
      </c>
      <c r="AD199" s="38">
        <f>IF(AQ199="7",BH199,0)</f>
        <v>0</v>
      </c>
      <c r="AE199" s="38">
        <f>IF(AQ199="7",BI199,0)</f>
        <v>0</v>
      </c>
      <c r="AF199" s="38">
        <f>IF(AQ199="2",BH199,0)</f>
        <v>0</v>
      </c>
      <c r="AG199" s="38">
        <f>IF(AQ199="2",BI199,0)</f>
        <v>0</v>
      </c>
      <c r="AH199" s="38">
        <f>IF(AQ199="0",BJ199,0)</f>
        <v>0</v>
      </c>
      <c r="AI199" s="50" t="s">
        <v>84</v>
      </c>
      <c r="AJ199" s="38">
        <f>IF(AN199=0,I199,0)</f>
        <v>0</v>
      </c>
      <c r="AK199" s="38">
        <f>IF(AN199=12,I199,0)</f>
        <v>0</v>
      </c>
      <c r="AL199" s="38">
        <f>IF(AN199=21,I199,0)</f>
        <v>0</v>
      </c>
      <c r="AN199" s="38">
        <v>21</v>
      </c>
      <c r="AO199" s="38">
        <f>H199*0.171497845</f>
        <v>0</v>
      </c>
      <c r="AP199" s="38">
        <f>H199*(1-0.171497845)</f>
        <v>0</v>
      </c>
      <c r="AQ199" s="72" t="s">
        <v>132</v>
      </c>
      <c r="AV199" s="38">
        <f>AW199+AX199</f>
        <v>0</v>
      </c>
      <c r="AW199" s="38">
        <f>G199*AO199</f>
        <v>0</v>
      </c>
      <c r="AX199" s="38">
        <f>G199*AP199</f>
        <v>0</v>
      </c>
      <c r="AY199" s="72" t="s">
        <v>484</v>
      </c>
      <c r="AZ199" s="72" t="s">
        <v>477</v>
      </c>
      <c r="BA199" s="50" t="s">
        <v>139</v>
      </c>
      <c r="BB199" s="73">
        <v>100041</v>
      </c>
      <c r="BC199" s="38">
        <f>AW199+AX199</f>
        <v>0</v>
      </c>
      <c r="BD199" s="38">
        <f>H199/(100-BE199)*100</f>
        <v>0</v>
      </c>
      <c r="BE199" s="38">
        <v>0</v>
      </c>
      <c r="BF199" s="38">
        <f>K199</f>
        <v>0.055424999999999995</v>
      </c>
      <c r="BH199" s="38">
        <f>G199*AO199</f>
        <v>0</v>
      </c>
      <c r="BI199" s="38">
        <f>G199*AP199</f>
        <v>0</v>
      </c>
      <c r="BJ199" s="38">
        <f>G199*H199</f>
        <v>0</v>
      </c>
      <c r="BK199" s="38"/>
      <c r="BL199" s="38">
        <v>59</v>
      </c>
      <c r="BW199" s="38">
        <v>21</v>
      </c>
    </row>
    <row r="200" spans="1:12" ht="13.5" customHeight="1">
      <c r="A200" s="74"/>
      <c r="D200" s="194" t="s">
        <v>489</v>
      </c>
      <c r="E200" s="195"/>
      <c r="F200" s="195"/>
      <c r="G200" s="195"/>
      <c r="H200" s="195"/>
      <c r="I200" s="195"/>
      <c r="J200" s="195"/>
      <c r="K200" s="195"/>
      <c r="L200" s="197"/>
    </row>
    <row r="201" spans="1:12" ht="15">
      <c r="A201" s="74"/>
      <c r="D201" s="75" t="s">
        <v>490</v>
      </c>
      <c r="E201" s="75" t="s">
        <v>4</v>
      </c>
      <c r="G201" s="76">
        <v>0.75</v>
      </c>
      <c r="L201" s="77"/>
    </row>
    <row r="202" spans="1:75" ht="13.5" customHeight="1">
      <c r="A202" s="78" t="s">
        <v>491</v>
      </c>
      <c r="B202" s="79" t="s">
        <v>84</v>
      </c>
      <c r="C202" s="79" t="s">
        <v>492</v>
      </c>
      <c r="D202" s="198" t="s">
        <v>493</v>
      </c>
      <c r="E202" s="199"/>
      <c r="F202" s="79" t="s">
        <v>263</v>
      </c>
      <c r="G202" s="80">
        <f>'Stavební rozpočet'!G202</f>
        <v>1.05</v>
      </c>
      <c r="H202" s="80">
        <f>'Stavební rozpočet'!H202</f>
        <v>0</v>
      </c>
      <c r="I202" s="80">
        <f>G202*H202</f>
        <v>0</v>
      </c>
      <c r="J202" s="80">
        <f>'Stavební rozpočet'!J202</f>
        <v>0.129</v>
      </c>
      <c r="K202" s="80">
        <f>G202*J202</f>
        <v>0.13545000000000001</v>
      </c>
      <c r="L202" s="82" t="s">
        <v>136</v>
      </c>
      <c r="Z202" s="38">
        <f>IF(AQ202="5",BJ202,0)</f>
        <v>0</v>
      </c>
      <c r="AB202" s="38">
        <f>IF(AQ202="1",BH202,0)</f>
        <v>0</v>
      </c>
      <c r="AC202" s="38">
        <f>IF(AQ202="1",BI202,0)</f>
        <v>0</v>
      </c>
      <c r="AD202" s="38">
        <f>IF(AQ202="7",BH202,0)</f>
        <v>0</v>
      </c>
      <c r="AE202" s="38">
        <f>IF(AQ202="7",BI202,0)</f>
        <v>0</v>
      </c>
      <c r="AF202" s="38">
        <f>IF(AQ202="2",BH202,0)</f>
        <v>0</v>
      </c>
      <c r="AG202" s="38">
        <f>IF(AQ202="2",BI202,0)</f>
        <v>0</v>
      </c>
      <c r="AH202" s="38">
        <f>IF(AQ202="0",BJ202,0)</f>
        <v>0</v>
      </c>
      <c r="AI202" s="50" t="s">
        <v>84</v>
      </c>
      <c r="AJ202" s="80">
        <f>IF(AN202=0,I202,0)</f>
        <v>0</v>
      </c>
      <c r="AK202" s="80">
        <f>IF(AN202=12,I202,0)</f>
        <v>0</v>
      </c>
      <c r="AL202" s="80">
        <f>IF(AN202=21,I202,0)</f>
        <v>0</v>
      </c>
      <c r="AN202" s="38">
        <v>21</v>
      </c>
      <c r="AO202" s="38">
        <f>H202*1</f>
        <v>0</v>
      </c>
      <c r="AP202" s="38">
        <f>H202*(1-1)</f>
        <v>0</v>
      </c>
      <c r="AQ202" s="83" t="s">
        <v>132</v>
      </c>
      <c r="AV202" s="38">
        <f>AW202+AX202</f>
        <v>0</v>
      </c>
      <c r="AW202" s="38">
        <f>G202*AO202</f>
        <v>0</v>
      </c>
      <c r="AX202" s="38">
        <f>G202*AP202</f>
        <v>0</v>
      </c>
      <c r="AY202" s="72" t="s">
        <v>484</v>
      </c>
      <c r="AZ202" s="72" t="s">
        <v>477</v>
      </c>
      <c r="BA202" s="50" t="s">
        <v>139</v>
      </c>
      <c r="BC202" s="38">
        <f>AW202+AX202</f>
        <v>0</v>
      </c>
      <c r="BD202" s="38">
        <f>H202/(100-BE202)*100</f>
        <v>0</v>
      </c>
      <c r="BE202" s="38">
        <v>0</v>
      </c>
      <c r="BF202" s="38">
        <f>K202</f>
        <v>0.13545000000000001</v>
      </c>
      <c r="BH202" s="80">
        <f>G202*AO202</f>
        <v>0</v>
      </c>
      <c r="BI202" s="80">
        <f>G202*AP202</f>
        <v>0</v>
      </c>
      <c r="BJ202" s="80">
        <f>G202*H202</f>
        <v>0</v>
      </c>
      <c r="BK202" s="80"/>
      <c r="BL202" s="38">
        <v>59</v>
      </c>
      <c r="BW202" s="38">
        <v>21</v>
      </c>
    </row>
    <row r="203" spans="1:12" ht="15">
      <c r="A203" s="74"/>
      <c r="D203" s="75" t="s">
        <v>494</v>
      </c>
      <c r="E203" s="75" t="s">
        <v>4</v>
      </c>
      <c r="G203" s="76">
        <v>1</v>
      </c>
      <c r="L203" s="77"/>
    </row>
    <row r="204" spans="1:12" ht="15">
      <c r="A204" s="74"/>
      <c r="D204" s="75" t="s">
        <v>495</v>
      </c>
      <c r="E204" s="75" t="s">
        <v>4</v>
      </c>
      <c r="G204" s="76">
        <v>0.05</v>
      </c>
      <c r="L204" s="77"/>
    </row>
    <row r="205" spans="1:75" ht="13.5" customHeight="1">
      <c r="A205" s="1" t="s">
        <v>496</v>
      </c>
      <c r="B205" s="2" t="s">
        <v>84</v>
      </c>
      <c r="C205" s="2" t="s">
        <v>497</v>
      </c>
      <c r="D205" s="108" t="s">
        <v>498</v>
      </c>
      <c r="E205" s="103"/>
      <c r="F205" s="2" t="s">
        <v>214</v>
      </c>
      <c r="G205" s="38">
        <f>'Stavební rozpočet'!G205</f>
        <v>4</v>
      </c>
      <c r="H205" s="38">
        <f>'Stavební rozpočet'!H205</f>
        <v>0</v>
      </c>
      <c r="I205" s="38">
        <f>G205*H205</f>
        <v>0</v>
      </c>
      <c r="J205" s="38">
        <f>'Stavební rozpočet'!J205</f>
        <v>0.00033</v>
      </c>
      <c r="K205" s="38">
        <f>G205*J205</f>
        <v>0.00132</v>
      </c>
      <c r="L205" s="71" t="s">
        <v>136</v>
      </c>
      <c r="Z205" s="38">
        <f>IF(AQ205="5",BJ205,0)</f>
        <v>0</v>
      </c>
      <c r="AB205" s="38">
        <f>IF(AQ205="1",BH205,0)</f>
        <v>0</v>
      </c>
      <c r="AC205" s="38">
        <f>IF(AQ205="1",BI205,0)</f>
        <v>0</v>
      </c>
      <c r="AD205" s="38">
        <f>IF(AQ205="7",BH205,0)</f>
        <v>0</v>
      </c>
      <c r="AE205" s="38">
        <f>IF(AQ205="7",BI205,0)</f>
        <v>0</v>
      </c>
      <c r="AF205" s="38">
        <f>IF(AQ205="2",BH205,0)</f>
        <v>0</v>
      </c>
      <c r="AG205" s="38">
        <f>IF(AQ205="2",BI205,0)</f>
        <v>0</v>
      </c>
      <c r="AH205" s="38">
        <f>IF(AQ205="0",BJ205,0)</f>
        <v>0</v>
      </c>
      <c r="AI205" s="50" t="s">
        <v>84</v>
      </c>
      <c r="AJ205" s="38">
        <f>IF(AN205=0,I205,0)</f>
        <v>0</v>
      </c>
      <c r="AK205" s="38">
        <f>IF(AN205=12,I205,0)</f>
        <v>0</v>
      </c>
      <c r="AL205" s="38">
        <f>IF(AN205=21,I205,0)</f>
        <v>0</v>
      </c>
      <c r="AN205" s="38">
        <v>21</v>
      </c>
      <c r="AO205" s="38">
        <f>H205*0.051525424</f>
        <v>0</v>
      </c>
      <c r="AP205" s="38">
        <f>H205*(1-0.051525424)</f>
        <v>0</v>
      </c>
      <c r="AQ205" s="72" t="s">
        <v>132</v>
      </c>
      <c r="AV205" s="38">
        <f>AW205+AX205</f>
        <v>0</v>
      </c>
      <c r="AW205" s="38">
        <f>G205*AO205</f>
        <v>0</v>
      </c>
      <c r="AX205" s="38">
        <f>G205*AP205</f>
        <v>0</v>
      </c>
      <c r="AY205" s="72" t="s">
        <v>484</v>
      </c>
      <c r="AZ205" s="72" t="s">
        <v>477</v>
      </c>
      <c r="BA205" s="50" t="s">
        <v>139</v>
      </c>
      <c r="BB205" s="73">
        <v>100041</v>
      </c>
      <c r="BC205" s="38">
        <f>AW205+AX205</f>
        <v>0</v>
      </c>
      <c r="BD205" s="38">
        <f>H205/(100-BE205)*100</f>
        <v>0</v>
      </c>
      <c r="BE205" s="38">
        <v>0</v>
      </c>
      <c r="BF205" s="38">
        <f>K205</f>
        <v>0.00132</v>
      </c>
      <c r="BH205" s="38">
        <f>G205*AO205</f>
        <v>0</v>
      </c>
      <c r="BI205" s="38">
        <f>G205*AP205</f>
        <v>0</v>
      </c>
      <c r="BJ205" s="38">
        <f>G205*H205</f>
        <v>0</v>
      </c>
      <c r="BK205" s="38"/>
      <c r="BL205" s="38">
        <v>59</v>
      </c>
      <c r="BW205" s="38">
        <v>21</v>
      </c>
    </row>
    <row r="206" spans="1:12" ht="15">
      <c r="A206" s="74"/>
      <c r="D206" s="75" t="s">
        <v>157</v>
      </c>
      <c r="E206" s="75" t="s">
        <v>4</v>
      </c>
      <c r="G206" s="76">
        <v>4</v>
      </c>
      <c r="L206" s="77"/>
    </row>
    <row r="207" spans="1:75" ht="13.5" customHeight="1">
      <c r="A207" s="1" t="s">
        <v>499</v>
      </c>
      <c r="B207" s="2" t="s">
        <v>84</v>
      </c>
      <c r="C207" s="2" t="s">
        <v>500</v>
      </c>
      <c r="D207" s="108" t="s">
        <v>501</v>
      </c>
      <c r="E207" s="103"/>
      <c r="F207" s="2" t="s">
        <v>214</v>
      </c>
      <c r="G207" s="38">
        <f>'Stavební rozpočet'!G207</f>
        <v>1.8</v>
      </c>
      <c r="H207" s="38">
        <f>'Stavební rozpočet'!H207</f>
        <v>0</v>
      </c>
      <c r="I207" s="38">
        <f>G207*H207</f>
        <v>0</v>
      </c>
      <c r="J207" s="38">
        <f>'Stavební rozpočet'!J207</f>
        <v>0.12405</v>
      </c>
      <c r="K207" s="38">
        <f>G207*J207</f>
        <v>0.22329</v>
      </c>
      <c r="L207" s="71" t="s">
        <v>136</v>
      </c>
      <c r="Z207" s="38">
        <f>IF(AQ207="5",BJ207,0)</f>
        <v>0</v>
      </c>
      <c r="AB207" s="38">
        <f>IF(AQ207="1",BH207,0)</f>
        <v>0</v>
      </c>
      <c r="AC207" s="38">
        <f>IF(AQ207="1",BI207,0)</f>
        <v>0</v>
      </c>
      <c r="AD207" s="38">
        <f>IF(AQ207="7",BH207,0)</f>
        <v>0</v>
      </c>
      <c r="AE207" s="38">
        <f>IF(AQ207="7",BI207,0)</f>
        <v>0</v>
      </c>
      <c r="AF207" s="38">
        <f>IF(AQ207="2",BH207,0)</f>
        <v>0</v>
      </c>
      <c r="AG207" s="38">
        <f>IF(AQ207="2",BI207,0)</f>
        <v>0</v>
      </c>
      <c r="AH207" s="38">
        <f>IF(AQ207="0",BJ207,0)</f>
        <v>0</v>
      </c>
      <c r="AI207" s="50" t="s">
        <v>84</v>
      </c>
      <c r="AJ207" s="38">
        <f>IF(AN207=0,I207,0)</f>
        <v>0</v>
      </c>
      <c r="AK207" s="38">
        <f>IF(AN207=12,I207,0)</f>
        <v>0</v>
      </c>
      <c r="AL207" s="38">
        <f>IF(AN207=21,I207,0)</f>
        <v>0</v>
      </c>
      <c r="AN207" s="38">
        <v>21</v>
      </c>
      <c r="AO207" s="38">
        <f>H207*0.848714286</f>
        <v>0</v>
      </c>
      <c r="AP207" s="38">
        <f>H207*(1-0.848714286)</f>
        <v>0</v>
      </c>
      <c r="AQ207" s="72" t="s">
        <v>132</v>
      </c>
      <c r="AV207" s="38">
        <f>AW207+AX207</f>
        <v>0</v>
      </c>
      <c r="AW207" s="38">
        <f>G207*AO207</f>
        <v>0</v>
      </c>
      <c r="AX207" s="38">
        <f>G207*AP207</f>
        <v>0</v>
      </c>
      <c r="AY207" s="72" t="s">
        <v>484</v>
      </c>
      <c r="AZ207" s="72" t="s">
        <v>477</v>
      </c>
      <c r="BA207" s="50" t="s">
        <v>139</v>
      </c>
      <c r="BB207" s="73">
        <v>100041</v>
      </c>
      <c r="BC207" s="38">
        <f>AW207+AX207</f>
        <v>0</v>
      </c>
      <c r="BD207" s="38">
        <f>H207/(100-BE207)*100</f>
        <v>0</v>
      </c>
      <c r="BE207" s="38">
        <v>0</v>
      </c>
      <c r="BF207" s="38">
        <f>K207</f>
        <v>0.22329</v>
      </c>
      <c r="BH207" s="38">
        <f>G207*AO207</f>
        <v>0</v>
      </c>
      <c r="BI207" s="38">
        <f>G207*AP207</f>
        <v>0</v>
      </c>
      <c r="BJ207" s="38">
        <f>G207*H207</f>
        <v>0</v>
      </c>
      <c r="BK207" s="38"/>
      <c r="BL207" s="38">
        <v>59</v>
      </c>
      <c r="BW207" s="38">
        <v>21</v>
      </c>
    </row>
    <row r="208" spans="1:12" ht="13.5" customHeight="1">
      <c r="A208" s="74"/>
      <c r="D208" s="194" t="s">
        <v>502</v>
      </c>
      <c r="E208" s="195"/>
      <c r="F208" s="195"/>
      <c r="G208" s="195"/>
      <c r="H208" s="195"/>
      <c r="I208" s="195"/>
      <c r="J208" s="195"/>
      <c r="K208" s="195"/>
      <c r="L208" s="197"/>
    </row>
    <row r="209" spans="1:12" ht="15">
      <c r="A209" s="74"/>
      <c r="D209" s="75" t="s">
        <v>467</v>
      </c>
      <c r="E209" s="75" t="s">
        <v>4</v>
      </c>
      <c r="G209" s="76">
        <v>1.8</v>
      </c>
      <c r="L209" s="77"/>
    </row>
    <row r="210" spans="1:75" ht="13.5" customHeight="1">
      <c r="A210" s="1" t="s">
        <v>503</v>
      </c>
      <c r="B210" s="2" t="s">
        <v>84</v>
      </c>
      <c r="C210" s="2" t="s">
        <v>504</v>
      </c>
      <c r="D210" s="108" t="s">
        <v>505</v>
      </c>
      <c r="E210" s="103"/>
      <c r="F210" s="2" t="s">
        <v>199</v>
      </c>
      <c r="G210" s="38">
        <f>'Stavební rozpočet'!G210</f>
        <v>1</v>
      </c>
      <c r="H210" s="38">
        <f>'Stavební rozpočet'!H210</f>
        <v>0</v>
      </c>
      <c r="I210" s="38">
        <f>G210*H210</f>
        <v>0</v>
      </c>
      <c r="J210" s="38">
        <f>'Stavební rozpočet'!J210</f>
        <v>0.12965</v>
      </c>
      <c r="K210" s="38">
        <f>G210*J210</f>
        <v>0.12965</v>
      </c>
      <c r="L210" s="71" t="s">
        <v>136</v>
      </c>
      <c r="Z210" s="38">
        <f>IF(AQ210="5",BJ210,0)</f>
        <v>0</v>
      </c>
      <c r="AB210" s="38">
        <f>IF(AQ210="1",BH210,0)</f>
        <v>0</v>
      </c>
      <c r="AC210" s="38">
        <f>IF(AQ210="1",BI210,0)</f>
        <v>0</v>
      </c>
      <c r="AD210" s="38">
        <f>IF(AQ210="7",BH210,0)</f>
        <v>0</v>
      </c>
      <c r="AE210" s="38">
        <f>IF(AQ210="7",BI210,0)</f>
        <v>0</v>
      </c>
      <c r="AF210" s="38">
        <f>IF(AQ210="2",BH210,0)</f>
        <v>0</v>
      </c>
      <c r="AG210" s="38">
        <f>IF(AQ210="2",BI210,0)</f>
        <v>0</v>
      </c>
      <c r="AH210" s="38">
        <f>IF(AQ210="0",BJ210,0)</f>
        <v>0</v>
      </c>
      <c r="AI210" s="50" t="s">
        <v>84</v>
      </c>
      <c r="AJ210" s="38">
        <f>IF(AN210=0,I210,0)</f>
        <v>0</v>
      </c>
      <c r="AK210" s="38">
        <f>IF(AN210=12,I210,0)</f>
        <v>0</v>
      </c>
      <c r="AL210" s="38">
        <f>IF(AN210=21,I210,0)</f>
        <v>0</v>
      </c>
      <c r="AN210" s="38">
        <v>21</v>
      </c>
      <c r="AO210" s="38">
        <f>H210*0.901099029</f>
        <v>0</v>
      </c>
      <c r="AP210" s="38">
        <f>H210*(1-0.901099029)</f>
        <v>0</v>
      </c>
      <c r="AQ210" s="72" t="s">
        <v>132</v>
      </c>
      <c r="AV210" s="38">
        <f>AW210+AX210</f>
        <v>0</v>
      </c>
      <c r="AW210" s="38">
        <f>G210*AO210</f>
        <v>0</v>
      </c>
      <c r="AX210" s="38">
        <f>G210*AP210</f>
        <v>0</v>
      </c>
      <c r="AY210" s="72" t="s">
        <v>484</v>
      </c>
      <c r="AZ210" s="72" t="s">
        <v>477</v>
      </c>
      <c r="BA210" s="50" t="s">
        <v>139</v>
      </c>
      <c r="BB210" s="73">
        <v>100041</v>
      </c>
      <c r="BC210" s="38">
        <f>AW210+AX210</f>
        <v>0</v>
      </c>
      <c r="BD210" s="38">
        <f>H210/(100-BE210)*100</f>
        <v>0</v>
      </c>
      <c r="BE210" s="38">
        <v>0</v>
      </c>
      <c r="BF210" s="38">
        <f>K210</f>
        <v>0.12965</v>
      </c>
      <c r="BH210" s="38">
        <f>G210*AO210</f>
        <v>0</v>
      </c>
      <c r="BI210" s="38">
        <f>G210*AP210</f>
        <v>0</v>
      </c>
      <c r="BJ210" s="38">
        <f>G210*H210</f>
        <v>0</v>
      </c>
      <c r="BK210" s="38"/>
      <c r="BL210" s="38">
        <v>59</v>
      </c>
      <c r="BW210" s="38">
        <v>21</v>
      </c>
    </row>
    <row r="211" spans="1:12" ht="15">
      <c r="A211" s="74"/>
      <c r="D211" s="75" t="s">
        <v>132</v>
      </c>
      <c r="E211" s="75" t="s">
        <v>4</v>
      </c>
      <c r="G211" s="76">
        <v>1</v>
      </c>
      <c r="L211" s="77"/>
    </row>
    <row r="212" spans="1:47" ht="15">
      <c r="A212" s="65" t="s">
        <v>4</v>
      </c>
      <c r="B212" s="66" t="s">
        <v>84</v>
      </c>
      <c r="C212" s="66" t="s">
        <v>473</v>
      </c>
      <c r="D212" s="192" t="s">
        <v>506</v>
      </c>
      <c r="E212" s="193"/>
      <c r="F212" s="67" t="s">
        <v>78</v>
      </c>
      <c r="G212" s="67" t="s">
        <v>78</v>
      </c>
      <c r="H212" s="67" t="s">
        <v>78</v>
      </c>
      <c r="I212" s="44">
        <f>SUM(I213:I233)</f>
        <v>0</v>
      </c>
      <c r="J212" s="50" t="s">
        <v>4</v>
      </c>
      <c r="K212" s="44">
        <f>SUM(K213:K233)</f>
        <v>33.119127</v>
      </c>
      <c r="L212" s="69" t="s">
        <v>4</v>
      </c>
      <c r="AI212" s="50" t="s">
        <v>84</v>
      </c>
      <c r="AS212" s="44">
        <f>SUM(AJ213:AJ233)</f>
        <v>0</v>
      </c>
      <c r="AT212" s="44">
        <f>SUM(AK213:AK233)</f>
        <v>0</v>
      </c>
      <c r="AU212" s="44">
        <f>SUM(AL213:AL233)</f>
        <v>0</v>
      </c>
    </row>
    <row r="213" spans="1:75" ht="13.5" customHeight="1">
      <c r="A213" s="1" t="s">
        <v>507</v>
      </c>
      <c r="B213" s="2" t="s">
        <v>84</v>
      </c>
      <c r="C213" s="2" t="s">
        <v>508</v>
      </c>
      <c r="D213" s="108" t="s">
        <v>509</v>
      </c>
      <c r="E213" s="103"/>
      <c r="F213" s="2" t="s">
        <v>263</v>
      </c>
      <c r="G213" s="38">
        <f>'Stavební rozpočet'!G213</f>
        <v>413.69</v>
      </c>
      <c r="H213" s="38">
        <f>'Stavební rozpočet'!H213</f>
        <v>0</v>
      </c>
      <c r="I213" s="38">
        <f>G213*H213</f>
        <v>0</v>
      </c>
      <c r="J213" s="38">
        <f>'Stavební rozpočet'!J213</f>
        <v>0.0063</v>
      </c>
      <c r="K213" s="38">
        <f>G213*J213</f>
        <v>2.606247</v>
      </c>
      <c r="L213" s="71" t="s">
        <v>136</v>
      </c>
      <c r="Z213" s="38">
        <f>IF(AQ213="5",BJ213,0)</f>
        <v>0</v>
      </c>
      <c r="AB213" s="38">
        <f>IF(AQ213="1",BH213,0)</f>
        <v>0</v>
      </c>
      <c r="AC213" s="38">
        <f>IF(AQ213="1",BI213,0)</f>
        <v>0</v>
      </c>
      <c r="AD213" s="38">
        <f>IF(AQ213="7",BH213,0)</f>
        <v>0</v>
      </c>
      <c r="AE213" s="38">
        <f>IF(AQ213="7",BI213,0)</f>
        <v>0</v>
      </c>
      <c r="AF213" s="38">
        <f>IF(AQ213="2",BH213,0)</f>
        <v>0</v>
      </c>
      <c r="AG213" s="38">
        <f>IF(AQ213="2",BI213,0)</f>
        <v>0</v>
      </c>
      <c r="AH213" s="38">
        <f>IF(AQ213="0",BJ213,0)</f>
        <v>0</v>
      </c>
      <c r="AI213" s="50" t="s">
        <v>84</v>
      </c>
      <c r="AJ213" s="38">
        <f>IF(AN213=0,I213,0)</f>
        <v>0</v>
      </c>
      <c r="AK213" s="38">
        <f>IF(AN213=12,I213,0)</f>
        <v>0</v>
      </c>
      <c r="AL213" s="38">
        <f>IF(AN213=21,I213,0)</f>
        <v>0</v>
      </c>
      <c r="AN213" s="38">
        <v>21</v>
      </c>
      <c r="AO213" s="38">
        <f>H213*0.578351051</f>
        <v>0</v>
      </c>
      <c r="AP213" s="38">
        <f>H213*(1-0.578351051)</f>
        <v>0</v>
      </c>
      <c r="AQ213" s="72" t="s">
        <v>132</v>
      </c>
      <c r="AV213" s="38">
        <f>AW213+AX213</f>
        <v>0</v>
      </c>
      <c r="AW213" s="38">
        <f>G213*AO213</f>
        <v>0</v>
      </c>
      <c r="AX213" s="38">
        <f>G213*AP213</f>
        <v>0</v>
      </c>
      <c r="AY213" s="72" t="s">
        <v>510</v>
      </c>
      <c r="AZ213" s="72" t="s">
        <v>511</v>
      </c>
      <c r="BA213" s="50" t="s">
        <v>139</v>
      </c>
      <c r="BB213" s="73">
        <v>100037</v>
      </c>
      <c r="BC213" s="38">
        <f>AW213+AX213</f>
        <v>0</v>
      </c>
      <c r="BD213" s="38">
        <f>H213/(100-BE213)*100</f>
        <v>0</v>
      </c>
      <c r="BE213" s="38">
        <v>0</v>
      </c>
      <c r="BF213" s="38">
        <f>K213</f>
        <v>2.606247</v>
      </c>
      <c r="BH213" s="38">
        <f>G213*AO213</f>
        <v>0</v>
      </c>
      <c r="BI213" s="38">
        <f>G213*AP213</f>
        <v>0</v>
      </c>
      <c r="BJ213" s="38">
        <f>G213*H213</f>
        <v>0</v>
      </c>
      <c r="BK213" s="38"/>
      <c r="BL213" s="38">
        <v>60</v>
      </c>
      <c r="BW213" s="38">
        <v>21</v>
      </c>
    </row>
    <row r="214" spans="1:12" ht="15">
      <c r="A214" s="74"/>
      <c r="D214" s="75" t="s">
        <v>512</v>
      </c>
      <c r="E214" s="75" t="s">
        <v>513</v>
      </c>
      <c r="G214" s="76">
        <v>71.7</v>
      </c>
      <c r="L214" s="77"/>
    </row>
    <row r="215" spans="1:12" ht="15">
      <c r="A215" s="74"/>
      <c r="D215" s="75" t="s">
        <v>514</v>
      </c>
      <c r="E215" s="75" t="s">
        <v>515</v>
      </c>
      <c r="G215" s="76">
        <v>81.1</v>
      </c>
      <c r="L215" s="77"/>
    </row>
    <row r="216" spans="1:12" ht="15">
      <c r="A216" s="74"/>
      <c r="D216" s="75" t="s">
        <v>516</v>
      </c>
      <c r="E216" s="75" t="s">
        <v>517</v>
      </c>
      <c r="G216" s="76">
        <v>108.1</v>
      </c>
      <c r="L216" s="77"/>
    </row>
    <row r="217" spans="1:12" ht="15">
      <c r="A217" s="74"/>
      <c r="D217" s="75" t="s">
        <v>518</v>
      </c>
      <c r="E217" s="75" t="s">
        <v>519</v>
      </c>
      <c r="G217" s="76">
        <v>59.5</v>
      </c>
      <c r="L217" s="77"/>
    </row>
    <row r="218" spans="1:12" ht="15">
      <c r="A218" s="74"/>
      <c r="D218" s="75" t="s">
        <v>520</v>
      </c>
      <c r="E218" s="75" t="s">
        <v>521</v>
      </c>
      <c r="G218" s="76">
        <v>122.1</v>
      </c>
      <c r="L218" s="77"/>
    </row>
    <row r="219" spans="1:12" ht="15">
      <c r="A219" s="74"/>
      <c r="D219" s="75" t="s">
        <v>522</v>
      </c>
      <c r="E219" s="75" t="s">
        <v>523</v>
      </c>
      <c r="G219" s="76">
        <v>13.54</v>
      </c>
      <c r="L219" s="77"/>
    </row>
    <row r="220" spans="1:12" ht="15">
      <c r="A220" s="74"/>
      <c r="D220" s="75" t="s">
        <v>524</v>
      </c>
      <c r="E220" s="75" t="s">
        <v>525</v>
      </c>
      <c r="G220" s="76">
        <v>-42.35</v>
      </c>
      <c r="L220" s="77"/>
    </row>
    <row r="221" spans="1:75" ht="13.5" customHeight="1">
      <c r="A221" s="1" t="s">
        <v>526</v>
      </c>
      <c r="B221" s="2" t="s">
        <v>84</v>
      </c>
      <c r="C221" s="2" t="s">
        <v>527</v>
      </c>
      <c r="D221" s="108" t="s">
        <v>528</v>
      </c>
      <c r="E221" s="103"/>
      <c r="F221" s="2" t="s">
        <v>263</v>
      </c>
      <c r="G221" s="38">
        <f>'Stavební rozpočet'!G221</f>
        <v>413.69</v>
      </c>
      <c r="H221" s="38">
        <f>'Stavební rozpočet'!H221</f>
        <v>0</v>
      </c>
      <c r="I221" s="38">
        <f>G221*H221</f>
        <v>0</v>
      </c>
      <c r="J221" s="38">
        <f>'Stavební rozpočet'!J221</f>
        <v>0.02625</v>
      </c>
      <c r="K221" s="38">
        <f>G221*J221</f>
        <v>10.8593625</v>
      </c>
      <c r="L221" s="71" t="s">
        <v>136</v>
      </c>
      <c r="Z221" s="38">
        <f>IF(AQ221="5",BJ221,0)</f>
        <v>0</v>
      </c>
      <c r="AB221" s="38">
        <f>IF(AQ221="1",BH221,0)</f>
        <v>0</v>
      </c>
      <c r="AC221" s="38">
        <f>IF(AQ221="1",BI221,0)</f>
        <v>0</v>
      </c>
      <c r="AD221" s="38">
        <f>IF(AQ221="7",BH221,0)</f>
        <v>0</v>
      </c>
      <c r="AE221" s="38">
        <f>IF(AQ221="7",BI221,0)</f>
        <v>0</v>
      </c>
      <c r="AF221" s="38">
        <f>IF(AQ221="2",BH221,0)</f>
        <v>0</v>
      </c>
      <c r="AG221" s="38">
        <f>IF(AQ221="2",BI221,0)</f>
        <v>0</v>
      </c>
      <c r="AH221" s="38">
        <f>IF(AQ221="0",BJ221,0)</f>
        <v>0</v>
      </c>
      <c r="AI221" s="50" t="s">
        <v>84</v>
      </c>
      <c r="AJ221" s="38">
        <f>IF(AN221=0,I221,0)</f>
        <v>0</v>
      </c>
      <c r="AK221" s="38">
        <f>IF(AN221=12,I221,0)</f>
        <v>0</v>
      </c>
      <c r="AL221" s="38">
        <f>IF(AN221=21,I221,0)</f>
        <v>0</v>
      </c>
      <c r="AN221" s="38">
        <v>21</v>
      </c>
      <c r="AO221" s="38">
        <f>H221*0.639451114</f>
        <v>0</v>
      </c>
      <c r="AP221" s="38">
        <f>H221*(1-0.639451114)</f>
        <v>0</v>
      </c>
      <c r="AQ221" s="72" t="s">
        <v>132</v>
      </c>
      <c r="AV221" s="38">
        <f>AW221+AX221</f>
        <v>0</v>
      </c>
      <c r="AW221" s="38">
        <f>G221*AO221</f>
        <v>0</v>
      </c>
      <c r="AX221" s="38">
        <f>G221*AP221</f>
        <v>0</v>
      </c>
      <c r="AY221" s="72" t="s">
        <v>510</v>
      </c>
      <c r="AZ221" s="72" t="s">
        <v>511</v>
      </c>
      <c r="BA221" s="50" t="s">
        <v>139</v>
      </c>
      <c r="BB221" s="73">
        <v>100037</v>
      </c>
      <c r="BC221" s="38">
        <f>AW221+AX221</f>
        <v>0</v>
      </c>
      <c r="BD221" s="38">
        <f>H221/(100-BE221)*100</f>
        <v>0</v>
      </c>
      <c r="BE221" s="38">
        <v>0</v>
      </c>
      <c r="BF221" s="38">
        <f>K221</f>
        <v>10.8593625</v>
      </c>
      <c r="BH221" s="38">
        <f>G221*AO221</f>
        <v>0</v>
      </c>
      <c r="BI221" s="38">
        <f>G221*AP221</f>
        <v>0</v>
      </c>
      <c r="BJ221" s="38">
        <f>G221*H221</f>
        <v>0</v>
      </c>
      <c r="BK221" s="38"/>
      <c r="BL221" s="38">
        <v>60</v>
      </c>
      <c r="BW221" s="38">
        <v>21</v>
      </c>
    </row>
    <row r="222" spans="1:12" ht="13.5" customHeight="1">
      <c r="A222" s="74"/>
      <c r="D222" s="194" t="s">
        <v>529</v>
      </c>
      <c r="E222" s="195"/>
      <c r="F222" s="195"/>
      <c r="G222" s="195"/>
      <c r="H222" s="195"/>
      <c r="I222" s="195"/>
      <c r="J222" s="195"/>
      <c r="K222" s="195"/>
      <c r="L222" s="197"/>
    </row>
    <row r="223" spans="1:12" ht="15">
      <c r="A223" s="74"/>
      <c r="D223" s="75" t="s">
        <v>530</v>
      </c>
      <c r="E223" s="75" t="s">
        <v>4</v>
      </c>
      <c r="G223" s="76">
        <v>413.69</v>
      </c>
      <c r="L223" s="77"/>
    </row>
    <row r="224" spans="1:75" ht="13.5" customHeight="1">
      <c r="A224" s="1" t="s">
        <v>531</v>
      </c>
      <c r="B224" s="2" t="s">
        <v>84</v>
      </c>
      <c r="C224" s="2" t="s">
        <v>532</v>
      </c>
      <c r="D224" s="108" t="s">
        <v>533</v>
      </c>
      <c r="E224" s="103"/>
      <c r="F224" s="2" t="s">
        <v>263</v>
      </c>
      <c r="G224" s="38">
        <f>'Stavební rozpočet'!G224</f>
        <v>413.69</v>
      </c>
      <c r="H224" s="38">
        <f>'Stavební rozpočet'!H224</f>
        <v>0</v>
      </c>
      <c r="I224" s="38">
        <f>G224*H224</f>
        <v>0</v>
      </c>
      <c r="J224" s="38">
        <f>'Stavební rozpočet'!J224</f>
        <v>0.041</v>
      </c>
      <c r="K224" s="38">
        <f>G224*J224</f>
        <v>16.96129</v>
      </c>
      <c r="L224" s="71" t="s">
        <v>136</v>
      </c>
      <c r="Z224" s="38">
        <f>IF(AQ224="5",BJ224,0)</f>
        <v>0</v>
      </c>
      <c r="AB224" s="38">
        <f>IF(AQ224="1",BH224,0)</f>
        <v>0</v>
      </c>
      <c r="AC224" s="38">
        <f>IF(AQ224="1",BI224,0)</f>
        <v>0</v>
      </c>
      <c r="AD224" s="38">
        <f>IF(AQ224="7",BH224,0)</f>
        <v>0</v>
      </c>
      <c r="AE224" s="38">
        <f>IF(AQ224="7",BI224,0)</f>
        <v>0</v>
      </c>
      <c r="AF224" s="38">
        <f>IF(AQ224="2",BH224,0)</f>
        <v>0</v>
      </c>
      <c r="AG224" s="38">
        <f>IF(AQ224="2",BI224,0)</f>
        <v>0</v>
      </c>
      <c r="AH224" s="38">
        <f>IF(AQ224="0",BJ224,0)</f>
        <v>0</v>
      </c>
      <c r="AI224" s="50" t="s">
        <v>84</v>
      </c>
      <c r="AJ224" s="38">
        <f>IF(AN224=0,I224,0)</f>
        <v>0</v>
      </c>
      <c r="AK224" s="38">
        <f>IF(AN224=12,I224,0)</f>
        <v>0</v>
      </c>
      <c r="AL224" s="38">
        <f>IF(AN224=21,I224,0)</f>
        <v>0</v>
      </c>
      <c r="AN224" s="38">
        <v>21</v>
      </c>
      <c r="AO224" s="38">
        <f>H224*0.616081313</f>
        <v>0</v>
      </c>
      <c r="AP224" s="38">
        <f>H224*(1-0.616081313)</f>
        <v>0</v>
      </c>
      <c r="AQ224" s="72" t="s">
        <v>132</v>
      </c>
      <c r="AV224" s="38">
        <f>AW224+AX224</f>
        <v>0</v>
      </c>
      <c r="AW224" s="38">
        <f>G224*AO224</f>
        <v>0</v>
      </c>
      <c r="AX224" s="38">
        <f>G224*AP224</f>
        <v>0</v>
      </c>
      <c r="AY224" s="72" t="s">
        <v>510</v>
      </c>
      <c r="AZ224" s="72" t="s">
        <v>511</v>
      </c>
      <c r="BA224" s="50" t="s">
        <v>139</v>
      </c>
      <c r="BB224" s="73">
        <v>100037</v>
      </c>
      <c r="BC224" s="38">
        <f>AW224+AX224</f>
        <v>0</v>
      </c>
      <c r="BD224" s="38">
        <f>H224/(100-BE224)*100</f>
        <v>0</v>
      </c>
      <c r="BE224" s="38">
        <v>0</v>
      </c>
      <c r="BF224" s="38">
        <f>K224</f>
        <v>16.96129</v>
      </c>
      <c r="BH224" s="38">
        <f>G224*AO224</f>
        <v>0</v>
      </c>
      <c r="BI224" s="38">
        <f>G224*AP224</f>
        <v>0</v>
      </c>
      <c r="BJ224" s="38">
        <f>G224*H224</f>
        <v>0</v>
      </c>
      <c r="BK224" s="38"/>
      <c r="BL224" s="38">
        <v>60</v>
      </c>
      <c r="BW224" s="38">
        <v>21</v>
      </c>
    </row>
    <row r="225" spans="1:12" ht="13.5" customHeight="1">
      <c r="A225" s="74"/>
      <c r="D225" s="194" t="s">
        <v>529</v>
      </c>
      <c r="E225" s="195"/>
      <c r="F225" s="195"/>
      <c r="G225" s="195"/>
      <c r="H225" s="195"/>
      <c r="I225" s="195"/>
      <c r="J225" s="195"/>
      <c r="K225" s="195"/>
      <c r="L225" s="197"/>
    </row>
    <row r="226" spans="1:12" ht="15">
      <c r="A226" s="74"/>
      <c r="D226" s="75" t="s">
        <v>530</v>
      </c>
      <c r="E226" s="75" t="s">
        <v>4</v>
      </c>
      <c r="G226" s="76">
        <v>413.69</v>
      </c>
      <c r="L226" s="77"/>
    </row>
    <row r="227" spans="1:75" ht="27" customHeight="1">
      <c r="A227" s="1" t="s">
        <v>534</v>
      </c>
      <c r="B227" s="2" t="s">
        <v>84</v>
      </c>
      <c r="C227" s="2" t="s">
        <v>535</v>
      </c>
      <c r="D227" s="108" t="s">
        <v>536</v>
      </c>
      <c r="E227" s="103"/>
      <c r="F227" s="2" t="s">
        <v>263</v>
      </c>
      <c r="G227" s="38">
        <f>'Stavební rozpočet'!G227</f>
        <v>42.35</v>
      </c>
      <c r="H227" s="38">
        <f>'Stavební rozpočet'!H227</f>
        <v>0</v>
      </c>
      <c r="I227" s="38">
        <f>G227*H227</f>
        <v>0</v>
      </c>
      <c r="J227" s="38">
        <f>'Stavební rozpočet'!J227</f>
        <v>0.03665</v>
      </c>
      <c r="K227" s="38">
        <f>G227*J227</f>
        <v>1.5521275</v>
      </c>
      <c r="L227" s="71" t="s">
        <v>207</v>
      </c>
      <c r="Z227" s="38">
        <f>IF(AQ227="5",BJ227,0)</f>
        <v>0</v>
      </c>
      <c r="AB227" s="38">
        <f>IF(AQ227="1",BH227,0)</f>
        <v>0</v>
      </c>
      <c r="AC227" s="38">
        <f>IF(AQ227="1",BI227,0)</f>
        <v>0</v>
      </c>
      <c r="AD227" s="38">
        <f>IF(AQ227="7",BH227,0)</f>
        <v>0</v>
      </c>
      <c r="AE227" s="38">
        <f>IF(AQ227="7",BI227,0)</f>
        <v>0</v>
      </c>
      <c r="AF227" s="38">
        <f>IF(AQ227="2",BH227,0)</f>
        <v>0</v>
      </c>
      <c r="AG227" s="38">
        <f>IF(AQ227="2",BI227,0)</f>
        <v>0</v>
      </c>
      <c r="AH227" s="38">
        <f>IF(AQ227="0",BJ227,0)</f>
        <v>0</v>
      </c>
      <c r="AI227" s="50" t="s">
        <v>84</v>
      </c>
      <c r="AJ227" s="38">
        <f>IF(AN227=0,I227,0)</f>
        <v>0</v>
      </c>
      <c r="AK227" s="38">
        <f>IF(AN227=12,I227,0)</f>
        <v>0</v>
      </c>
      <c r="AL227" s="38">
        <f>IF(AN227=21,I227,0)</f>
        <v>0</v>
      </c>
      <c r="AN227" s="38">
        <v>21</v>
      </c>
      <c r="AO227" s="38">
        <f>H227*0.796958741</f>
        <v>0</v>
      </c>
      <c r="AP227" s="38">
        <f>H227*(1-0.796958741)</f>
        <v>0</v>
      </c>
      <c r="AQ227" s="72" t="s">
        <v>132</v>
      </c>
      <c r="AV227" s="38">
        <f>AW227+AX227</f>
        <v>0</v>
      </c>
      <c r="AW227" s="38">
        <f>G227*AO227</f>
        <v>0</v>
      </c>
      <c r="AX227" s="38">
        <f>G227*AP227</f>
        <v>0</v>
      </c>
      <c r="AY227" s="72" t="s">
        <v>510</v>
      </c>
      <c r="AZ227" s="72" t="s">
        <v>511</v>
      </c>
      <c r="BA227" s="50" t="s">
        <v>139</v>
      </c>
      <c r="BB227" s="73">
        <v>100037</v>
      </c>
      <c r="BC227" s="38">
        <f>AW227+AX227</f>
        <v>0</v>
      </c>
      <c r="BD227" s="38">
        <f>H227/(100-BE227)*100</f>
        <v>0</v>
      </c>
      <c r="BE227" s="38">
        <v>0</v>
      </c>
      <c r="BF227" s="38">
        <f>K227</f>
        <v>1.5521275</v>
      </c>
      <c r="BH227" s="38">
        <f>G227*AO227</f>
        <v>0</v>
      </c>
      <c r="BI227" s="38">
        <f>G227*AP227</f>
        <v>0</v>
      </c>
      <c r="BJ227" s="38">
        <f>G227*H227</f>
        <v>0</v>
      </c>
      <c r="BK227" s="38"/>
      <c r="BL227" s="38">
        <v>60</v>
      </c>
      <c r="BW227" s="38">
        <v>21</v>
      </c>
    </row>
    <row r="228" spans="1:12" ht="13.5" customHeight="1">
      <c r="A228" s="74"/>
      <c r="D228" s="194" t="s">
        <v>537</v>
      </c>
      <c r="E228" s="195"/>
      <c r="F228" s="195"/>
      <c r="G228" s="195"/>
      <c r="H228" s="195"/>
      <c r="I228" s="195"/>
      <c r="J228" s="195"/>
      <c r="K228" s="195"/>
      <c r="L228" s="197"/>
    </row>
    <row r="229" spans="1:12" ht="15">
      <c r="A229" s="74"/>
      <c r="D229" s="75" t="s">
        <v>538</v>
      </c>
      <c r="E229" s="75" t="s">
        <v>539</v>
      </c>
      <c r="G229" s="76">
        <v>3.85</v>
      </c>
      <c r="L229" s="77"/>
    </row>
    <row r="230" spans="1:12" ht="15">
      <c r="A230" s="74"/>
      <c r="D230" s="75" t="s">
        <v>540</v>
      </c>
      <c r="E230" s="75" t="s">
        <v>541</v>
      </c>
      <c r="G230" s="76">
        <v>7.7</v>
      </c>
      <c r="L230" s="77"/>
    </row>
    <row r="231" spans="1:12" ht="15">
      <c r="A231" s="74"/>
      <c r="D231" s="75" t="s">
        <v>542</v>
      </c>
      <c r="E231" s="75" t="s">
        <v>543</v>
      </c>
      <c r="G231" s="76">
        <v>11.55</v>
      </c>
      <c r="L231" s="77"/>
    </row>
    <row r="232" spans="1:12" ht="15">
      <c r="A232" s="74"/>
      <c r="D232" s="75" t="s">
        <v>544</v>
      </c>
      <c r="E232" s="75" t="s">
        <v>545</v>
      </c>
      <c r="G232" s="76">
        <v>19.25</v>
      </c>
      <c r="L232" s="77"/>
    </row>
    <row r="233" spans="1:75" ht="13.5" customHeight="1">
      <c r="A233" s="1" t="s">
        <v>546</v>
      </c>
      <c r="B233" s="2" t="s">
        <v>84</v>
      </c>
      <c r="C233" s="2" t="s">
        <v>547</v>
      </c>
      <c r="D233" s="108" t="s">
        <v>548</v>
      </c>
      <c r="E233" s="103"/>
      <c r="F233" s="2" t="s">
        <v>263</v>
      </c>
      <c r="G233" s="38">
        <f>'Stavební rozpočet'!G233</f>
        <v>456.04</v>
      </c>
      <c r="H233" s="38">
        <f>'Stavební rozpočet'!H233</f>
        <v>0</v>
      </c>
      <c r="I233" s="38">
        <f>G233*H233</f>
        <v>0</v>
      </c>
      <c r="J233" s="38">
        <f>'Stavební rozpočet'!J233</f>
        <v>0.0025</v>
      </c>
      <c r="K233" s="38">
        <f>G233*J233</f>
        <v>1.1401000000000001</v>
      </c>
      <c r="L233" s="71" t="s">
        <v>136</v>
      </c>
      <c r="Z233" s="38">
        <f>IF(AQ233="5",BJ233,0)</f>
        <v>0</v>
      </c>
      <c r="AB233" s="38">
        <f>IF(AQ233="1",BH233,0)</f>
        <v>0</v>
      </c>
      <c r="AC233" s="38">
        <f>IF(AQ233="1",BI233,0)</f>
        <v>0</v>
      </c>
      <c r="AD233" s="38">
        <f>IF(AQ233="7",BH233,0)</f>
        <v>0</v>
      </c>
      <c r="AE233" s="38">
        <f>IF(AQ233="7",BI233,0)</f>
        <v>0</v>
      </c>
      <c r="AF233" s="38">
        <f>IF(AQ233="2",BH233,0)</f>
        <v>0</v>
      </c>
      <c r="AG233" s="38">
        <f>IF(AQ233="2",BI233,0)</f>
        <v>0</v>
      </c>
      <c r="AH233" s="38">
        <f>IF(AQ233="0",BJ233,0)</f>
        <v>0</v>
      </c>
      <c r="AI233" s="50" t="s">
        <v>84</v>
      </c>
      <c r="AJ233" s="38">
        <f>IF(AN233=0,I233,0)</f>
        <v>0</v>
      </c>
      <c r="AK233" s="38">
        <f>IF(AN233=12,I233,0)</f>
        <v>0</v>
      </c>
      <c r="AL233" s="38">
        <f>IF(AN233=21,I233,0)</f>
        <v>0</v>
      </c>
      <c r="AN233" s="38">
        <v>21</v>
      </c>
      <c r="AO233" s="38">
        <f>H233*0.213407489</f>
        <v>0</v>
      </c>
      <c r="AP233" s="38">
        <f>H233*(1-0.213407489)</f>
        <v>0</v>
      </c>
      <c r="AQ233" s="72" t="s">
        <v>132</v>
      </c>
      <c r="AV233" s="38">
        <f>AW233+AX233</f>
        <v>0</v>
      </c>
      <c r="AW233" s="38">
        <f>G233*AO233</f>
        <v>0</v>
      </c>
      <c r="AX233" s="38">
        <f>G233*AP233</f>
        <v>0</v>
      </c>
      <c r="AY233" s="72" t="s">
        <v>510</v>
      </c>
      <c r="AZ233" s="72" t="s">
        <v>511</v>
      </c>
      <c r="BA233" s="50" t="s">
        <v>139</v>
      </c>
      <c r="BB233" s="73">
        <v>100037</v>
      </c>
      <c r="BC233" s="38">
        <f>AW233+AX233</f>
        <v>0</v>
      </c>
      <c r="BD233" s="38">
        <f>H233/(100-BE233)*100</f>
        <v>0</v>
      </c>
      <c r="BE233" s="38">
        <v>0</v>
      </c>
      <c r="BF233" s="38">
        <f>K233</f>
        <v>1.1401000000000001</v>
      </c>
      <c r="BH233" s="38">
        <f>G233*AO233</f>
        <v>0</v>
      </c>
      <c r="BI233" s="38">
        <f>G233*AP233</f>
        <v>0</v>
      </c>
      <c r="BJ233" s="38">
        <f>G233*H233</f>
        <v>0</v>
      </c>
      <c r="BK233" s="38"/>
      <c r="BL233" s="38">
        <v>60</v>
      </c>
      <c r="BW233" s="38">
        <v>21</v>
      </c>
    </row>
    <row r="234" spans="1:12" ht="15">
      <c r="A234" s="74"/>
      <c r="D234" s="75" t="s">
        <v>530</v>
      </c>
      <c r="E234" s="75" t="s">
        <v>549</v>
      </c>
      <c r="G234" s="76">
        <v>413.69</v>
      </c>
      <c r="L234" s="77"/>
    </row>
    <row r="235" spans="1:12" ht="15">
      <c r="A235" s="74"/>
      <c r="D235" s="75" t="s">
        <v>550</v>
      </c>
      <c r="E235" s="75" t="s">
        <v>551</v>
      </c>
      <c r="G235" s="76">
        <v>42.35</v>
      </c>
      <c r="L235" s="77"/>
    </row>
    <row r="236" spans="1:47" ht="15">
      <c r="A236" s="65" t="s">
        <v>4</v>
      </c>
      <c r="B236" s="66" t="s">
        <v>84</v>
      </c>
      <c r="C236" s="66" t="s">
        <v>481</v>
      </c>
      <c r="D236" s="192" t="s">
        <v>552</v>
      </c>
      <c r="E236" s="193"/>
      <c r="F236" s="67" t="s">
        <v>78</v>
      </c>
      <c r="G236" s="67" t="s">
        <v>78</v>
      </c>
      <c r="H236" s="67" t="s">
        <v>78</v>
      </c>
      <c r="I236" s="44">
        <f>SUM(I237:I294)</f>
        <v>0</v>
      </c>
      <c r="J236" s="50" t="s">
        <v>4</v>
      </c>
      <c r="K236" s="44">
        <f>SUM(K237:K294)</f>
        <v>27.627441900000004</v>
      </c>
      <c r="L236" s="69" t="s">
        <v>4</v>
      </c>
      <c r="AI236" s="50" t="s">
        <v>84</v>
      </c>
      <c r="AS236" s="44">
        <f>SUM(AJ237:AJ294)</f>
        <v>0</v>
      </c>
      <c r="AT236" s="44">
        <f>SUM(AK237:AK294)</f>
        <v>0</v>
      </c>
      <c r="AU236" s="44">
        <f>SUM(AL237:AL294)</f>
        <v>0</v>
      </c>
    </row>
    <row r="237" spans="1:75" ht="13.5" customHeight="1">
      <c r="A237" s="1" t="s">
        <v>553</v>
      </c>
      <c r="B237" s="2" t="s">
        <v>84</v>
      </c>
      <c r="C237" s="2" t="s">
        <v>554</v>
      </c>
      <c r="D237" s="108" t="s">
        <v>555</v>
      </c>
      <c r="E237" s="103"/>
      <c r="F237" s="2" t="s">
        <v>263</v>
      </c>
      <c r="G237" s="38">
        <f>'Stavební rozpočet'!G237</f>
        <v>8.15</v>
      </c>
      <c r="H237" s="38">
        <f>'Stavební rozpočet'!H237</f>
        <v>0</v>
      </c>
      <c r="I237" s="38">
        <f>G237*H237</f>
        <v>0</v>
      </c>
      <c r="J237" s="38">
        <f>'Stavební rozpočet'!J237</f>
        <v>0.04777</v>
      </c>
      <c r="K237" s="38">
        <f>G237*J237</f>
        <v>0.3893255</v>
      </c>
      <c r="L237" s="71" t="s">
        <v>136</v>
      </c>
      <c r="Z237" s="38">
        <f>IF(AQ237="5",BJ237,0)</f>
        <v>0</v>
      </c>
      <c r="AB237" s="38">
        <f>IF(AQ237="1",BH237,0)</f>
        <v>0</v>
      </c>
      <c r="AC237" s="38">
        <f>IF(AQ237="1",BI237,0)</f>
        <v>0</v>
      </c>
      <c r="AD237" s="38">
        <f>IF(AQ237="7",BH237,0)</f>
        <v>0</v>
      </c>
      <c r="AE237" s="38">
        <f>IF(AQ237="7",BI237,0)</f>
        <v>0</v>
      </c>
      <c r="AF237" s="38">
        <f>IF(AQ237="2",BH237,0)</f>
        <v>0</v>
      </c>
      <c r="AG237" s="38">
        <f>IF(AQ237="2",BI237,0)</f>
        <v>0</v>
      </c>
      <c r="AH237" s="38">
        <f>IF(AQ237="0",BJ237,0)</f>
        <v>0</v>
      </c>
      <c r="AI237" s="50" t="s">
        <v>84</v>
      </c>
      <c r="AJ237" s="38">
        <f>IF(AN237=0,I237,0)</f>
        <v>0</v>
      </c>
      <c r="AK237" s="38">
        <f>IF(AN237=12,I237,0)</f>
        <v>0</v>
      </c>
      <c r="AL237" s="38">
        <f>IF(AN237=21,I237,0)</f>
        <v>0</v>
      </c>
      <c r="AN237" s="38">
        <v>21</v>
      </c>
      <c r="AO237" s="38">
        <f>H237*0.440969404</f>
        <v>0</v>
      </c>
      <c r="AP237" s="38">
        <f>H237*(1-0.440969404)</f>
        <v>0</v>
      </c>
      <c r="AQ237" s="72" t="s">
        <v>132</v>
      </c>
      <c r="AV237" s="38">
        <f>AW237+AX237</f>
        <v>0</v>
      </c>
      <c r="AW237" s="38">
        <f>G237*AO237</f>
        <v>0</v>
      </c>
      <c r="AX237" s="38">
        <f>G237*AP237</f>
        <v>0</v>
      </c>
      <c r="AY237" s="72" t="s">
        <v>556</v>
      </c>
      <c r="AZ237" s="72" t="s">
        <v>511</v>
      </c>
      <c r="BA237" s="50" t="s">
        <v>139</v>
      </c>
      <c r="BB237" s="73">
        <v>100014</v>
      </c>
      <c r="BC237" s="38">
        <f>AW237+AX237</f>
        <v>0</v>
      </c>
      <c r="BD237" s="38">
        <f>H237/(100-BE237)*100</f>
        <v>0</v>
      </c>
      <c r="BE237" s="38">
        <v>0</v>
      </c>
      <c r="BF237" s="38">
        <f>K237</f>
        <v>0.3893255</v>
      </c>
      <c r="BH237" s="38">
        <f>G237*AO237</f>
        <v>0</v>
      </c>
      <c r="BI237" s="38">
        <f>G237*AP237</f>
        <v>0</v>
      </c>
      <c r="BJ237" s="38">
        <f>G237*H237</f>
        <v>0</v>
      </c>
      <c r="BK237" s="38"/>
      <c r="BL237" s="38">
        <v>61</v>
      </c>
      <c r="BW237" s="38">
        <v>21</v>
      </c>
    </row>
    <row r="238" spans="1:12" ht="15">
      <c r="A238" s="74"/>
      <c r="D238" s="75" t="s">
        <v>557</v>
      </c>
      <c r="E238" s="75" t="s">
        <v>231</v>
      </c>
      <c r="G238" s="76">
        <v>3.1</v>
      </c>
      <c r="L238" s="77"/>
    </row>
    <row r="239" spans="1:12" ht="15">
      <c r="A239" s="74"/>
      <c r="D239" s="75" t="s">
        <v>558</v>
      </c>
      <c r="E239" s="75" t="s">
        <v>233</v>
      </c>
      <c r="G239" s="76">
        <v>3.73</v>
      </c>
      <c r="L239" s="77"/>
    </row>
    <row r="240" spans="1:12" ht="15">
      <c r="A240" s="74"/>
      <c r="D240" s="75" t="s">
        <v>559</v>
      </c>
      <c r="E240" s="75" t="s">
        <v>224</v>
      </c>
      <c r="G240" s="76">
        <v>0.72</v>
      </c>
      <c r="L240" s="77"/>
    </row>
    <row r="241" spans="1:12" ht="15">
      <c r="A241" s="74"/>
      <c r="D241" s="75" t="s">
        <v>560</v>
      </c>
      <c r="E241" s="75" t="s">
        <v>226</v>
      </c>
      <c r="G241" s="76">
        <v>0.6</v>
      </c>
      <c r="L241" s="77"/>
    </row>
    <row r="242" spans="1:75" ht="13.5" customHeight="1">
      <c r="A242" s="1" t="s">
        <v>561</v>
      </c>
      <c r="B242" s="2" t="s">
        <v>84</v>
      </c>
      <c r="C242" s="2" t="s">
        <v>562</v>
      </c>
      <c r="D242" s="108" t="s">
        <v>563</v>
      </c>
      <c r="E242" s="103"/>
      <c r="F242" s="2" t="s">
        <v>263</v>
      </c>
      <c r="G242" s="38">
        <f>'Stavební rozpočet'!G242</f>
        <v>75.5</v>
      </c>
      <c r="H242" s="38">
        <f>'Stavební rozpočet'!H242</f>
        <v>0</v>
      </c>
      <c r="I242" s="38">
        <f>G242*H242</f>
        <v>0</v>
      </c>
      <c r="J242" s="38">
        <f>'Stavební rozpočet'!J242</f>
        <v>4E-05</v>
      </c>
      <c r="K242" s="38">
        <f>G242*J242</f>
        <v>0.00302</v>
      </c>
      <c r="L242" s="71" t="s">
        <v>136</v>
      </c>
      <c r="Z242" s="38">
        <f>IF(AQ242="5",BJ242,0)</f>
        <v>0</v>
      </c>
      <c r="AB242" s="38">
        <f>IF(AQ242="1",BH242,0)</f>
        <v>0</v>
      </c>
      <c r="AC242" s="38">
        <f>IF(AQ242="1",BI242,0)</f>
        <v>0</v>
      </c>
      <c r="AD242" s="38">
        <f>IF(AQ242="7",BH242,0)</f>
        <v>0</v>
      </c>
      <c r="AE242" s="38">
        <f>IF(AQ242="7",BI242,0)</f>
        <v>0</v>
      </c>
      <c r="AF242" s="38">
        <f>IF(AQ242="2",BH242,0)</f>
        <v>0</v>
      </c>
      <c r="AG242" s="38">
        <f>IF(AQ242="2",BI242,0)</f>
        <v>0</v>
      </c>
      <c r="AH242" s="38">
        <f>IF(AQ242="0",BJ242,0)</f>
        <v>0</v>
      </c>
      <c r="AI242" s="50" t="s">
        <v>84</v>
      </c>
      <c r="AJ242" s="38">
        <f>IF(AN242=0,I242,0)</f>
        <v>0</v>
      </c>
      <c r="AK242" s="38">
        <f>IF(AN242=12,I242,0)</f>
        <v>0</v>
      </c>
      <c r="AL242" s="38">
        <f>IF(AN242=21,I242,0)</f>
        <v>0</v>
      </c>
      <c r="AN242" s="38">
        <v>21</v>
      </c>
      <c r="AO242" s="38">
        <f>H242*0.33407539</f>
        <v>0</v>
      </c>
      <c r="AP242" s="38">
        <f>H242*(1-0.33407539)</f>
        <v>0</v>
      </c>
      <c r="AQ242" s="72" t="s">
        <v>132</v>
      </c>
      <c r="AV242" s="38">
        <f>AW242+AX242</f>
        <v>0</v>
      </c>
      <c r="AW242" s="38">
        <f>G242*AO242</f>
        <v>0</v>
      </c>
      <c r="AX242" s="38">
        <f>G242*AP242</f>
        <v>0</v>
      </c>
      <c r="AY242" s="72" t="s">
        <v>556</v>
      </c>
      <c r="AZ242" s="72" t="s">
        <v>511</v>
      </c>
      <c r="BA242" s="50" t="s">
        <v>139</v>
      </c>
      <c r="BB242" s="73">
        <v>100014</v>
      </c>
      <c r="BC242" s="38">
        <f>AW242+AX242</f>
        <v>0</v>
      </c>
      <c r="BD242" s="38">
        <f>H242/(100-BE242)*100</f>
        <v>0</v>
      </c>
      <c r="BE242" s="38">
        <v>0</v>
      </c>
      <c r="BF242" s="38">
        <f>K242</f>
        <v>0.00302</v>
      </c>
      <c r="BH242" s="38">
        <f>G242*AO242</f>
        <v>0</v>
      </c>
      <c r="BI242" s="38">
        <f>G242*AP242</f>
        <v>0</v>
      </c>
      <c r="BJ242" s="38">
        <f>G242*H242</f>
        <v>0</v>
      </c>
      <c r="BK242" s="38"/>
      <c r="BL242" s="38">
        <v>61</v>
      </c>
      <c r="BW242" s="38">
        <v>21</v>
      </c>
    </row>
    <row r="243" spans="1:12" ht="15">
      <c r="A243" s="74"/>
      <c r="D243" s="75" t="s">
        <v>564</v>
      </c>
      <c r="E243" s="75" t="s">
        <v>565</v>
      </c>
      <c r="G243" s="76">
        <v>5</v>
      </c>
      <c r="L243" s="77"/>
    </row>
    <row r="244" spans="1:12" ht="15">
      <c r="A244" s="74"/>
      <c r="D244" s="75" t="s">
        <v>566</v>
      </c>
      <c r="E244" s="75" t="s">
        <v>567</v>
      </c>
      <c r="G244" s="76">
        <v>70.5</v>
      </c>
      <c r="L244" s="77"/>
    </row>
    <row r="245" spans="1:75" ht="13.5" customHeight="1">
      <c r="A245" s="1" t="s">
        <v>568</v>
      </c>
      <c r="B245" s="2" t="s">
        <v>84</v>
      </c>
      <c r="C245" s="2" t="s">
        <v>569</v>
      </c>
      <c r="D245" s="108" t="s">
        <v>570</v>
      </c>
      <c r="E245" s="103"/>
      <c r="F245" s="2" t="s">
        <v>263</v>
      </c>
      <c r="G245" s="38">
        <f>'Stavební rozpočet'!G245</f>
        <v>827.38</v>
      </c>
      <c r="H245" s="38">
        <f>'Stavební rozpočet'!H245</f>
        <v>0</v>
      </c>
      <c r="I245" s="38">
        <f>G245*H245</f>
        <v>0</v>
      </c>
      <c r="J245" s="38">
        <f>'Stavební rozpočet'!J245</f>
        <v>0.0005</v>
      </c>
      <c r="K245" s="38">
        <f>G245*J245</f>
        <v>0.41369</v>
      </c>
      <c r="L245" s="71" t="s">
        <v>136</v>
      </c>
      <c r="Z245" s="38">
        <f>IF(AQ245="5",BJ245,0)</f>
        <v>0</v>
      </c>
      <c r="AB245" s="38">
        <f>IF(AQ245="1",BH245,0)</f>
        <v>0</v>
      </c>
      <c r="AC245" s="38">
        <f>IF(AQ245="1",BI245,0)</f>
        <v>0</v>
      </c>
      <c r="AD245" s="38">
        <f>IF(AQ245="7",BH245,0)</f>
        <v>0</v>
      </c>
      <c r="AE245" s="38">
        <f>IF(AQ245="7",BI245,0)</f>
        <v>0</v>
      </c>
      <c r="AF245" s="38">
        <f>IF(AQ245="2",BH245,0)</f>
        <v>0</v>
      </c>
      <c r="AG245" s="38">
        <f>IF(AQ245="2",BI245,0)</f>
        <v>0</v>
      </c>
      <c r="AH245" s="38">
        <f>IF(AQ245="0",BJ245,0)</f>
        <v>0</v>
      </c>
      <c r="AI245" s="50" t="s">
        <v>84</v>
      </c>
      <c r="AJ245" s="38">
        <f>IF(AN245=0,I245,0)</f>
        <v>0</v>
      </c>
      <c r="AK245" s="38">
        <f>IF(AN245=12,I245,0)</f>
        <v>0</v>
      </c>
      <c r="AL245" s="38">
        <f>IF(AN245=21,I245,0)</f>
        <v>0</v>
      </c>
      <c r="AN245" s="38">
        <v>21</v>
      </c>
      <c r="AO245" s="38">
        <f>H245*0.807100108</f>
        <v>0</v>
      </c>
      <c r="AP245" s="38">
        <f>H245*(1-0.807100108)</f>
        <v>0</v>
      </c>
      <c r="AQ245" s="72" t="s">
        <v>132</v>
      </c>
      <c r="AV245" s="38">
        <f>AW245+AX245</f>
        <v>0</v>
      </c>
      <c r="AW245" s="38">
        <f>G245*AO245</f>
        <v>0</v>
      </c>
      <c r="AX245" s="38">
        <f>G245*AP245</f>
        <v>0</v>
      </c>
      <c r="AY245" s="72" t="s">
        <v>556</v>
      </c>
      <c r="AZ245" s="72" t="s">
        <v>511</v>
      </c>
      <c r="BA245" s="50" t="s">
        <v>139</v>
      </c>
      <c r="BB245" s="73">
        <v>100014</v>
      </c>
      <c r="BC245" s="38">
        <f>AW245+AX245</f>
        <v>0</v>
      </c>
      <c r="BD245" s="38">
        <f>H245/(100-BE245)*100</f>
        <v>0</v>
      </c>
      <c r="BE245" s="38">
        <v>0</v>
      </c>
      <c r="BF245" s="38">
        <f>K245</f>
        <v>0.41369</v>
      </c>
      <c r="BH245" s="38">
        <f>G245*AO245</f>
        <v>0</v>
      </c>
      <c r="BI245" s="38">
        <f>G245*AP245</f>
        <v>0</v>
      </c>
      <c r="BJ245" s="38">
        <f>G245*H245</f>
        <v>0</v>
      </c>
      <c r="BK245" s="38"/>
      <c r="BL245" s="38">
        <v>61</v>
      </c>
      <c r="BW245" s="38">
        <v>21</v>
      </c>
    </row>
    <row r="246" spans="1:12" ht="15">
      <c r="A246" s="74"/>
      <c r="D246" s="75" t="s">
        <v>571</v>
      </c>
      <c r="E246" s="75" t="s">
        <v>4</v>
      </c>
      <c r="G246" s="76">
        <v>827.38</v>
      </c>
      <c r="L246" s="77"/>
    </row>
    <row r="247" spans="1:75" ht="13.5" customHeight="1">
      <c r="A247" s="1" t="s">
        <v>572</v>
      </c>
      <c r="B247" s="2" t="s">
        <v>84</v>
      </c>
      <c r="C247" s="2" t="s">
        <v>573</v>
      </c>
      <c r="D247" s="108" t="s">
        <v>574</v>
      </c>
      <c r="E247" s="103"/>
      <c r="F247" s="2" t="s">
        <v>263</v>
      </c>
      <c r="G247" s="38">
        <f>'Stavební rozpočet'!G247</f>
        <v>66.4</v>
      </c>
      <c r="H247" s="38">
        <f>'Stavební rozpočet'!H247</f>
        <v>0</v>
      </c>
      <c r="I247" s="38">
        <f>G247*H247</f>
        <v>0</v>
      </c>
      <c r="J247" s="38">
        <f>'Stavební rozpočet'!J247</f>
        <v>0.00609</v>
      </c>
      <c r="K247" s="38">
        <f>G247*J247</f>
        <v>0.404376</v>
      </c>
      <c r="L247" s="71" t="s">
        <v>136</v>
      </c>
      <c r="Z247" s="38">
        <f>IF(AQ247="5",BJ247,0)</f>
        <v>0</v>
      </c>
      <c r="AB247" s="38">
        <f>IF(AQ247="1",BH247,0)</f>
        <v>0</v>
      </c>
      <c r="AC247" s="38">
        <f>IF(AQ247="1",BI247,0)</f>
        <v>0</v>
      </c>
      <c r="AD247" s="38">
        <f>IF(AQ247="7",BH247,0)</f>
        <v>0</v>
      </c>
      <c r="AE247" s="38">
        <f>IF(AQ247="7",BI247,0)</f>
        <v>0</v>
      </c>
      <c r="AF247" s="38">
        <f>IF(AQ247="2",BH247,0)</f>
        <v>0</v>
      </c>
      <c r="AG247" s="38">
        <f>IF(AQ247="2",BI247,0)</f>
        <v>0</v>
      </c>
      <c r="AH247" s="38">
        <f>IF(AQ247="0",BJ247,0)</f>
        <v>0</v>
      </c>
      <c r="AI247" s="50" t="s">
        <v>84</v>
      </c>
      <c r="AJ247" s="38">
        <f>IF(AN247=0,I247,0)</f>
        <v>0</v>
      </c>
      <c r="AK247" s="38">
        <f>IF(AN247=12,I247,0)</f>
        <v>0</v>
      </c>
      <c r="AL247" s="38">
        <f>IF(AN247=21,I247,0)</f>
        <v>0</v>
      </c>
      <c r="AN247" s="38">
        <v>21</v>
      </c>
      <c r="AO247" s="38">
        <f>H247*0.149130321</f>
        <v>0</v>
      </c>
      <c r="AP247" s="38">
        <f>H247*(1-0.149130321)</f>
        <v>0</v>
      </c>
      <c r="AQ247" s="72" t="s">
        <v>132</v>
      </c>
      <c r="AV247" s="38">
        <f>AW247+AX247</f>
        <v>0</v>
      </c>
      <c r="AW247" s="38">
        <f>G247*AO247</f>
        <v>0</v>
      </c>
      <c r="AX247" s="38">
        <f>G247*AP247</f>
        <v>0</v>
      </c>
      <c r="AY247" s="72" t="s">
        <v>556</v>
      </c>
      <c r="AZ247" s="72" t="s">
        <v>511</v>
      </c>
      <c r="BA247" s="50" t="s">
        <v>139</v>
      </c>
      <c r="BB247" s="73">
        <v>100014</v>
      </c>
      <c r="BC247" s="38">
        <f>AW247+AX247</f>
        <v>0</v>
      </c>
      <c r="BD247" s="38">
        <f>H247/(100-BE247)*100</f>
        <v>0</v>
      </c>
      <c r="BE247" s="38">
        <v>0</v>
      </c>
      <c r="BF247" s="38">
        <f>K247</f>
        <v>0.404376</v>
      </c>
      <c r="BH247" s="38">
        <f>G247*AO247</f>
        <v>0</v>
      </c>
      <c r="BI247" s="38">
        <f>G247*AP247</f>
        <v>0</v>
      </c>
      <c r="BJ247" s="38">
        <f>G247*H247</f>
        <v>0</v>
      </c>
      <c r="BK247" s="38"/>
      <c r="BL247" s="38">
        <v>61</v>
      </c>
      <c r="BW247" s="38">
        <v>21</v>
      </c>
    </row>
    <row r="248" spans="1:12" ht="15">
      <c r="A248" s="74"/>
      <c r="D248" s="75" t="s">
        <v>575</v>
      </c>
      <c r="E248" s="75" t="s">
        <v>576</v>
      </c>
      <c r="G248" s="76">
        <v>25.9</v>
      </c>
      <c r="L248" s="77"/>
    </row>
    <row r="249" spans="1:12" ht="15">
      <c r="A249" s="74"/>
      <c r="D249" s="75" t="s">
        <v>577</v>
      </c>
      <c r="E249" s="75" t="s">
        <v>578</v>
      </c>
      <c r="G249" s="76">
        <v>35.7</v>
      </c>
      <c r="L249" s="77"/>
    </row>
    <row r="250" spans="1:12" ht="15">
      <c r="A250" s="74"/>
      <c r="D250" s="75" t="s">
        <v>579</v>
      </c>
      <c r="E250" s="75" t="s">
        <v>580</v>
      </c>
      <c r="G250" s="76">
        <v>4.8</v>
      </c>
      <c r="L250" s="77"/>
    </row>
    <row r="251" spans="1:75" ht="13.5" customHeight="1">
      <c r="A251" s="1" t="s">
        <v>581</v>
      </c>
      <c r="B251" s="2" t="s">
        <v>84</v>
      </c>
      <c r="C251" s="2" t="s">
        <v>582</v>
      </c>
      <c r="D251" s="108" t="s">
        <v>583</v>
      </c>
      <c r="E251" s="103"/>
      <c r="F251" s="2" t="s">
        <v>263</v>
      </c>
      <c r="G251" s="38">
        <f>'Stavební rozpočet'!G251</f>
        <v>12.05</v>
      </c>
      <c r="H251" s="38">
        <f>'Stavební rozpočet'!H251</f>
        <v>0</v>
      </c>
      <c r="I251" s="38">
        <f>G251*H251</f>
        <v>0</v>
      </c>
      <c r="J251" s="38">
        <f>'Stavební rozpočet'!J251</f>
        <v>0.05123</v>
      </c>
      <c r="K251" s="38">
        <f>G251*J251</f>
        <v>0.6173215</v>
      </c>
      <c r="L251" s="71" t="s">
        <v>136</v>
      </c>
      <c r="Z251" s="38">
        <f>IF(AQ251="5",BJ251,0)</f>
        <v>0</v>
      </c>
      <c r="AB251" s="38">
        <f>IF(AQ251="1",BH251,0)</f>
        <v>0</v>
      </c>
      <c r="AC251" s="38">
        <f>IF(AQ251="1",BI251,0)</f>
        <v>0</v>
      </c>
      <c r="AD251" s="38">
        <f>IF(AQ251="7",BH251,0)</f>
        <v>0</v>
      </c>
      <c r="AE251" s="38">
        <f>IF(AQ251="7",BI251,0)</f>
        <v>0</v>
      </c>
      <c r="AF251" s="38">
        <f>IF(AQ251="2",BH251,0)</f>
        <v>0</v>
      </c>
      <c r="AG251" s="38">
        <f>IF(AQ251="2",BI251,0)</f>
        <v>0</v>
      </c>
      <c r="AH251" s="38">
        <f>IF(AQ251="0",BJ251,0)</f>
        <v>0</v>
      </c>
      <c r="AI251" s="50" t="s">
        <v>84</v>
      </c>
      <c r="AJ251" s="38">
        <f>IF(AN251=0,I251,0)</f>
        <v>0</v>
      </c>
      <c r="AK251" s="38">
        <f>IF(AN251=12,I251,0)</f>
        <v>0</v>
      </c>
      <c r="AL251" s="38">
        <f>IF(AN251=21,I251,0)</f>
        <v>0</v>
      </c>
      <c r="AN251" s="38">
        <v>21</v>
      </c>
      <c r="AO251" s="38">
        <f>H251*0.165666854</f>
        <v>0</v>
      </c>
      <c r="AP251" s="38">
        <f>H251*(1-0.165666854)</f>
        <v>0</v>
      </c>
      <c r="AQ251" s="72" t="s">
        <v>132</v>
      </c>
      <c r="AV251" s="38">
        <f>AW251+AX251</f>
        <v>0</v>
      </c>
      <c r="AW251" s="38">
        <f>G251*AO251</f>
        <v>0</v>
      </c>
      <c r="AX251" s="38">
        <f>G251*AP251</f>
        <v>0</v>
      </c>
      <c r="AY251" s="72" t="s">
        <v>556</v>
      </c>
      <c r="AZ251" s="72" t="s">
        <v>511</v>
      </c>
      <c r="BA251" s="50" t="s">
        <v>139</v>
      </c>
      <c r="BB251" s="73">
        <v>100014</v>
      </c>
      <c r="BC251" s="38">
        <f>AW251+AX251</f>
        <v>0</v>
      </c>
      <c r="BD251" s="38">
        <f>H251/(100-BE251)*100</f>
        <v>0</v>
      </c>
      <c r="BE251" s="38">
        <v>0</v>
      </c>
      <c r="BF251" s="38">
        <f>K251</f>
        <v>0.6173215</v>
      </c>
      <c r="BH251" s="38">
        <f>G251*AO251</f>
        <v>0</v>
      </c>
      <c r="BI251" s="38">
        <f>G251*AP251</f>
        <v>0</v>
      </c>
      <c r="BJ251" s="38">
        <f>G251*H251</f>
        <v>0</v>
      </c>
      <c r="BK251" s="38"/>
      <c r="BL251" s="38">
        <v>61</v>
      </c>
      <c r="BW251" s="38">
        <v>21</v>
      </c>
    </row>
    <row r="252" spans="1:12" ht="15">
      <c r="A252" s="74"/>
      <c r="D252" s="75" t="s">
        <v>584</v>
      </c>
      <c r="E252" s="75" t="s">
        <v>585</v>
      </c>
      <c r="G252" s="76">
        <v>3.67</v>
      </c>
      <c r="L252" s="77"/>
    </row>
    <row r="253" spans="1:12" ht="15">
      <c r="A253" s="74"/>
      <c r="D253" s="75" t="s">
        <v>586</v>
      </c>
      <c r="E253" s="75" t="s">
        <v>587</v>
      </c>
      <c r="G253" s="76">
        <v>4.01</v>
      </c>
      <c r="L253" s="77"/>
    </row>
    <row r="254" spans="1:12" ht="15">
      <c r="A254" s="74"/>
      <c r="D254" s="75" t="s">
        <v>588</v>
      </c>
      <c r="E254" s="75" t="s">
        <v>589</v>
      </c>
      <c r="G254" s="76">
        <v>4.37</v>
      </c>
      <c r="L254" s="77"/>
    </row>
    <row r="255" spans="1:75" ht="13.5" customHeight="1">
      <c r="A255" s="1" t="s">
        <v>590</v>
      </c>
      <c r="B255" s="2" t="s">
        <v>84</v>
      </c>
      <c r="C255" s="2" t="s">
        <v>591</v>
      </c>
      <c r="D255" s="108" t="s">
        <v>592</v>
      </c>
      <c r="E255" s="103"/>
      <c r="F255" s="2" t="s">
        <v>263</v>
      </c>
      <c r="G255" s="38">
        <f>'Stavební rozpočet'!G255</f>
        <v>358.74</v>
      </c>
      <c r="H255" s="38">
        <f>'Stavební rozpočet'!H255</f>
        <v>0</v>
      </c>
      <c r="I255" s="38">
        <f>G255*H255</f>
        <v>0</v>
      </c>
      <c r="J255" s="38">
        <f>'Stavební rozpočet'!J255</f>
        <v>0.00543</v>
      </c>
      <c r="K255" s="38">
        <f>G255*J255</f>
        <v>1.9479582</v>
      </c>
      <c r="L255" s="71" t="s">
        <v>136</v>
      </c>
      <c r="Z255" s="38">
        <f>IF(AQ255="5",BJ255,0)</f>
        <v>0</v>
      </c>
      <c r="AB255" s="38">
        <f>IF(AQ255="1",BH255,0)</f>
        <v>0</v>
      </c>
      <c r="AC255" s="38">
        <f>IF(AQ255="1",BI255,0)</f>
        <v>0</v>
      </c>
      <c r="AD255" s="38">
        <f>IF(AQ255="7",BH255,0)</f>
        <v>0</v>
      </c>
      <c r="AE255" s="38">
        <f>IF(AQ255="7",BI255,0)</f>
        <v>0</v>
      </c>
      <c r="AF255" s="38">
        <f>IF(AQ255="2",BH255,0)</f>
        <v>0</v>
      </c>
      <c r="AG255" s="38">
        <f>IF(AQ255="2",BI255,0)</f>
        <v>0</v>
      </c>
      <c r="AH255" s="38">
        <f>IF(AQ255="0",BJ255,0)</f>
        <v>0</v>
      </c>
      <c r="AI255" s="50" t="s">
        <v>84</v>
      </c>
      <c r="AJ255" s="38">
        <f>IF(AN255=0,I255,0)</f>
        <v>0</v>
      </c>
      <c r="AK255" s="38">
        <f>IF(AN255=12,I255,0)</f>
        <v>0</v>
      </c>
      <c r="AL255" s="38">
        <f>IF(AN255=21,I255,0)</f>
        <v>0</v>
      </c>
      <c r="AN255" s="38">
        <v>21</v>
      </c>
      <c r="AO255" s="38">
        <f>H255*0.066951848</f>
        <v>0</v>
      </c>
      <c r="AP255" s="38">
        <f>H255*(1-0.066951848)</f>
        <v>0</v>
      </c>
      <c r="AQ255" s="72" t="s">
        <v>132</v>
      </c>
      <c r="AV255" s="38">
        <f>AW255+AX255</f>
        <v>0</v>
      </c>
      <c r="AW255" s="38">
        <f>G255*AO255</f>
        <v>0</v>
      </c>
      <c r="AX255" s="38">
        <f>G255*AP255</f>
        <v>0</v>
      </c>
      <c r="AY255" s="72" t="s">
        <v>556</v>
      </c>
      <c r="AZ255" s="72" t="s">
        <v>511</v>
      </c>
      <c r="BA255" s="50" t="s">
        <v>139</v>
      </c>
      <c r="BB255" s="73">
        <v>100014</v>
      </c>
      <c r="BC255" s="38">
        <f>AW255+AX255</f>
        <v>0</v>
      </c>
      <c r="BD255" s="38">
        <f>H255/(100-BE255)*100</f>
        <v>0</v>
      </c>
      <c r="BE255" s="38">
        <v>0</v>
      </c>
      <c r="BF255" s="38">
        <f>K255</f>
        <v>1.9479582</v>
      </c>
      <c r="BH255" s="38">
        <f>G255*AO255</f>
        <v>0</v>
      </c>
      <c r="BI255" s="38">
        <f>G255*AP255</f>
        <v>0</v>
      </c>
      <c r="BJ255" s="38">
        <f>G255*H255</f>
        <v>0</v>
      </c>
      <c r="BK255" s="38"/>
      <c r="BL255" s="38">
        <v>61</v>
      </c>
      <c r="BW255" s="38">
        <v>21</v>
      </c>
    </row>
    <row r="256" spans="1:12" ht="15">
      <c r="A256" s="74"/>
      <c r="D256" s="75" t="s">
        <v>593</v>
      </c>
      <c r="E256" s="75" t="s">
        <v>576</v>
      </c>
      <c r="G256" s="76">
        <v>75.54</v>
      </c>
      <c r="L256" s="77"/>
    </row>
    <row r="257" spans="1:12" ht="15">
      <c r="A257" s="74"/>
      <c r="D257" s="75" t="s">
        <v>594</v>
      </c>
      <c r="E257" s="75" t="s">
        <v>580</v>
      </c>
      <c r="G257" s="76">
        <v>33.75</v>
      </c>
      <c r="L257" s="77"/>
    </row>
    <row r="258" spans="1:12" ht="15">
      <c r="A258" s="74"/>
      <c r="D258" s="75" t="s">
        <v>595</v>
      </c>
      <c r="E258" s="75" t="s">
        <v>596</v>
      </c>
      <c r="G258" s="76">
        <v>108.43</v>
      </c>
      <c r="L258" s="77"/>
    </row>
    <row r="259" spans="1:12" ht="15">
      <c r="A259" s="74"/>
      <c r="D259" s="75" t="s">
        <v>597</v>
      </c>
      <c r="E259" s="75" t="s">
        <v>598</v>
      </c>
      <c r="G259" s="76">
        <v>56.7</v>
      </c>
      <c r="L259" s="77"/>
    </row>
    <row r="260" spans="1:12" ht="15">
      <c r="A260" s="74"/>
      <c r="D260" s="75" t="s">
        <v>599</v>
      </c>
      <c r="E260" s="75" t="s">
        <v>600</v>
      </c>
      <c r="G260" s="76">
        <v>49.2</v>
      </c>
      <c r="L260" s="77"/>
    </row>
    <row r="261" spans="1:12" ht="15">
      <c r="A261" s="74"/>
      <c r="D261" s="75" t="s">
        <v>601</v>
      </c>
      <c r="E261" s="75" t="s">
        <v>602</v>
      </c>
      <c r="G261" s="76">
        <v>35.12</v>
      </c>
      <c r="L261" s="77"/>
    </row>
    <row r="262" spans="1:75" ht="13.5" customHeight="1">
      <c r="A262" s="1" t="s">
        <v>603</v>
      </c>
      <c r="B262" s="2" t="s">
        <v>84</v>
      </c>
      <c r="C262" s="2" t="s">
        <v>604</v>
      </c>
      <c r="D262" s="108" t="s">
        <v>605</v>
      </c>
      <c r="E262" s="103"/>
      <c r="F262" s="2" t="s">
        <v>263</v>
      </c>
      <c r="G262" s="38">
        <f>'Stavební rozpočet'!G262</f>
        <v>426.82</v>
      </c>
      <c r="H262" s="38">
        <f>'Stavební rozpočet'!H262</f>
        <v>0</v>
      </c>
      <c r="I262" s="38">
        <f>G262*H262</f>
        <v>0</v>
      </c>
      <c r="J262" s="38">
        <f>'Stavební rozpočet'!J262</f>
        <v>0.01574</v>
      </c>
      <c r="K262" s="38">
        <f>G262*J262</f>
        <v>6.7181468</v>
      </c>
      <c r="L262" s="71" t="s">
        <v>136</v>
      </c>
      <c r="Z262" s="38">
        <f>IF(AQ262="5",BJ262,0)</f>
        <v>0</v>
      </c>
      <c r="AB262" s="38">
        <f>IF(AQ262="1",BH262,0)</f>
        <v>0</v>
      </c>
      <c r="AC262" s="38">
        <f>IF(AQ262="1",BI262,0)</f>
        <v>0</v>
      </c>
      <c r="AD262" s="38">
        <f>IF(AQ262="7",BH262,0)</f>
        <v>0</v>
      </c>
      <c r="AE262" s="38">
        <f>IF(AQ262="7",BI262,0)</f>
        <v>0</v>
      </c>
      <c r="AF262" s="38">
        <f>IF(AQ262="2",BH262,0)</f>
        <v>0</v>
      </c>
      <c r="AG262" s="38">
        <f>IF(AQ262="2",BI262,0)</f>
        <v>0</v>
      </c>
      <c r="AH262" s="38">
        <f>IF(AQ262="0",BJ262,0)</f>
        <v>0</v>
      </c>
      <c r="AI262" s="50" t="s">
        <v>84</v>
      </c>
      <c r="AJ262" s="38">
        <f>IF(AN262=0,I262,0)</f>
        <v>0</v>
      </c>
      <c r="AK262" s="38">
        <f>IF(AN262=12,I262,0)</f>
        <v>0</v>
      </c>
      <c r="AL262" s="38">
        <f>IF(AN262=21,I262,0)</f>
        <v>0</v>
      </c>
      <c r="AN262" s="38">
        <v>21</v>
      </c>
      <c r="AO262" s="38">
        <f>H262*0.16560179</f>
        <v>0</v>
      </c>
      <c r="AP262" s="38">
        <f>H262*(1-0.16560179)</f>
        <v>0</v>
      </c>
      <c r="AQ262" s="72" t="s">
        <v>132</v>
      </c>
      <c r="AV262" s="38">
        <f>AW262+AX262</f>
        <v>0</v>
      </c>
      <c r="AW262" s="38">
        <f>G262*AO262</f>
        <v>0</v>
      </c>
      <c r="AX262" s="38">
        <f>G262*AP262</f>
        <v>0</v>
      </c>
      <c r="AY262" s="72" t="s">
        <v>556</v>
      </c>
      <c r="AZ262" s="72" t="s">
        <v>511</v>
      </c>
      <c r="BA262" s="50" t="s">
        <v>139</v>
      </c>
      <c r="BB262" s="73">
        <v>100014</v>
      </c>
      <c r="BC262" s="38">
        <f>AW262+AX262</f>
        <v>0</v>
      </c>
      <c r="BD262" s="38">
        <f>H262/(100-BE262)*100</f>
        <v>0</v>
      </c>
      <c r="BE262" s="38">
        <v>0</v>
      </c>
      <c r="BF262" s="38">
        <f>K262</f>
        <v>6.7181468</v>
      </c>
      <c r="BH262" s="38">
        <f>G262*AO262</f>
        <v>0</v>
      </c>
      <c r="BI262" s="38">
        <f>G262*AP262</f>
        <v>0</v>
      </c>
      <c r="BJ262" s="38">
        <f>G262*H262</f>
        <v>0</v>
      </c>
      <c r="BK262" s="38"/>
      <c r="BL262" s="38">
        <v>61</v>
      </c>
      <c r="BW262" s="38">
        <v>21</v>
      </c>
    </row>
    <row r="263" spans="1:12" ht="15">
      <c r="A263" s="74"/>
      <c r="D263" s="75" t="s">
        <v>606</v>
      </c>
      <c r="E263" s="75" t="s">
        <v>607</v>
      </c>
      <c r="G263" s="76">
        <v>43</v>
      </c>
      <c r="L263" s="77"/>
    </row>
    <row r="264" spans="1:12" ht="15">
      <c r="A264" s="74"/>
      <c r="D264" s="75" t="s">
        <v>608</v>
      </c>
      <c r="E264" s="75" t="s">
        <v>609</v>
      </c>
      <c r="G264" s="76">
        <v>9.72</v>
      </c>
      <c r="L264" s="77"/>
    </row>
    <row r="265" spans="1:12" ht="15">
      <c r="A265" s="74"/>
      <c r="D265" s="75" t="s">
        <v>610</v>
      </c>
      <c r="E265" s="75" t="s">
        <v>611</v>
      </c>
      <c r="G265" s="76">
        <v>-57.71</v>
      </c>
      <c r="L265" s="77"/>
    </row>
    <row r="266" spans="1:12" ht="15">
      <c r="A266" s="74"/>
      <c r="D266" s="75" t="s">
        <v>612</v>
      </c>
      <c r="E266" s="75" t="s">
        <v>613</v>
      </c>
      <c r="G266" s="76">
        <v>87.8</v>
      </c>
      <c r="L266" s="77"/>
    </row>
    <row r="267" spans="1:12" ht="15">
      <c r="A267" s="74"/>
      <c r="D267" s="75" t="s">
        <v>614</v>
      </c>
      <c r="E267" s="75" t="s">
        <v>578</v>
      </c>
      <c r="G267" s="76">
        <v>122.4</v>
      </c>
      <c r="L267" s="77"/>
    </row>
    <row r="268" spans="1:12" ht="15">
      <c r="A268" s="74"/>
      <c r="D268" s="75" t="s">
        <v>615</v>
      </c>
      <c r="E268" s="75" t="s">
        <v>616</v>
      </c>
      <c r="G268" s="76">
        <v>61.2</v>
      </c>
      <c r="L268" s="77"/>
    </row>
    <row r="269" spans="1:12" ht="15">
      <c r="A269" s="74"/>
      <c r="D269" s="75" t="s">
        <v>617</v>
      </c>
      <c r="E269" s="75" t="s">
        <v>618</v>
      </c>
      <c r="G269" s="76">
        <v>68.81</v>
      </c>
      <c r="L269" s="77"/>
    </row>
    <row r="270" spans="1:12" ht="15">
      <c r="A270" s="74"/>
      <c r="D270" s="75" t="s">
        <v>619</v>
      </c>
      <c r="E270" s="75" t="s">
        <v>620</v>
      </c>
      <c r="G270" s="76">
        <v>64.6</v>
      </c>
      <c r="L270" s="77"/>
    </row>
    <row r="271" spans="1:12" ht="15">
      <c r="A271" s="74"/>
      <c r="D271" s="75" t="s">
        <v>621</v>
      </c>
      <c r="E271" s="75" t="s">
        <v>622</v>
      </c>
      <c r="G271" s="76">
        <v>20</v>
      </c>
      <c r="L271" s="77"/>
    </row>
    <row r="272" spans="1:12" ht="15">
      <c r="A272" s="74"/>
      <c r="D272" s="75" t="s">
        <v>623</v>
      </c>
      <c r="E272" s="75" t="s">
        <v>624</v>
      </c>
      <c r="G272" s="76">
        <v>7</v>
      </c>
      <c r="L272" s="77"/>
    </row>
    <row r="273" spans="1:75" ht="13.5" customHeight="1">
      <c r="A273" s="1" t="s">
        <v>625</v>
      </c>
      <c r="B273" s="2" t="s">
        <v>84</v>
      </c>
      <c r="C273" s="2" t="s">
        <v>626</v>
      </c>
      <c r="D273" s="108" t="s">
        <v>627</v>
      </c>
      <c r="E273" s="103"/>
      <c r="F273" s="2" t="s">
        <v>263</v>
      </c>
      <c r="G273" s="38">
        <f>'Stavební rozpočet'!G273</f>
        <v>4.31</v>
      </c>
      <c r="H273" s="38">
        <f>'Stavební rozpočet'!H273</f>
        <v>0</v>
      </c>
      <c r="I273" s="38">
        <f>G273*H273</f>
        <v>0</v>
      </c>
      <c r="J273" s="38">
        <f>'Stavební rozpočet'!J273</f>
        <v>0.05123</v>
      </c>
      <c r="K273" s="38">
        <f>G273*J273</f>
        <v>0.22080129999999998</v>
      </c>
      <c r="L273" s="71" t="s">
        <v>136</v>
      </c>
      <c r="Z273" s="38">
        <f>IF(AQ273="5",BJ273,0)</f>
        <v>0</v>
      </c>
      <c r="AB273" s="38">
        <f>IF(AQ273="1",BH273,0)</f>
        <v>0</v>
      </c>
      <c r="AC273" s="38">
        <f>IF(AQ273="1",BI273,0)</f>
        <v>0</v>
      </c>
      <c r="AD273" s="38">
        <f>IF(AQ273="7",BH273,0)</f>
        <v>0</v>
      </c>
      <c r="AE273" s="38">
        <f>IF(AQ273="7",BI273,0)</f>
        <v>0</v>
      </c>
      <c r="AF273" s="38">
        <f>IF(AQ273="2",BH273,0)</f>
        <v>0</v>
      </c>
      <c r="AG273" s="38">
        <f>IF(AQ273="2",BI273,0)</f>
        <v>0</v>
      </c>
      <c r="AH273" s="38">
        <f>IF(AQ273="0",BJ273,0)</f>
        <v>0</v>
      </c>
      <c r="AI273" s="50" t="s">
        <v>84</v>
      </c>
      <c r="AJ273" s="38">
        <f>IF(AN273=0,I273,0)</f>
        <v>0</v>
      </c>
      <c r="AK273" s="38">
        <f>IF(AN273=12,I273,0)</f>
        <v>0</v>
      </c>
      <c r="AL273" s="38">
        <f>IF(AN273=21,I273,0)</f>
        <v>0</v>
      </c>
      <c r="AN273" s="38">
        <v>21</v>
      </c>
      <c r="AO273" s="38">
        <f>H273*0.186041588</f>
        <v>0</v>
      </c>
      <c r="AP273" s="38">
        <f>H273*(1-0.186041588)</f>
        <v>0</v>
      </c>
      <c r="AQ273" s="72" t="s">
        <v>132</v>
      </c>
      <c r="AV273" s="38">
        <f>AW273+AX273</f>
        <v>0</v>
      </c>
      <c r="AW273" s="38">
        <f>G273*AO273</f>
        <v>0</v>
      </c>
      <c r="AX273" s="38">
        <f>G273*AP273</f>
        <v>0</v>
      </c>
      <c r="AY273" s="72" t="s">
        <v>556</v>
      </c>
      <c r="AZ273" s="72" t="s">
        <v>511</v>
      </c>
      <c r="BA273" s="50" t="s">
        <v>139</v>
      </c>
      <c r="BB273" s="73">
        <v>100014</v>
      </c>
      <c r="BC273" s="38">
        <f>AW273+AX273</f>
        <v>0</v>
      </c>
      <c r="BD273" s="38">
        <f>H273/(100-BE273)*100</f>
        <v>0</v>
      </c>
      <c r="BE273" s="38">
        <v>0</v>
      </c>
      <c r="BF273" s="38">
        <f>K273</f>
        <v>0.22080129999999998</v>
      </c>
      <c r="BH273" s="38">
        <f>G273*AO273</f>
        <v>0</v>
      </c>
      <c r="BI273" s="38">
        <f>G273*AP273</f>
        <v>0</v>
      </c>
      <c r="BJ273" s="38">
        <f>G273*H273</f>
        <v>0</v>
      </c>
      <c r="BK273" s="38"/>
      <c r="BL273" s="38">
        <v>61</v>
      </c>
      <c r="BW273" s="38">
        <v>21</v>
      </c>
    </row>
    <row r="274" spans="1:12" ht="15">
      <c r="A274" s="74"/>
      <c r="D274" s="75" t="s">
        <v>628</v>
      </c>
      <c r="E274" s="75" t="s">
        <v>523</v>
      </c>
      <c r="G274" s="76">
        <v>4.31</v>
      </c>
      <c r="L274" s="77"/>
    </row>
    <row r="275" spans="1:75" ht="13.5" customHeight="1">
      <c r="A275" s="1" t="s">
        <v>629</v>
      </c>
      <c r="B275" s="2" t="s">
        <v>84</v>
      </c>
      <c r="C275" s="2" t="s">
        <v>630</v>
      </c>
      <c r="D275" s="108" t="s">
        <v>631</v>
      </c>
      <c r="E275" s="103"/>
      <c r="F275" s="2" t="s">
        <v>263</v>
      </c>
      <c r="G275" s="38">
        <f>'Stavební rozpočet'!G275</f>
        <v>116.56</v>
      </c>
      <c r="H275" s="38">
        <f>'Stavební rozpočet'!H275</f>
        <v>0</v>
      </c>
      <c r="I275" s="38">
        <f>G275*H275</f>
        <v>0</v>
      </c>
      <c r="J275" s="38">
        <f>'Stavební rozpočet'!J275</f>
        <v>0.04414</v>
      </c>
      <c r="K275" s="38">
        <f>G275*J275</f>
        <v>5.1449584</v>
      </c>
      <c r="L275" s="71" t="s">
        <v>136</v>
      </c>
      <c r="Z275" s="38">
        <f>IF(AQ275="5",BJ275,0)</f>
        <v>0</v>
      </c>
      <c r="AB275" s="38">
        <f>IF(AQ275="1",BH275,0)</f>
        <v>0</v>
      </c>
      <c r="AC275" s="38">
        <f>IF(AQ275="1",BI275,0)</f>
        <v>0</v>
      </c>
      <c r="AD275" s="38">
        <f>IF(AQ275="7",BH275,0)</f>
        <v>0</v>
      </c>
      <c r="AE275" s="38">
        <f>IF(AQ275="7",BI275,0)</f>
        <v>0</v>
      </c>
      <c r="AF275" s="38">
        <f>IF(AQ275="2",BH275,0)</f>
        <v>0</v>
      </c>
      <c r="AG275" s="38">
        <f>IF(AQ275="2",BI275,0)</f>
        <v>0</v>
      </c>
      <c r="AH275" s="38">
        <f>IF(AQ275="0",BJ275,0)</f>
        <v>0</v>
      </c>
      <c r="AI275" s="50" t="s">
        <v>84</v>
      </c>
      <c r="AJ275" s="38">
        <f>IF(AN275=0,I275,0)</f>
        <v>0</v>
      </c>
      <c r="AK275" s="38">
        <f>IF(AN275=12,I275,0)</f>
        <v>0</v>
      </c>
      <c r="AL275" s="38">
        <f>IF(AN275=21,I275,0)</f>
        <v>0</v>
      </c>
      <c r="AN275" s="38">
        <v>21</v>
      </c>
      <c r="AO275" s="38">
        <f>H275*0.152221037</f>
        <v>0</v>
      </c>
      <c r="AP275" s="38">
        <f>H275*(1-0.152221037)</f>
        <v>0</v>
      </c>
      <c r="AQ275" s="72" t="s">
        <v>132</v>
      </c>
      <c r="AV275" s="38">
        <f>AW275+AX275</f>
        <v>0</v>
      </c>
      <c r="AW275" s="38">
        <f>G275*AO275</f>
        <v>0</v>
      </c>
      <c r="AX275" s="38">
        <f>G275*AP275</f>
        <v>0</v>
      </c>
      <c r="AY275" s="72" t="s">
        <v>556</v>
      </c>
      <c r="AZ275" s="72" t="s">
        <v>511</v>
      </c>
      <c r="BA275" s="50" t="s">
        <v>139</v>
      </c>
      <c r="BB275" s="73">
        <v>100014</v>
      </c>
      <c r="BC275" s="38">
        <f>AW275+AX275</f>
        <v>0</v>
      </c>
      <c r="BD275" s="38">
        <f>H275/(100-BE275)*100</f>
        <v>0</v>
      </c>
      <c r="BE275" s="38">
        <v>0</v>
      </c>
      <c r="BF275" s="38">
        <f>K275</f>
        <v>5.1449584</v>
      </c>
      <c r="BH275" s="38">
        <f>G275*AO275</f>
        <v>0</v>
      </c>
      <c r="BI275" s="38">
        <f>G275*AP275</f>
        <v>0</v>
      </c>
      <c r="BJ275" s="38">
        <f>G275*H275</f>
        <v>0</v>
      </c>
      <c r="BK275" s="38"/>
      <c r="BL275" s="38">
        <v>61</v>
      </c>
      <c r="BW275" s="38">
        <v>21</v>
      </c>
    </row>
    <row r="276" spans="1:12" ht="15">
      <c r="A276" s="74"/>
      <c r="D276" s="75" t="s">
        <v>632</v>
      </c>
      <c r="E276" s="75" t="s">
        <v>633</v>
      </c>
      <c r="G276" s="76">
        <v>59.22</v>
      </c>
      <c r="L276" s="77"/>
    </row>
    <row r="277" spans="1:12" ht="15">
      <c r="A277" s="74"/>
      <c r="D277" s="75" t="s">
        <v>634</v>
      </c>
      <c r="E277" s="75" t="s">
        <v>635</v>
      </c>
      <c r="G277" s="76">
        <v>32.14</v>
      </c>
      <c r="L277" s="77"/>
    </row>
    <row r="278" spans="1:12" ht="15">
      <c r="A278" s="74"/>
      <c r="D278" s="75" t="s">
        <v>636</v>
      </c>
      <c r="E278" s="75" t="s">
        <v>637</v>
      </c>
      <c r="G278" s="76">
        <v>25.2</v>
      </c>
      <c r="L278" s="77"/>
    </row>
    <row r="279" spans="1:75" ht="13.5" customHeight="1">
      <c r="A279" s="1" t="s">
        <v>638</v>
      </c>
      <c r="B279" s="2" t="s">
        <v>84</v>
      </c>
      <c r="C279" s="2" t="s">
        <v>639</v>
      </c>
      <c r="D279" s="108" t="s">
        <v>640</v>
      </c>
      <c r="E279" s="103"/>
      <c r="F279" s="2" t="s">
        <v>263</v>
      </c>
      <c r="G279" s="38">
        <f>'Stavební rozpočet'!G279</f>
        <v>136.19</v>
      </c>
      <c r="H279" s="38">
        <f>'Stavební rozpočet'!H279</f>
        <v>0</v>
      </c>
      <c r="I279" s="38">
        <f>G279*H279</f>
        <v>0</v>
      </c>
      <c r="J279" s="38">
        <f>'Stavební rozpočet'!J279</f>
        <v>0.04766</v>
      </c>
      <c r="K279" s="38">
        <f>G279*J279</f>
        <v>6.4908154</v>
      </c>
      <c r="L279" s="71" t="s">
        <v>136</v>
      </c>
      <c r="Z279" s="38">
        <f>IF(AQ279="5",BJ279,0)</f>
        <v>0</v>
      </c>
      <c r="AB279" s="38">
        <f>IF(AQ279="1",BH279,0)</f>
        <v>0</v>
      </c>
      <c r="AC279" s="38">
        <f>IF(AQ279="1",BI279,0)</f>
        <v>0</v>
      </c>
      <c r="AD279" s="38">
        <f>IF(AQ279="7",BH279,0)</f>
        <v>0</v>
      </c>
      <c r="AE279" s="38">
        <f>IF(AQ279="7",BI279,0)</f>
        <v>0</v>
      </c>
      <c r="AF279" s="38">
        <f>IF(AQ279="2",BH279,0)</f>
        <v>0</v>
      </c>
      <c r="AG279" s="38">
        <f>IF(AQ279="2",BI279,0)</f>
        <v>0</v>
      </c>
      <c r="AH279" s="38">
        <f>IF(AQ279="0",BJ279,0)</f>
        <v>0</v>
      </c>
      <c r="AI279" s="50" t="s">
        <v>84</v>
      </c>
      <c r="AJ279" s="38">
        <f>IF(AN279=0,I279,0)</f>
        <v>0</v>
      </c>
      <c r="AK279" s="38">
        <f>IF(AN279=12,I279,0)</f>
        <v>0</v>
      </c>
      <c r="AL279" s="38">
        <f>IF(AN279=21,I279,0)</f>
        <v>0</v>
      </c>
      <c r="AN279" s="38">
        <v>21</v>
      </c>
      <c r="AO279" s="38">
        <f>H279*0.131226386</f>
        <v>0</v>
      </c>
      <c r="AP279" s="38">
        <f>H279*(1-0.131226386)</f>
        <v>0</v>
      </c>
      <c r="AQ279" s="72" t="s">
        <v>132</v>
      </c>
      <c r="AV279" s="38">
        <f>AW279+AX279</f>
        <v>0</v>
      </c>
      <c r="AW279" s="38">
        <f>G279*AO279</f>
        <v>0</v>
      </c>
      <c r="AX279" s="38">
        <f>G279*AP279</f>
        <v>0</v>
      </c>
      <c r="AY279" s="72" t="s">
        <v>556</v>
      </c>
      <c r="AZ279" s="72" t="s">
        <v>511</v>
      </c>
      <c r="BA279" s="50" t="s">
        <v>139</v>
      </c>
      <c r="BB279" s="73">
        <v>100014</v>
      </c>
      <c r="BC279" s="38">
        <f>AW279+AX279</f>
        <v>0</v>
      </c>
      <c r="BD279" s="38">
        <f>H279/(100-BE279)*100</f>
        <v>0</v>
      </c>
      <c r="BE279" s="38">
        <v>0</v>
      </c>
      <c r="BF279" s="38">
        <f>K279</f>
        <v>6.4908154</v>
      </c>
      <c r="BH279" s="38">
        <f>G279*AO279</f>
        <v>0</v>
      </c>
      <c r="BI279" s="38">
        <f>G279*AP279</f>
        <v>0</v>
      </c>
      <c r="BJ279" s="38">
        <f>G279*H279</f>
        <v>0</v>
      </c>
      <c r="BK279" s="38"/>
      <c r="BL279" s="38">
        <v>61</v>
      </c>
      <c r="BW279" s="38">
        <v>21</v>
      </c>
    </row>
    <row r="280" spans="1:12" ht="13.5" customHeight="1">
      <c r="A280" s="74"/>
      <c r="D280" s="194" t="s">
        <v>641</v>
      </c>
      <c r="E280" s="195"/>
      <c r="F280" s="195"/>
      <c r="G280" s="195"/>
      <c r="H280" s="195"/>
      <c r="I280" s="195"/>
      <c r="J280" s="195"/>
      <c r="K280" s="195"/>
      <c r="L280" s="197"/>
    </row>
    <row r="281" spans="1:12" ht="15">
      <c r="A281" s="74"/>
      <c r="D281" s="75" t="s">
        <v>642</v>
      </c>
      <c r="E281" s="75" t="s">
        <v>643</v>
      </c>
      <c r="G281" s="76">
        <v>1.83</v>
      </c>
      <c r="L281" s="77"/>
    </row>
    <row r="282" spans="1:12" ht="15">
      <c r="A282" s="74"/>
      <c r="D282" s="75" t="s">
        <v>644</v>
      </c>
      <c r="E282" s="75" t="s">
        <v>645</v>
      </c>
      <c r="G282" s="76">
        <v>13.34</v>
      </c>
      <c r="L282" s="77"/>
    </row>
    <row r="283" spans="1:12" ht="15">
      <c r="A283" s="74"/>
      <c r="D283" s="75" t="s">
        <v>646</v>
      </c>
      <c r="E283" s="75" t="s">
        <v>315</v>
      </c>
      <c r="G283" s="76">
        <v>13.16</v>
      </c>
      <c r="L283" s="77"/>
    </row>
    <row r="284" spans="1:12" ht="15">
      <c r="A284" s="74"/>
      <c r="D284" s="75" t="s">
        <v>647</v>
      </c>
      <c r="E284" s="75" t="s">
        <v>317</v>
      </c>
      <c r="G284" s="76">
        <v>107.86</v>
      </c>
      <c r="L284" s="77"/>
    </row>
    <row r="285" spans="1:75" ht="13.5" customHeight="1">
      <c r="A285" s="1" t="s">
        <v>648</v>
      </c>
      <c r="B285" s="2" t="s">
        <v>84</v>
      </c>
      <c r="C285" s="2" t="s">
        <v>649</v>
      </c>
      <c r="D285" s="108" t="s">
        <v>650</v>
      </c>
      <c r="E285" s="103"/>
      <c r="F285" s="2" t="s">
        <v>263</v>
      </c>
      <c r="G285" s="38">
        <f>'Stavební rozpočet'!G285</f>
        <v>466.5</v>
      </c>
      <c r="H285" s="38">
        <f>'Stavební rozpočet'!H285</f>
        <v>0</v>
      </c>
      <c r="I285" s="38">
        <f>G285*H285</f>
        <v>0</v>
      </c>
      <c r="J285" s="38">
        <f>'Stavební rozpočet'!J285</f>
        <v>0.00803</v>
      </c>
      <c r="K285" s="38">
        <f>G285*J285</f>
        <v>3.745995</v>
      </c>
      <c r="L285" s="71" t="s">
        <v>136</v>
      </c>
      <c r="Z285" s="38">
        <f>IF(AQ285="5",BJ285,0)</f>
        <v>0</v>
      </c>
      <c r="AB285" s="38">
        <f>IF(AQ285="1",BH285,0)</f>
        <v>0</v>
      </c>
      <c r="AC285" s="38">
        <f>IF(AQ285="1",BI285,0)</f>
        <v>0</v>
      </c>
      <c r="AD285" s="38">
        <f>IF(AQ285="7",BH285,0)</f>
        <v>0</v>
      </c>
      <c r="AE285" s="38">
        <f>IF(AQ285="7",BI285,0)</f>
        <v>0</v>
      </c>
      <c r="AF285" s="38">
        <f>IF(AQ285="2",BH285,0)</f>
        <v>0</v>
      </c>
      <c r="AG285" s="38">
        <f>IF(AQ285="2",BI285,0)</f>
        <v>0</v>
      </c>
      <c r="AH285" s="38">
        <f>IF(AQ285="0",BJ285,0)</f>
        <v>0</v>
      </c>
      <c r="AI285" s="50" t="s">
        <v>84</v>
      </c>
      <c r="AJ285" s="38">
        <f>IF(AN285=0,I285,0)</f>
        <v>0</v>
      </c>
      <c r="AK285" s="38">
        <f>IF(AN285=12,I285,0)</f>
        <v>0</v>
      </c>
      <c r="AL285" s="38">
        <f>IF(AN285=21,I285,0)</f>
        <v>0</v>
      </c>
      <c r="AN285" s="38">
        <v>21</v>
      </c>
      <c r="AO285" s="38">
        <f>H285*0.207987814</f>
        <v>0</v>
      </c>
      <c r="AP285" s="38">
        <f>H285*(1-0.207987814)</f>
        <v>0</v>
      </c>
      <c r="AQ285" s="72" t="s">
        <v>132</v>
      </c>
      <c r="AV285" s="38">
        <f>AW285+AX285</f>
        <v>0</v>
      </c>
      <c r="AW285" s="38">
        <f>G285*AO285</f>
        <v>0</v>
      </c>
      <c r="AX285" s="38">
        <f>G285*AP285</f>
        <v>0</v>
      </c>
      <c r="AY285" s="72" t="s">
        <v>556</v>
      </c>
      <c r="AZ285" s="72" t="s">
        <v>511</v>
      </c>
      <c r="BA285" s="50" t="s">
        <v>139</v>
      </c>
      <c r="BB285" s="73">
        <v>100014</v>
      </c>
      <c r="BC285" s="38">
        <f>AW285+AX285</f>
        <v>0</v>
      </c>
      <c r="BD285" s="38">
        <f>H285/(100-BE285)*100</f>
        <v>0</v>
      </c>
      <c r="BE285" s="38">
        <v>0</v>
      </c>
      <c r="BF285" s="38">
        <f>K285</f>
        <v>3.745995</v>
      </c>
      <c r="BH285" s="38">
        <f>G285*AO285</f>
        <v>0</v>
      </c>
      <c r="BI285" s="38">
        <f>G285*AP285</f>
        <v>0</v>
      </c>
      <c r="BJ285" s="38">
        <f>G285*H285</f>
        <v>0</v>
      </c>
      <c r="BK285" s="38"/>
      <c r="BL285" s="38">
        <v>61</v>
      </c>
      <c r="BW285" s="38">
        <v>21</v>
      </c>
    </row>
    <row r="286" spans="1:12" ht="13.5" customHeight="1">
      <c r="A286" s="74"/>
      <c r="D286" s="194" t="s">
        <v>651</v>
      </c>
      <c r="E286" s="195"/>
      <c r="F286" s="195"/>
      <c r="G286" s="195"/>
      <c r="H286" s="195"/>
      <c r="I286" s="195"/>
      <c r="J286" s="195"/>
      <c r="K286" s="195"/>
      <c r="L286" s="197"/>
    </row>
    <row r="287" spans="1:12" ht="15">
      <c r="A287" s="74"/>
      <c r="D287" s="75" t="s">
        <v>652</v>
      </c>
      <c r="E287" s="75" t="s">
        <v>653</v>
      </c>
      <c r="G287" s="76">
        <v>466.5</v>
      </c>
      <c r="L287" s="77"/>
    </row>
    <row r="288" spans="1:75" ht="13.5" customHeight="1">
      <c r="A288" s="1" t="s">
        <v>654</v>
      </c>
      <c r="B288" s="2" t="s">
        <v>84</v>
      </c>
      <c r="C288" s="2" t="s">
        <v>655</v>
      </c>
      <c r="D288" s="108" t="s">
        <v>656</v>
      </c>
      <c r="E288" s="103"/>
      <c r="F288" s="2" t="s">
        <v>263</v>
      </c>
      <c r="G288" s="38">
        <f>'Stavební rozpočet'!G288</f>
        <v>84.42</v>
      </c>
      <c r="H288" s="38">
        <f>'Stavební rozpočet'!H288</f>
        <v>0</v>
      </c>
      <c r="I288" s="38">
        <f>G288*H288</f>
        <v>0</v>
      </c>
      <c r="J288" s="38">
        <f>'Stavební rozpočet'!J288</f>
        <v>0.01339</v>
      </c>
      <c r="K288" s="38">
        <f>G288*J288</f>
        <v>1.1303838000000002</v>
      </c>
      <c r="L288" s="71" t="s">
        <v>207</v>
      </c>
      <c r="Z288" s="38">
        <f>IF(AQ288="5",BJ288,0)</f>
        <v>0</v>
      </c>
      <c r="AB288" s="38">
        <f>IF(AQ288="1",BH288,0)</f>
        <v>0</v>
      </c>
      <c r="AC288" s="38">
        <f>IF(AQ288="1",BI288,0)</f>
        <v>0</v>
      </c>
      <c r="AD288" s="38">
        <f>IF(AQ288="7",BH288,0)</f>
        <v>0</v>
      </c>
      <c r="AE288" s="38">
        <f>IF(AQ288="7",BI288,0)</f>
        <v>0</v>
      </c>
      <c r="AF288" s="38">
        <f>IF(AQ288="2",BH288,0)</f>
        <v>0</v>
      </c>
      <c r="AG288" s="38">
        <f>IF(AQ288="2",BI288,0)</f>
        <v>0</v>
      </c>
      <c r="AH288" s="38">
        <f>IF(AQ288="0",BJ288,0)</f>
        <v>0</v>
      </c>
      <c r="AI288" s="50" t="s">
        <v>84</v>
      </c>
      <c r="AJ288" s="38">
        <f>IF(AN288=0,I288,0)</f>
        <v>0</v>
      </c>
      <c r="AK288" s="38">
        <f>IF(AN288=12,I288,0)</f>
        <v>0</v>
      </c>
      <c r="AL288" s="38">
        <f>IF(AN288=21,I288,0)</f>
        <v>0</v>
      </c>
      <c r="AN288" s="38">
        <v>21</v>
      </c>
      <c r="AO288" s="38">
        <f>H288*0.243653503</f>
        <v>0</v>
      </c>
      <c r="AP288" s="38">
        <f>H288*(1-0.243653503)</f>
        <v>0</v>
      </c>
      <c r="AQ288" s="72" t="s">
        <v>132</v>
      </c>
      <c r="AV288" s="38">
        <f>AW288+AX288</f>
        <v>0</v>
      </c>
      <c r="AW288" s="38">
        <f>G288*AO288</f>
        <v>0</v>
      </c>
      <c r="AX288" s="38">
        <f>G288*AP288</f>
        <v>0</v>
      </c>
      <c r="AY288" s="72" t="s">
        <v>556</v>
      </c>
      <c r="AZ288" s="72" t="s">
        <v>511</v>
      </c>
      <c r="BA288" s="50" t="s">
        <v>139</v>
      </c>
      <c r="BB288" s="73">
        <v>100014</v>
      </c>
      <c r="BC288" s="38">
        <f>AW288+AX288</f>
        <v>0</v>
      </c>
      <c r="BD288" s="38">
        <f>H288/(100-BE288)*100</f>
        <v>0</v>
      </c>
      <c r="BE288" s="38">
        <v>0</v>
      </c>
      <c r="BF288" s="38">
        <f>K288</f>
        <v>1.1303838000000002</v>
      </c>
      <c r="BH288" s="38">
        <f>G288*AO288</f>
        <v>0</v>
      </c>
      <c r="BI288" s="38">
        <f>G288*AP288</f>
        <v>0</v>
      </c>
      <c r="BJ288" s="38">
        <f>G288*H288</f>
        <v>0</v>
      </c>
      <c r="BK288" s="38"/>
      <c r="BL288" s="38">
        <v>61</v>
      </c>
      <c r="BW288" s="38">
        <v>21</v>
      </c>
    </row>
    <row r="289" spans="1:12" ht="13.5" customHeight="1">
      <c r="A289" s="74"/>
      <c r="D289" s="194" t="s">
        <v>651</v>
      </c>
      <c r="E289" s="195"/>
      <c r="F289" s="195"/>
      <c r="G289" s="195"/>
      <c r="H289" s="195"/>
      <c r="I289" s="195"/>
      <c r="J289" s="195"/>
      <c r="K289" s="195"/>
      <c r="L289" s="197"/>
    </row>
    <row r="290" spans="1:12" ht="15">
      <c r="A290" s="74"/>
      <c r="D290" s="75" t="s">
        <v>657</v>
      </c>
      <c r="E290" s="75" t="s">
        <v>658</v>
      </c>
      <c r="G290" s="76">
        <v>84.42</v>
      </c>
      <c r="L290" s="77"/>
    </row>
    <row r="291" spans="1:75" ht="13.5" customHeight="1">
      <c r="A291" s="1" t="s">
        <v>659</v>
      </c>
      <c r="B291" s="2" t="s">
        <v>84</v>
      </c>
      <c r="C291" s="2" t="s">
        <v>660</v>
      </c>
      <c r="D291" s="108" t="s">
        <v>661</v>
      </c>
      <c r="E291" s="103"/>
      <c r="F291" s="2" t="s">
        <v>199</v>
      </c>
      <c r="G291" s="38">
        <f>'Stavební rozpočet'!G291</f>
        <v>10</v>
      </c>
      <c r="H291" s="38">
        <f>'Stavební rozpočet'!H291</f>
        <v>0</v>
      </c>
      <c r="I291" s="38">
        <f>G291*H291</f>
        <v>0</v>
      </c>
      <c r="J291" s="38">
        <f>'Stavební rozpočet'!J291</f>
        <v>0.03562</v>
      </c>
      <c r="K291" s="38">
        <f>G291*J291</f>
        <v>0.35619999999999996</v>
      </c>
      <c r="L291" s="71" t="s">
        <v>207</v>
      </c>
      <c r="Z291" s="38">
        <f>IF(AQ291="5",BJ291,0)</f>
        <v>0</v>
      </c>
      <c r="AB291" s="38">
        <f>IF(AQ291="1",BH291,0)</f>
        <v>0</v>
      </c>
      <c r="AC291" s="38">
        <f>IF(AQ291="1",BI291,0)</f>
        <v>0</v>
      </c>
      <c r="AD291" s="38">
        <f>IF(AQ291="7",BH291,0)</f>
        <v>0</v>
      </c>
      <c r="AE291" s="38">
        <f>IF(AQ291="7",BI291,0)</f>
        <v>0</v>
      </c>
      <c r="AF291" s="38">
        <f>IF(AQ291="2",BH291,0)</f>
        <v>0</v>
      </c>
      <c r="AG291" s="38">
        <f>IF(AQ291="2",BI291,0)</f>
        <v>0</v>
      </c>
      <c r="AH291" s="38">
        <f>IF(AQ291="0",BJ291,0)</f>
        <v>0</v>
      </c>
      <c r="AI291" s="50" t="s">
        <v>84</v>
      </c>
      <c r="AJ291" s="38">
        <f>IF(AN291=0,I291,0)</f>
        <v>0</v>
      </c>
      <c r="AK291" s="38">
        <f>IF(AN291=12,I291,0)</f>
        <v>0</v>
      </c>
      <c r="AL291" s="38">
        <f>IF(AN291=21,I291,0)</f>
        <v>0</v>
      </c>
      <c r="AN291" s="38">
        <v>21</v>
      </c>
      <c r="AO291" s="38">
        <f>H291*0.381144279</f>
        <v>0</v>
      </c>
      <c r="AP291" s="38">
        <f>H291*(1-0.381144279)</f>
        <v>0</v>
      </c>
      <c r="AQ291" s="72" t="s">
        <v>132</v>
      </c>
      <c r="AV291" s="38">
        <f>AW291+AX291</f>
        <v>0</v>
      </c>
      <c r="AW291" s="38">
        <f>G291*AO291</f>
        <v>0</v>
      </c>
      <c r="AX291" s="38">
        <f>G291*AP291</f>
        <v>0</v>
      </c>
      <c r="AY291" s="72" t="s">
        <v>556</v>
      </c>
      <c r="AZ291" s="72" t="s">
        <v>511</v>
      </c>
      <c r="BA291" s="50" t="s">
        <v>139</v>
      </c>
      <c r="BB291" s="73">
        <v>100014</v>
      </c>
      <c r="BC291" s="38">
        <f>AW291+AX291</f>
        <v>0</v>
      </c>
      <c r="BD291" s="38">
        <f>H291/(100-BE291)*100</f>
        <v>0</v>
      </c>
      <c r="BE291" s="38">
        <v>0</v>
      </c>
      <c r="BF291" s="38">
        <f>K291</f>
        <v>0.35619999999999996</v>
      </c>
      <c r="BH291" s="38">
        <f>G291*AO291</f>
        <v>0</v>
      </c>
      <c r="BI291" s="38">
        <f>G291*AP291</f>
        <v>0</v>
      </c>
      <c r="BJ291" s="38">
        <f>G291*H291</f>
        <v>0</v>
      </c>
      <c r="BK291" s="38"/>
      <c r="BL291" s="38">
        <v>61</v>
      </c>
      <c r="BW291" s="38">
        <v>21</v>
      </c>
    </row>
    <row r="292" spans="1:12" ht="13.5" customHeight="1">
      <c r="A292" s="74"/>
      <c r="D292" s="194" t="s">
        <v>662</v>
      </c>
      <c r="E292" s="195"/>
      <c r="F292" s="195"/>
      <c r="G292" s="195"/>
      <c r="H292" s="195"/>
      <c r="I292" s="195"/>
      <c r="J292" s="195"/>
      <c r="K292" s="195"/>
      <c r="L292" s="197"/>
    </row>
    <row r="293" spans="1:12" ht="15">
      <c r="A293" s="74"/>
      <c r="D293" s="75" t="s">
        <v>186</v>
      </c>
      <c r="E293" s="75" t="s">
        <v>4</v>
      </c>
      <c r="G293" s="76">
        <v>10</v>
      </c>
      <c r="L293" s="77"/>
    </row>
    <row r="294" spans="1:75" ht="13.5" customHeight="1">
      <c r="A294" s="1" t="s">
        <v>663</v>
      </c>
      <c r="B294" s="2" t="s">
        <v>84</v>
      </c>
      <c r="C294" s="2" t="s">
        <v>664</v>
      </c>
      <c r="D294" s="108" t="s">
        <v>665</v>
      </c>
      <c r="E294" s="103"/>
      <c r="F294" s="2" t="s">
        <v>263</v>
      </c>
      <c r="G294" s="38">
        <f>'Stavební rozpočet'!G294</f>
        <v>7</v>
      </c>
      <c r="H294" s="38">
        <f>'Stavební rozpočet'!H294</f>
        <v>0</v>
      </c>
      <c r="I294" s="38">
        <f>G294*H294</f>
        <v>0</v>
      </c>
      <c r="J294" s="38">
        <f>'Stavební rozpočet'!J294</f>
        <v>0.00635</v>
      </c>
      <c r="K294" s="38">
        <f>G294*J294</f>
        <v>0.044449999999999996</v>
      </c>
      <c r="L294" s="71" t="s">
        <v>136</v>
      </c>
      <c r="Z294" s="38">
        <f>IF(AQ294="5",BJ294,0)</f>
        <v>0</v>
      </c>
      <c r="AB294" s="38">
        <f>IF(AQ294="1",BH294,0)</f>
        <v>0</v>
      </c>
      <c r="AC294" s="38">
        <f>IF(AQ294="1",BI294,0)</f>
        <v>0</v>
      </c>
      <c r="AD294" s="38">
        <f>IF(AQ294="7",BH294,0)</f>
        <v>0</v>
      </c>
      <c r="AE294" s="38">
        <f>IF(AQ294="7",BI294,0)</f>
        <v>0</v>
      </c>
      <c r="AF294" s="38">
        <f>IF(AQ294="2",BH294,0)</f>
        <v>0</v>
      </c>
      <c r="AG294" s="38">
        <f>IF(AQ294="2",BI294,0)</f>
        <v>0</v>
      </c>
      <c r="AH294" s="38">
        <f>IF(AQ294="0",BJ294,0)</f>
        <v>0</v>
      </c>
      <c r="AI294" s="50" t="s">
        <v>84</v>
      </c>
      <c r="AJ294" s="38">
        <f>IF(AN294=0,I294,0)</f>
        <v>0</v>
      </c>
      <c r="AK294" s="38">
        <f>IF(AN294=12,I294,0)</f>
        <v>0</v>
      </c>
      <c r="AL294" s="38">
        <f>IF(AN294=21,I294,0)</f>
        <v>0</v>
      </c>
      <c r="AN294" s="38">
        <v>21</v>
      </c>
      <c r="AO294" s="38">
        <f>H294*0.05170579</f>
        <v>0</v>
      </c>
      <c r="AP294" s="38">
        <f>H294*(1-0.05170579)</f>
        <v>0</v>
      </c>
      <c r="AQ294" s="72" t="s">
        <v>132</v>
      </c>
      <c r="AV294" s="38">
        <f>AW294+AX294</f>
        <v>0</v>
      </c>
      <c r="AW294" s="38">
        <f>G294*AO294</f>
        <v>0</v>
      </c>
      <c r="AX294" s="38">
        <f>G294*AP294</f>
        <v>0</v>
      </c>
      <c r="AY294" s="72" t="s">
        <v>556</v>
      </c>
      <c r="AZ294" s="72" t="s">
        <v>511</v>
      </c>
      <c r="BA294" s="50" t="s">
        <v>139</v>
      </c>
      <c r="BB294" s="73">
        <v>100014</v>
      </c>
      <c r="BC294" s="38">
        <f>AW294+AX294</f>
        <v>0</v>
      </c>
      <c r="BD294" s="38">
        <f>H294/(100-BE294)*100</f>
        <v>0</v>
      </c>
      <c r="BE294" s="38">
        <v>0</v>
      </c>
      <c r="BF294" s="38">
        <f>K294</f>
        <v>0.044449999999999996</v>
      </c>
      <c r="BH294" s="38">
        <f>G294*AO294</f>
        <v>0</v>
      </c>
      <c r="BI294" s="38">
        <f>G294*AP294</f>
        <v>0</v>
      </c>
      <c r="BJ294" s="38">
        <f>G294*H294</f>
        <v>0</v>
      </c>
      <c r="BK294" s="38"/>
      <c r="BL294" s="38">
        <v>61</v>
      </c>
      <c r="BW294" s="38">
        <v>21</v>
      </c>
    </row>
    <row r="295" spans="1:12" ht="13.5" customHeight="1">
      <c r="A295" s="74"/>
      <c r="D295" s="194" t="s">
        <v>666</v>
      </c>
      <c r="E295" s="195"/>
      <c r="F295" s="195"/>
      <c r="G295" s="195"/>
      <c r="H295" s="195"/>
      <c r="I295" s="195"/>
      <c r="J295" s="195"/>
      <c r="K295" s="195"/>
      <c r="L295" s="197"/>
    </row>
    <row r="296" spans="1:12" ht="15">
      <c r="A296" s="74"/>
      <c r="D296" s="75" t="s">
        <v>667</v>
      </c>
      <c r="E296" s="75" t="s">
        <v>602</v>
      </c>
      <c r="G296" s="76">
        <v>6.32</v>
      </c>
      <c r="L296" s="77"/>
    </row>
    <row r="297" spans="1:12" ht="15">
      <c r="A297" s="74"/>
      <c r="D297" s="75" t="s">
        <v>668</v>
      </c>
      <c r="E297" s="75" t="s">
        <v>580</v>
      </c>
      <c r="G297" s="76">
        <v>0.68</v>
      </c>
      <c r="L297" s="77"/>
    </row>
    <row r="298" spans="1:47" ht="15">
      <c r="A298" s="65" t="s">
        <v>4</v>
      </c>
      <c r="B298" s="66" t="s">
        <v>84</v>
      </c>
      <c r="C298" s="66" t="s">
        <v>486</v>
      </c>
      <c r="D298" s="192" t="s">
        <v>669</v>
      </c>
      <c r="E298" s="193"/>
      <c r="F298" s="67" t="s">
        <v>78</v>
      </c>
      <c r="G298" s="67" t="s">
        <v>78</v>
      </c>
      <c r="H298" s="67" t="s">
        <v>78</v>
      </c>
      <c r="I298" s="44">
        <f>SUM(I299:I301)</f>
        <v>0</v>
      </c>
      <c r="J298" s="50" t="s">
        <v>4</v>
      </c>
      <c r="K298" s="44">
        <f>SUM(K299:K301)</f>
        <v>0.43543119999999996</v>
      </c>
      <c r="L298" s="69" t="s">
        <v>4</v>
      </c>
      <c r="AI298" s="50" t="s">
        <v>84</v>
      </c>
      <c r="AS298" s="44">
        <f>SUM(AJ299:AJ301)</f>
        <v>0</v>
      </c>
      <c r="AT298" s="44">
        <f>SUM(AK299:AK301)</f>
        <v>0</v>
      </c>
      <c r="AU298" s="44">
        <f>SUM(AL299:AL301)</f>
        <v>0</v>
      </c>
    </row>
    <row r="299" spans="1:75" ht="13.5" customHeight="1">
      <c r="A299" s="1" t="s">
        <v>670</v>
      </c>
      <c r="B299" s="2" t="s">
        <v>84</v>
      </c>
      <c r="C299" s="2" t="s">
        <v>671</v>
      </c>
      <c r="D299" s="108" t="s">
        <v>672</v>
      </c>
      <c r="E299" s="103"/>
      <c r="F299" s="2" t="s">
        <v>263</v>
      </c>
      <c r="G299" s="38">
        <f>'Stavební rozpočet'!G299</f>
        <v>6.06</v>
      </c>
      <c r="H299" s="38">
        <f>'Stavební rozpočet'!H299</f>
        <v>0</v>
      </c>
      <c r="I299" s="38">
        <f>G299*H299</f>
        <v>0</v>
      </c>
      <c r="J299" s="38">
        <f>'Stavební rozpočet'!J299</f>
        <v>0.07172</v>
      </c>
      <c r="K299" s="38">
        <f>G299*J299</f>
        <v>0.4346232</v>
      </c>
      <c r="L299" s="71" t="s">
        <v>136</v>
      </c>
      <c r="Z299" s="38">
        <f>IF(AQ299="5",BJ299,0)</f>
        <v>0</v>
      </c>
      <c r="AB299" s="38">
        <f>IF(AQ299="1",BH299,0)</f>
        <v>0</v>
      </c>
      <c r="AC299" s="38">
        <f>IF(AQ299="1",BI299,0)</f>
        <v>0</v>
      </c>
      <c r="AD299" s="38">
        <f>IF(AQ299="7",BH299,0)</f>
        <v>0</v>
      </c>
      <c r="AE299" s="38">
        <f>IF(AQ299="7",BI299,0)</f>
        <v>0</v>
      </c>
      <c r="AF299" s="38">
        <f>IF(AQ299="2",BH299,0)</f>
        <v>0</v>
      </c>
      <c r="AG299" s="38">
        <f>IF(AQ299="2",BI299,0)</f>
        <v>0</v>
      </c>
      <c r="AH299" s="38">
        <f>IF(AQ299="0",BJ299,0)</f>
        <v>0</v>
      </c>
      <c r="AI299" s="50" t="s">
        <v>84</v>
      </c>
      <c r="AJ299" s="38">
        <f>IF(AN299=0,I299,0)</f>
        <v>0</v>
      </c>
      <c r="AK299" s="38">
        <f>IF(AN299=12,I299,0)</f>
        <v>0</v>
      </c>
      <c r="AL299" s="38">
        <f>IF(AN299=21,I299,0)</f>
        <v>0</v>
      </c>
      <c r="AN299" s="38">
        <v>21</v>
      </c>
      <c r="AO299" s="38">
        <f>H299*0.242890972</f>
        <v>0</v>
      </c>
      <c r="AP299" s="38">
        <f>H299*(1-0.242890972)</f>
        <v>0</v>
      </c>
      <c r="AQ299" s="72" t="s">
        <v>132</v>
      </c>
      <c r="AV299" s="38">
        <f>AW299+AX299</f>
        <v>0</v>
      </c>
      <c r="AW299" s="38">
        <f>G299*AO299</f>
        <v>0</v>
      </c>
      <c r="AX299" s="38">
        <f>G299*AP299</f>
        <v>0</v>
      </c>
      <c r="AY299" s="72" t="s">
        <v>673</v>
      </c>
      <c r="AZ299" s="72" t="s">
        <v>511</v>
      </c>
      <c r="BA299" s="50" t="s">
        <v>139</v>
      </c>
      <c r="BB299" s="73">
        <v>100028</v>
      </c>
      <c r="BC299" s="38">
        <f>AW299+AX299</f>
        <v>0</v>
      </c>
      <c r="BD299" s="38">
        <f>H299/(100-BE299)*100</f>
        <v>0</v>
      </c>
      <c r="BE299" s="38">
        <v>0</v>
      </c>
      <c r="BF299" s="38">
        <f>K299</f>
        <v>0.4346232</v>
      </c>
      <c r="BH299" s="38">
        <f>G299*AO299</f>
        <v>0</v>
      </c>
      <c r="BI299" s="38">
        <f>G299*AP299</f>
        <v>0</v>
      </c>
      <c r="BJ299" s="38">
        <f>G299*H299</f>
        <v>0</v>
      </c>
      <c r="BK299" s="38"/>
      <c r="BL299" s="38">
        <v>62</v>
      </c>
      <c r="BW299" s="38">
        <v>21</v>
      </c>
    </row>
    <row r="300" spans="1:12" ht="15">
      <c r="A300" s="74"/>
      <c r="D300" s="75" t="s">
        <v>674</v>
      </c>
      <c r="E300" s="75" t="s">
        <v>4</v>
      </c>
      <c r="G300" s="76">
        <v>6.06</v>
      </c>
      <c r="L300" s="77"/>
    </row>
    <row r="301" spans="1:75" ht="13.5" customHeight="1">
      <c r="A301" s="1" t="s">
        <v>675</v>
      </c>
      <c r="B301" s="2" t="s">
        <v>84</v>
      </c>
      <c r="C301" s="2" t="s">
        <v>676</v>
      </c>
      <c r="D301" s="108" t="s">
        <v>677</v>
      </c>
      <c r="E301" s="103"/>
      <c r="F301" s="2" t="s">
        <v>214</v>
      </c>
      <c r="G301" s="38">
        <f>'Stavební rozpočet'!G301</f>
        <v>10.1</v>
      </c>
      <c r="H301" s="38">
        <f>'Stavební rozpočet'!H301</f>
        <v>0</v>
      </c>
      <c r="I301" s="38">
        <f>G301*H301</f>
        <v>0</v>
      </c>
      <c r="J301" s="38">
        <f>'Stavební rozpočet'!J301</f>
        <v>8E-05</v>
      </c>
      <c r="K301" s="38">
        <f>G301*J301</f>
        <v>0.000808</v>
      </c>
      <c r="L301" s="71" t="s">
        <v>207</v>
      </c>
      <c r="Z301" s="38">
        <f>IF(AQ301="5",BJ301,0)</f>
        <v>0</v>
      </c>
      <c r="AB301" s="38">
        <f>IF(AQ301="1",BH301,0)</f>
        <v>0</v>
      </c>
      <c r="AC301" s="38">
        <f>IF(AQ301="1",BI301,0)</f>
        <v>0</v>
      </c>
      <c r="AD301" s="38">
        <f>IF(AQ301="7",BH301,0)</f>
        <v>0</v>
      </c>
      <c r="AE301" s="38">
        <f>IF(AQ301="7",BI301,0)</f>
        <v>0</v>
      </c>
      <c r="AF301" s="38">
        <f>IF(AQ301="2",BH301,0)</f>
        <v>0</v>
      </c>
      <c r="AG301" s="38">
        <f>IF(AQ301="2",BI301,0)</f>
        <v>0</v>
      </c>
      <c r="AH301" s="38">
        <f>IF(AQ301="0",BJ301,0)</f>
        <v>0</v>
      </c>
      <c r="AI301" s="50" t="s">
        <v>84</v>
      </c>
      <c r="AJ301" s="38">
        <f>IF(AN301=0,I301,0)</f>
        <v>0</v>
      </c>
      <c r="AK301" s="38">
        <f>IF(AN301=12,I301,0)</f>
        <v>0</v>
      </c>
      <c r="AL301" s="38">
        <f>IF(AN301=21,I301,0)</f>
        <v>0</v>
      </c>
      <c r="AN301" s="38">
        <v>21</v>
      </c>
      <c r="AO301" s="38">
        <f>H301*0.077584775</f>
        <v>0</v>
      </c>
      <c r="AP301" s="38">
        <f>H301*(1-0.077584775)</f>
        <v>0</v>
      </c>
      <c r="AQ301" s="72" t="s">
        <v>132</v>
      </c>
      <c r="AV301" s="38">
        <f>AW301+AX301</f>
        <v>0</v>
      </c>
      <c r="AW301" s="38">
        <f>G301*AO301</f>
        <v>0</v>
      </c>
      <c r="AX301" s="38">
        <f>G301*AP301</f>
        <v>0</v>
      </c>
      <c r="AY301" s="72" t="s">
        <v>673</v>
      </c>
      <c r="AZ301" s="72" t="s">
        <v>511</v>
      </c>
      <c r="BA301" s="50" t="s">
        <v>139</v>
      </c>
      <c r="BB301" s="73">
        <v>100028</v>
      </c>
      <c r="BC301" s="38">
        <f>AW301+AX301</f>
        <v>0</v>
      </c>
      <c r="BD301" s="38">
        <f>H301/(100-BE301)*100</f>
        <v>0</v>
      </c>
      <c r="BE301" s="38">
        <v>0</v>
      </c>
      <c r="BF301" s="38">
        <f>K301</f>
        <v>0.000808</v>
      </c>
      <c r="BH301" s="38">
        <f>G301*AO301</f>
        <v>0</v>
      </c>
      <c r="BI301" s="38">
        <f>G301*AP301</f>
        <v>0</v>
      </c>
      <c r="BJ301" s="38">
        <f>G301*H301</f>
        <v>0</v>
      </c>
      <c r="BK301" s="38"/>
      <c r="BL301" s="38">
        <v>62</v>
      </c>
      <c r="BW301" s="38">
        <v>21</v>
      </c>
    </row>
    <row r="302" spans="1:12" ht="15">
      <c r="A302" s="74"/>
      <c r="D302" s="75" t="s">
        <v>678</v>
      </c>
      <c r="E302" s="75" t="s">
        <v>4</v>
      </c>
      <c r="G302" s="76">
        <v>10.1</v>
      </c>
      <c r="L302" s="77"/>
    </row>
    <row r="303" spans="1:47" ht="15">
      <c r="A303" s="65" t="s">
        <v>4</v>
      </c>
      <c r="B303" s="66" t="s">
        <v>84</v>
      </c>
      <c r="C303" s="66" t="s">
        <v>491</v>
      </c>
      <c r="D303" s="192" t="s">
        <v>679</v>
      </c>
      <c r="E303" s="193"/>
      <c r="F303" s="67" t="s">
        <v>78</v>
      </c>
      <c r="G303" s="67" t="s">
        <v>78</v>
      </c>
      <c r="H303" s="67" t="s">
        <v>78</v>
      </c>
      <c r="I303" s="44">
        <f>SUM(I304:I353)</f>
        <v>0</v>
      </c>
      <c r="J303" s="50" t="s">
        <v>4</v>
      </c>
      <c r="K303" s="44">
        <f>SUM(K304:K353)</f>
        <v>76.95165060000001</v>
      </c>
      <c r="L303" s="69" t="s">
        <v>4</v>
      </c>
      <c r="AI303" s="50" t="s">
        <v>84</v>
      </c>
      <c r="AS303" s="44">
        <f>SUM(AJ304:AJ353)</f>
        <v>0</v>
      </c>
      <c r="AT303" s="44">
        <f>SUM(AK304:AK353)</f>
        <v>0</v>
      </c>
      <c r="AU303" s="44">
        <f>SUM(AL304:AL353)</f>
        <v>0</v>
      </c>
    </row>
    <row r="304" spans="1:75" ht="13.5" customHeight="1">
      <c r="A304" s="1" t="s">
        <v>680</v>
      </c>
      <c r="B304" s="2" t="s">
        <v>84</v>
      </c>
      <c r="C304" s="2" t="s">
        <v>681</v>
      </c>
      <c r="D304" s="108" t="s">
        <v>682</v>
      </c>
      <c r="E304" s="103"/>
      <c r="F304" s="2" t="s">
        <v>263</v>
      </c>
      <c r="G304" s="38">
        <f>'Stavební rozpočet'!G304</f>
        <v>250.08</v>
      </c>
      <c r="H304" s="38">
        <f>'Stavební rozpočet'!H304</f>
        <v>0</v>
      </c>
      <c r="I304" s="38">
        <f>G304*H304</f>
        <v>0</v>
      </c>
      <c r="J304" s="38">
        <f>'Stavební rozpočet'!J304</f>
        <v>0.00357</v>
      </c>
      <c r="K304" s="38">
        <f>G304*J304</f>
        <v>0.8927856</v>
      </c>
      <c r="L304" s="71" t="s">
        <v>207</v>
      </c>
      <c r="Z304" s="38">
        <f>IF(AQ304="5",BJ304,0)</f>
        <v>0</v>
      </c>
      <c r="AB304" s="38">
        <f>IF(AQ304="1",BH304,0)</f>
        <v>0</v>
      </c>
      <c r="AC304" s="38">
        <f>IF(AQ304="1",BI304,0)</f>
        <v>0</v>
      </c>
      <c r="AD304" s="38">
        <f>IF(AQ304="7",BH304,0)</f>
        <v>0</v>
      </c>
      <c r="AE304" s="38">
        <f>IF(AQ304="7",BI304,0)</f>
        <v>0</v>
      </c>
      <c r="AF304" s="38">
        <f>IF(AQ304="2",BH304,0)</f>
        <v>0</v>
      </c>
      <c r="AG304" s="38">
        <f>IF(AQ304="2",BI304,0)</f>
        <v>0</v>
      </c>
      <c r="AH304" s="38">
        <f>IF(AQ304="0",BJ304,0)</f>
        <v>0</v>
      </c>
      <c r="AI304" s="50" t="s">
        <v>84</v>
      </c>
      <c r="AJ304" s="38">
        <f>IF(AN304=0,I304,0)</f>
        <v>0</v>
      </c>
      <c r="AK304" s="38">
        <f>IF(AN304=12,I304,0)</f>
        <v>0</v>
      </c>
      <c r="AL304" s="38">
        <f>IF(AN304=21,I304,0)</f>
        <v>0</v>
      </c>
      <c r="AN304" s="38">
        <v>21</v>
      </c>
      <c r="AO304" s="38">
        <f>H304*0.500719875</f>
        <v>0</v>
      </c>
      <c r="AP304" s="38">
        <f>H304*(1-0.500719875)</f>
        <v>0</v>
      </c>
      <c r="AQ304" s="72" t="s">
        <v>132</v>
      </c>
      <c r="AV304" s="38">
        <f>AW304+AX304</f>
        <v>0</v>
      </c>
      <c r="AW304" s="38">
        <f>G304*AO304</f>
        <v>0</v>
      </c>
      <c r="AX304" s="38">
        <f>G304*AP304</f>
        <v>0</v>
      </c>
      <c r="AY304" s="72" t="s">
        <v>683</v>
      </c>
      <c r="AZ304" s="72" t="s">
        <v>511</v>
      </c>
      <c r="BA304" s="50" t="s">
        <v>139</v>
      </c>
      <c r="BB304" s="73">
        <v>100023</v>
      </c>
      <c r="BC304" s="38">
        <f>AW304+AX304</f>
        <v>0</v>
      </c>
      <c r="BD304" s="38">
        <f>H304/(100-BE304)*100</f>
        <v>0</v>
      </c>
      <c r="BE304" s="38">
        <v>0</v>
      </c>
      <c r="BF304" s="38">
        <f>K304</f>
        <v>0.8927856</v>
      </c>
      <c r="BH304" s="38">
        <f>G304*AO304</f>
        <v>0</v>
      </c>
      <c r="BI304" s="38">
        <f>G304*AP304</f>
        <v>0</v>
      </c>
      <c r="BJ304" s="38">
        <f>G304*H304</f>
        <v>0</v>
      </c>
      <c r="BK304" s="38"/>
      <c r="BL304" s="38">
        <v>63</v>
      </c>
      <c r="BW304" s="38">
        <v>21</v>
      </c>
    </row>
    <row r="305" spans="1:12" ht="13.5" customHeight="1">
      <c r="A305" s="74"/>
      <c r="D305" s="194" t="s">
        <v>684</v>
      </c>
      <c r="E305" s="195"/>
      <c r="F305" s="195"/>
      <c r="G305" s="195"/>
      <c r="H305" s="195"/>
      <c r="I305" s="195"/>
      <c r="J305" s="195"/>
      <c r="K305" s="195"/>
      <c r="L305" s="197"/>
    </row>
    <row r="306" spans="1:12" ht="15">
      <c r="A306" s="74"/>
      <c r="D306" s="75" t="s">
        <v>685</v>
      </c>
      <c r="E306" s="75" t="s">
        <v>686</v>
      </c>
      <c r="G306" s="76">
        <v>166.93</v>
      </c>
      <c r="L306" s="77"/>
    </row>
    <row r="307" spans="1:12" ht="15">
      <c r="A307" s="74"/>
      <c r="D307" s="75" t="s">
        <v>687</v>
      </c>
      <c r="E307" s="75" t="s">
        <v>688</v>
      </c>
      <c r="G307" s="76">
        <v>9.15</v>
      </c>
      <c r="L307" s="77"/>
    </row>
    <row r="308" spans="1:12" ht="15">
      <c r="A308" s="74"/>
      <c r="D308" s="75" t="s">
        <v>689</v>
      </c>
      <c r="E308" s="75" t="s">
        <v>690</v>
      </c>
      <c r="G308" s="76">
        <v>74</v>
      </c>
      <c r="L308" s="77"/>
    </row>
    <row r="309" spans="1:75" ht="13.5" customHeight="1">
      <c r="A309" s="1" t="s">
        <v>691</v>
      </c>
      <c r="B309" s="2" t="s">
        <v>84</v>
      </c>
      <c r="C309" s="2" t="s">
        <v>692</v>
      </c>
      <c r="D309" s="108" t="s">
        <v>693</v>
      </c>
      <c r="E309" s="103"/>
      <c r="F309" s="2" t="s">
        <v>263</v>
      </c>
      <c r="G309" s="38">
        <f>'Stavební rozpočet'!G309</f>
        <v>6.5</v>
      </c>
      <c r="H309" s="38">
        <f>'Stavební rozpočet'!H309</f>
        <v>0</v>
      </c>
      <c r="I309" s="38">
        <f>G309*H309</f>
        <v>0</v>
      </c>
      <c r="J309" s="38">
        <f>'Stavební rozpočet'!J309</f>
        <v>0.01071</v>
      </c>
      <c r="K309" s="38">
        <f>G309*J309</f>
        <v>0.06961500000000001</v>
      </c>
      <c r="L309" s="71" t="s">
        <v>207</v>
      </c>
      <c r="Z309" s="38">
        <f>IF(AQ309="5",BJ309,0)</f>
        <v>0</v>
      </c>
      <c r="AB309" s="38">
        <f>IF(AQ309="1",BH309,0)</f>
        <v>0</v>
      </c>
      <c r="AC309" s="38">
        <f>IF(AQ309="1",BI309,0)</f>
        <v>0</v>
      </c>
      <c r="AD309" s="38">
        <f>IF(AQ309="7",BH309,0)</f>
        <v>0</v>
      </c>
      <c r="AE309" s="38">
        <f>IF(AQ309="7",BI309,0)</f>
        <v>0</v>
      </c>
      <c r="AF309" s="38">
        <f>IF(AQ309="2",BH309,0)</f>
        <v>0</v>
      </c>
      <c r="AG309" s="38">
        <f>IF(AQ309="2",BI309,0)</f>
        <v>0</v>
      </c>
      <c r="AH309" s="38">
        <f>IF(AQ309="0",BJ309,0)</f>
        <v>0</v>
      </c>
      <c r="AI309" s="50" t="s">
        <v>84</v>
      </c>
      <c r="AJ309" s="38">
        <f>IF(AN309=0,I309,0)</f>
        <v>0</v>
      </c>
      <c r="AK309" s="38">
        <f>IF(AN309=12,I309,0)</f>
        <v>0</v>
      </c>
      <c r="AL309" s="38">
        <f>IF(AN309=21,I309,0)</f>
        <v>0</v>
      </c>
      <c r="AN309" s="38">
        <v>21</v>
      </c>
      <c r="AO309" s="38">
        <f>H309*0.743594891</f>
        <v>0</v>
      </c>
      <c r="AP309" s="38">
        <f>H309*(1-0.743594891)</f>
        <v>0</v>
      </c>
      <c r="AQ309" s="72" t="s">
        <v>132</v>
      </c>
      <c r="AV309" s="38">
        <f>AW309+AX309</f>
        <v>0</v>
      </c>
      <c r="AW309" s="38">
        <f>G309*AO309</f>
        <v>0</v>
      </c>
      <c r="AX309" s="38">
        <f>G309*AP309</f>
        <v>0</v>
      </c>
      <c r="AY309" s="72" t="s">
        <v>683</v>
      </c>
      <c r="AZ309" s="72" t="s">
        <v>511</v>
      </c>
      <c r="BA309" s="50" t="s">
        <v>139</v>
      </c>
      <c r="BB309" s="73">
        <v>100023</v>
      </c>
      <c r="BC309" s="38">
        <f>AW309+AX309</f>
        <v>0</v>
      </c>
      <c r="BD309" s="38">
        <f>H309/(100-BE309)*100</f>
        <v>0</v>
      </c>
      <c r="BE309" s="38">
        <v>0</v>
      </c>
      <c r="BF309" s="38">
        <f>K309</f>
        <v>0.06961500000000001</v>
      </c>
      <c r="BH309" s="38">
        <f>G309*AO309</f>
        <v>0</v>
      </c>
      <c r="BI309" s="38">
        <f>G309*AP309</f>
        <v>0</v>
      </c>
      <c r="BJ309" s="38">
        <f>G309*H309</f>
        <v>0</v>
      </c>
      <c r="BK309" s="38"/>
      <c r="BL309" s="38">
        <v>63</v>
      </c>
      <c r="BW309" s="38">
        <v>21</v>
      </c>
    </row>
    <row r="310" spans="1:12" ht="13.5" customHeight="1">
      <c r="A310" s="74"/>
      <c r="D310" s="194" t="s">
        <v>684</v>
      </c>
      <c r="E310" s="195"/>
      <c r="F310" s="195"/>
      <c r="G310" s="195"/>
      <c r="H310" s="195"/>
      <c r="I310" s="195"/>
      <c r="J310" s="195"/>
      <c r="K310" s="195"/>
      <c r="L310" s="197"/>
    </row>
    <row r="311" spans="1:12" ht="15">
      <c r="A311" s="74"/>
      <c r="D311" s="75" t="s">
        <v>694</v>
      </c>
      <c r="E311" s="75" t="s">
        <v>695</v>
      </c>
      <c r="G311" s="76">
        <v>6.5</v>
      </c>
      <c r="L311" s="77"/>
    </row>
    <row r="312" spans="1:75" ht="13.5" customHeight="1">
      <c r="A312" s="1" t="s">
        <v>696</v>
      </c>
      <c r="B312" s="2" t="s">
        <v>84</v>
      </c>
      <c r="C312" s="2" t="s">
        <v>697</v>
      </c>
      <c r="D312" s="108" t="s">
        <v>698</v>
      </c>
      <c r="E312" s="103"/>
      <c r="F312" s="2" t="s">
        <v>263</v>
      </c>
      <c r="G312" s="38">
        <f>'Stavební rozpočet'!G312</f>
        <v>15.9</v>
      </c>
      <c r="H312" s="38">
        <f>'Stavební rozpočet'!H312</f>
        <v>0</v>
      </c>
      <c r="I312" s="38">
        <f>G312*H312</f>
        <v>0</v>
      </c>
      <c r="J312" s="38">
        <f>'Stavební rozpočet'!J312</f>
        <v>0.02678</v>
      </c>
      <c r="K312" s="38">
        <f>G312*J312</f>
        <v>0.425802</v>
      </c>
      <c r="L312" s="71" t="s">
        <v>207</v>
      </c>
      <c r="Z312" s="38">
        <f>IF(AQ312="5",BJ312,0)</f>
        <v>0</v>
      </c>
      <c r="AB312" s="38">
        <f>IF(AQ312="1",BH312,0)</f>
        <v>0</v>
      </c>
      <c r="AC312" s="38">
        <f>IF(AQ312="1",BI312,0)</f>
        <v>0</v>
      </c>
      <c r="AD312" s="38">
        <f>IF(AQ312="7",BH312,0)</f>
        <v>0</v>
      </c>
      <c r="AE312" s="38">
        <f>IF(AQ312="7",BI312,0)</f>
        <v>0</v>
      </c>
      <c r="AF312" s="38">
        <f>IF(AQ312="2",BH312,0)</f>
        <v>0</v>
      </c>
      <c r="AG312" s="38">
        <f>IF(AQ312="2",BI312,0)</f>
        <v>0</v>
      </c>
      <c r="AH312" s="38">
        <f>IF(AQ312="0",BJ312,0)</f>
        <v>0</v>
      </c>
      <c r="AI312" s="50" t="s">
        <v>84</v>
      </c>
      <c r="AJ312" s="38">
        <f>IF(AN312=0,I312,0)</f>
        <v>0</v>
      </c>
      <c r="AK312" s="38">
        <f>IF(AN312=12,I312,0)</f>
        <v>0</v>
      </c>
      <c r="AL312" s="38">
        <f>IF(AN312=21,I312,0)</f>
        <v>0</v>
      </c>
      <c r="AN312" s="38">
        <v>21</v>
      </c>
      <c r="AO312" s="38">
        <f>H312*0.864465772</f>
        <v>0</v>
      </c>
      <c r="AP312" s="38">
        <f>H312*(1-0.864465772)</f>
        <v>0</v>
      </c>
      <c r="AQ312" s="72" t="s">
        <v>132</v>
      </c>
      <c r="AV312" s="38">
        <f>AW312+AX312</f>
        <v>0</v>
      </c>
      <c r="AW312" s="38">
        <f>G312*AO312</f>
        <v>0</v>
      </c>
      <c r="AX312" s="38">
        <f>G312*AP312</f>
        <v>0</v>
      </c>
      <c r="AY312" s="72" t="s">
        <v>683</v>
      </c>
      <c r="AZ312" s="72" t="s">
        <v>511</v>
      </c>
      <c r="BA312" s="50" t="s">
        <v>139</v>
      </c>
      <c r="BB312" s="73">
        <v>100023</v>
      </c>
      <c r="BC312" s="38">
        <f>AW312+AX312</f>
        <v>0</v>
      </c>
      <c r="BD312" s="38">
        <f>H312/(100-BE312)*100</f>
        <v>0</v>
      </c>
      <c r="BE312" s="38">
        <v>0</v>
      </c>
      <c r="BF312" s="38">
        <f>K312</f>
        <v>0.425802</v>
      </c>
      <c r="BH312" s="38">
        <f>G312*AO312</f>
        <v>0</v>
      </c>
      <c r="BI312" s="38">
        <f>G312*AP312</f>
        <v>0</v>
      </c>
      <c r="BJ312" s="38">
        <f>G312*H312</f>
        <v>0</v>
      </c>
      <c r="BK312" s="38"/>
      <c r="BL312" s="38">
        <v>63</v>
      </c>
      <c r="BW312" s="38">
        <v>21</v>
      </c>
    </row>
    <row r="313" spans="1:12" ht="13.5" customHeight="1">
      <c r="A313" s="74"/>
      <c r="D313" s="194" t="s">
        <v>699</v>
      </c>
      <c r="E313" s="195"/>
      <c r="F313" s="195"/>
      <c r="G313" s="195"/>
      <c r="H313" s="195"/>
      <c r="I313" s="195"/>
      <c r="J313" s="195"/>
      <c r="K313" s="195"/>
      <c r="L313" s="197"/>
    </row>
    <row r="314" spans="1:12" ht="15">
      <c r="A314" s="74"/>
      <c r="D314" s="75" t="s">
        <v>309</v>
      </c>
      <c r="E314" s="75" t="s">
        <v>700</v>
      </c>
      <c r="G314" s="76">
        <v>15.9</v>
      </c>
      <c r="L314" s="77"/>
    </row>
    <row r="315" spans="1:75" ht="13.5" customHeight="1">
      <c r="A315" s="1" t="s">
        <v>701</v>
      </c>
      <c r="B315" s="2" t="s">
        <v>84</v>
      </c>
      <c r="C315" s="2" t="s">
        <v>681</v>
      </c>
      <c r="D315" s="108" t="s">
        <v>702</v>
      </c>
      <c r="E315" s="103"/>
      <c r="F315" s="2" t="s">
        <v>263</v>
      </c>
      <c r="G315" s="38">
        <f>'Stavební rozpočet'!G315</f>
        <v>9.15</v>
      </c>
      <c r="H315" s="38">
        <f>'Stavební rozpočet'!H315</f>
        <v>0</v>
      </c>
      <c r="I315" s="38">
        <f>G315*H315</f>
        <v>0</v>
      </c>
      <c r="J315" s="38">
        <f>'Stavební rozpočet'!J315</f>
        <v>0.00357</v>
      </c>
      <c r="K315" s="38">
        <f>G315*J315</f>
        <v>0.0326655</v>
      </c>
      <c r="L315" s="71" t="s">
        <v>207</v>
      </c>
      <c r="Z315" s="38">
        <f>IF(AQ315="5",BJ315,0)</f>
        <v>0</v>
      </c>
      <c r="AB315" s="38">
        <f>IF(AQ315="1",BH315,0)</f>
        <v>0</v>
      </c>
      <c r="AC315" s="38">
        <f>IF(AQ315="1",BI315,0)</f>
        <v>0</v>
      </c>
      <c r="AD315" s="38">
        <f>IF(AQ315="7",BH315,0)</f>
        <v>0</v>
      </c>
      <c r="AE315" s="38">
        <f>IF(AQ315="7",BI315,0)</f>
        <v>0</v>
      </c>
      <c r="AF315" s="38">
        <f>IF(AQ315="2",BH315,0)</f>
        <v>0</v>
      </c>
      <c r="AG315" s="38">
        <f>IF(AQ315="2",BI315,0)</f>
        <v>0</v>
      </c>
      <c r="AH315" s="38">
        <f>IF(AQ315="0",BJ315,0)</f>
        <v>0</v>
      </c>
      <c r="AI315" s="50" t="s">
        <v>84</v>
      </c>
      <c r="AJ315" s="38">
        <f>IF(AN315=0,I315,0)</f>
        <v>0</v>
      </c>
      <c r="AK315" s="38">
        <f>IF(AN315=12,I315,0)</f>
        <v>0</v>
      </c>
      <c r="AL315" s="38">
        <f>IF(AN315=21,I315,0)</f>
        <v>0</v>
      </c>
      <c r="AN315" s="38">
        <v>21</v>
      </c>
      <c r="AO315" s="38">
        <f>H315*0.500745169</f>
        <v>0</v>
      </c>
      <c r="AP315" s="38">
        <f>H315*(1-0.500745169)</f>
        <v>0</v>
      </c>
      <c r="AQ315" s="72" t="s">
        <v>132</v>
      </c>
      <c r="AV315" s="38">
        <f>AW315+AX315</f>
        <v>0</v>
      </c>
      <c r="AW315" s="38">
        <f>G315*AO315</f>
        <v>0</v>
      </c>
      <c r="AX315" s="38">
        <f>G315*AP315</f>
        <v>0</v>
      </c>
      <c r="AY315" s="72" t="s">
        <v>683</v>
      </c>
      <c r="AZ315" s="72" t="s">
        <v>511</v>
      </c>
      <c r="BA315" s="50" t="s">
        <v>139</v>
      </c>
      <c r="BB315" s="73">
        <v>100023</v>
      </c>
      <c r="BC315" s="38">
        <f>AW315+AX315</f>
        <v>0</v>
      </c>
      <c r="BD315" s="38">
        <f>H315/(100-BE315)*100</f>
        <v>0</v>
      </c>
      <c r="BE315" s="38">
        <v>0</v>
      </c>
      <c r="BF315" s="38">
        <f>K315</f>
        <v>0.0326655</v>
      </c>
      <c r="BH315" s="38">
        <f>G315*AO315</f>
        <v>0</v>
      </c>
      <c r="BI315" s="38">
        <f>G315*AP315</f>
        <v>0</v>
      </c>
      <c r="BJ315" s="38">
        <f>G315*H315</f>
        <v>0</v>
      </c>
      <c r="BK315" s="38"/>
      <c r="BL315" s="38">
        <v>63</v>
      </c>
      <c r="BW315" s="38">
        <v>21</v>
      </c>
    </row>
    <row r="316" spans="1:12" ht="13.5" customHeight="1">
      <c r="A316" s="74"/>
      <c r="D316" s="194" t="s">
        <v>684</v>
      </c>
      <c r="E316" s="195"/>
      <c r="F316" s="195"/>
      <c r="G316" s="195"/>
      <c r="H316" s="195"/>
      <c r="I316" s="195"/>
      <c r="J316" s="195"/>
      <c r="K316" s="195"/>
      <c r="L316" s="197"/>
    </row>
    <row r="317" spans="1:12" ht="15">
      <c r="A317" s="74"/>
      <c r="D317" s="75" t="s">
        <v>703</v>
      </c>
      <c r="E317" s="75" t="s">
        <v>704</v>
      </c>
      <c r="G317" s="76">
        <v>9.15</v>
      </c>
      <c r="L317" s="77"/>
    </row>
    <row r="318" spans="1:75" ht="13.5" customHeight="1">
      <c r="A318" s="1" t="s">
        <v>705</v>
      </c>
      <c r="B318" s="2" t="s">
        <v>84</v>
      </c>
      <c r="C318" s="2" t="s">
        <v>706</v>
      </c>
      <c r="D318" s="108" t="s">
        <v>707</v>
      </c>
      <c r="E318" s="103"/>
      <c r="F318" s="2" t="s">
        <v>135</v>
      </c>
      <c r="G318" s="38">
        <f>'Stavební rozpočet'!G318</f>
        <v>0.5</v>
      </c>
      <c r="H318" s="38">
        <f>'Stavební rozpočet'!H318</f>
        <v>0</v>
      </c>
      <c r="I318" s="38">
        <f>G318*H318</f>
        <v>0</v>
      </c>
      <c r="J318" s="38">
        <f>'Stavební rozpočet'!J318</f>
        <v>2.525</v>
      </c>
      <c r="K318" s="38">
        <f>G318*J318</f>
        <v>1.2625</v>
      </c>
      <c r="L318" s="71" t="s">
        <v>136</v>
      </c>
      <c r="Z318" s="38">
        <f>IF(AQ318="5",BJ318,0)</f>
        <v>0</v>
      </c>
      <c r="AB318" s="38">
        <f>IF(AQ318="1",BH318,0)</f>
        <v>0</v>
      </c>
      <c r="AC318" s="38">
        <f>IF(AQ318="1",BI318,0)</f>
        <v>0</v>
      </c>
      <c r="AD318" s="38">
        <f>IF(AQ318="7",BH318,0)</f>
        <v>0</v>
      </c>
      <c r="AE318" s="38">
        <f>IF(AQ318="7",BI318,0)</f>
        <v>0</v>
      </c>
      <c r="AF318" s="38">
        <f>IF(AQ318="2",BH318,0)</f>
        <v>0</v>
      </c>
      <c r="AG318" s="38">
        <f>IF(AQ318="2",BI318,0)</f>
        <v>0</v>
      </c>
      <c r="AH318" s="38">
        <f>IF(AQ318="0",BJ318,0)</f>
        <v>0</v>
      </c>
      <c r="AI318" s="50" t="s">
        <v>84</v>
      </c>
      <c r="AJ318" s="38">
        <f>IF(AN318=0,I318,0)</f>
        <v>0</v>
      </c>
      <c r="AK318" s="38">
        <f>IF(AN318=12,I318,0)</f>
        <v>0</v>
      </c>
      <c r="AL318" s="38">
        <f>IF(AN318=21,I318,0)</f>
        <v>0</v>
      </c>
      <c r="AN318" s="38">
        <v>21</v>
      </c>
      <c r="AO318" s="38">
        <f>H318*0.713847032</f>
        <v>0</v>
      </c>
      <c r="AP318" s="38">
        <f>H318*(1-0.713847032)</f>
        <v>0</v>
      </c>
      <c r="AQ318" s="72" t="s">
        <v>132</v>
      </c>
      <c r="AV318" s="38">
        <f>AW318+AX318</f>
        <v>0</v>
      </c>
      <c r="AW318" s="38">
        <f>G318*AO318</f>
        <v>0</v>
      </c>
      <c r="AX318" s="38">
        <f>G318*AP318</f>
        <v>0</v>
      </c>
      <c r="AY318" s="72" t="s">
        <v>683</v>
      </c>
      <c r="AZ318" s="72" t="s">
        <v>511</v>
      </c>
      <c r="BA318" s="50" t="s">
        <v>139</v>
      </c>
      <c r="BB318" s="73">
        <v>100023</v>
      </c>
      <c r="BC318" s="38">
        <f>AW318+AX318</f>
        <v>0</v>
      </c>
      <c r="BD318" s="38">
        <f>H318/(100-BE318)*100</f>
        <v>0</v>
      </c>
      <c r="BE318" s="38">
        <v>0</v>
      </c>
      <c r="BF318" s="38">
        <f>K318</f>
        <v>1.2625</v>
      </c>
      <c r="BH318" s="38">
        <f>G318*AO318</f>
        <v>0</v>
      </c>
      <c r="BI318" s="38">
        <f>G318*AP318</f>
        <v>0</v>
      </c>
      <c r="BJ318" s="38">
        <f>G318*H318</f>
        <v>0</v>
      </c>
      <c r="BK318" s="38"/>
      <c r="BL318" s="38">
        <v>63</v>
      </c>
      <c r="BW318" s="38">
        <v>21</v>
      </c>
    </row>
    <row r="319" spans="1:12" ht="15">
      <c r="A319" s="74"/>
      <c r="D319" s="75" t="s">
        <v>708</v>
      </c>
      <c r="E319" s="75" t="s">
        <v>709</v>
      </c>
      <c r="G319" s="76">
        <v>0.5</v>
      </c>
      <c r="L319" s="77"/>
    </row>
    <row r="320" spans="1:75" ht="13.5" customHeight="1">
      <c r="A320" s="1" t="s">
        <v>710</v>
      </c>
      <c r="B320" s="2" t="s">
        <v>84</v>
      </c>
      <c r="C320" s="2" t="s">
        <v>711</v>
      </c>
      <c r="D320" s="108" t="s">
        <v>712</v>
      </c>
      <c r="E320" s="103"/>
      <c r="F320" s="2" t="s">
        <v>135</v>
      </c>
      <c r="G320" s="38">
        <f>'Stavební rozpočet'!G320</f>
        <v>0.5</v>
      </c>
      <c r="H320" s="38">
        <f>'Stavební rozpočet'!H320</f>
        <v>0</v>
      </c>
      <c r="I320" s="38">
        <f>G320*H320</f>
        <v>0</v>
      </c>
      <c r="J320" s="38">
        <f>'Stavební rozpočet'!J320</f>
        <v>2.525</v>
      </c>
      <c r="K320" s="38">
        <f>G320*J320</f>
        <v>1.2625</v>
      </c>
      <c r="L320" s="71" t="s">
        <v>136</v>
      </c>
      <c r="Z320" s="38">
        <f>IF(AQ320="5",BJ320,0)</f>
        <v>0</v>
      </c>
      <c r="AB320" s="38">
        <f>IF(AQ320="1",BH320,0)</f>
        <v>0</v>
      </c>
      <c r="AC320" s="38">
        <f>IF(AQ320="1",BI320,0)</f>
        <v>0</v>
      </c>
      <c r="AD320" s="38">
        <f>IF(AQ320="7",BH320,0)</f>
        <v>0</v>
      </c>
      <c r="AE320" s="38">
        <f>IF(AQ320="7",BI320,0)</f>
        <v>0</v>
      </c>
      <c r="AF320" s="38">
        <f>IF(AQ320="2",BH320,0)</f>
        <v>0</v>
      </c>
      <c r="AG320" s="38">
        <f>IF(AQ320="2",BI320,0)</f>
        <v>0</v>
      </c>
      <c r="AH320" s="38">
        <f>IF(AQ320="0",BJ320,0)</f>
        <v>0</v>
      </c>
      <c r="AI320" s="50" t="s">
        <v>84</v>
      </c>
      <c r="AJ320" s="38">
        <f>IF(AN320=0,I320,0)</f>
        <v>0</v>
      </c>
      <c r="AK320" s="38">
        <f>IF(AN320=12,I320,0)</f>
        <v>0</v>
      </c>
      <c r="AL320" s="38">
        <f>IF(AN320=21,I320,0)</f>
        <v>0</v>
      </c>
      <c r="AN320" s="38">
        <v>21</v>
      </c>
      <c r="AO320" s="38">
        <f>H320*0.757539394</f>
        <v>0</v>
      </c>
      <c r="AP320" s="38">
        <f>H320*(1-0.757539394)</f>
        <v>0</v>
      </c>
      <c r="AQ320" s="72" t="s">
        <v>132</v>
      </c>
      <c r="AV320" s="38">
        <f>AW320+AX320</f>
        <v>0</v>
      </c>
      <c r="AW320" s="38">
        <f>G320*AO320</f>
        <v>0</v>
      </c>
      <c r="AX320" s="38">
        <f>G320*AP320</f>
        <v>0</v>
      </c>
      <c r="AY320" s="72" t="s">
        <v>683</v>
      </c>
      <c r="AZ320" s="72" t="s">
        <v>511</v>
      </c>
      <c r="BA320" s="50" t="s">
        <v>139</v>
      </c>
      <c r="BB320" s="73">
        <v>100023</v>
      </c>
      <c r="BC320" s="38">
        <f>AW320+AX320</f>
        <v>0</v>
      </c>
      <c r="BD320" s="38">
        <f>H320/(100-BE320)*100</f>
        <v>0</v>
      </c>
      <c r="BE320" s="38">
        <v>0</v>
      </c>
      <c r="BF320" s="38">
        <f>K320</f>
        <v>1.2625</v>
      </c>
      <c r="BH320" s="38">
        <f>G320*AO320</f>
        <v>0</v>
      </c>
      <c r="BI320" s="38">
        <f>G320*AP320</f>
        <v>0</v>
      </c>
      <c r="BJ320" s="38">
        <f>G320*H320</f>
        <v>0</v>
      </c>
      <c r="BK320" s="38"/>
      <c r="BL320" s="38">
        <v>63</v>
      </c>
      <c r="BW320" s="38">
        <v>21</v>
      </c>
    </row>
    <row r="321" spans="1:12" ht="13.5" customHeight="1">
      <c r="A321" s="74"/>
      <c r="D321" s="194" t="s">
        <v>713</v>
      </c>
      <c r="E321" s="195"/>
      <c r="F321" s="195"/>
      <c r="G321" s="195"/>
      <c r="H321" s="195"/>
      <c r="I321" s="195"/>
      <c r="J321" s="195"/>
      <c r="K321" s="195"/>
      <c r="L321" s="197"/>
    </row>
    <row r="322" spans="1:12" ht="15">
      <c r="A322" s="74"/>
      <c r="D322" s="75" t="s">
        <v>714</v>
      </c>
      <c r="E322" s="75" t="s">
        <v>709</v>
      </c>
      <c r="G322" s="76">
        <v>0.5</v>
      </c>
      <c r="L322" s="77"/>
    </row>
    <row r="323" spans="1:75" ht="13.5" customHeight="1">
      <c r="A323" s="1" t="s">
        <v>715</v>
      </c>
      <c r="B323" s="2" t="s">
        <v>84</v>
      </c>
      <c r="C323" s="2" t="s">
        <v>716</v>
      </c>
      <c r="D323" s="108" t="s">
        <v>717</v>
      </c>
      <c r="E323" s="103"/>
      <c r="F323" s="2" t="s">
        <v>189</v>
      </c>
      <c r="G323" s="38">
        <f>'Stavební rozpočet'!G323</f>
        <v>0.02</v>
      </c>
      <c r="H323" s="38">
        <f>'Stavební rozpočet'!H323</f>
        <v>0</v>
      </c>
      <c r="I323" s="38">
        <f>G323*H323</f>
        <v>0</v>
      </c>
      <c r="J323" s="38">
        <f>'Stavební rozpočet'!J323</f>
        <v>1.06625</v>
      </c>
      <c r="K323" s="38">
        <f>G323*J323</f>
        <v>0.021325</v>
      </c>
      <c r="L323" s="71" t="s">
        <v>136</v>
      </c>
      <c r="Z323" s="38">
        <f>IF(AQ323="5",BJ323,0)</f>
        <v>0</v>
      </c>
      <c r="AB323" s="38">
        <f>IF(AQ323="1",BH323,0)</f>
        <v>0</v>
      </c>
      <c r="AC323" s="38">
        <f>IF(AQ323="1",BI323,0)</f>
        <v>0</v>
      </c>
      <c r="AD323" s="38">
        <f>IF(AQ323="7",BH323,0)</f>
        <v>0</v>
      </c>
      <c r="AE323" s="38">
        <f>IF(AQ323="7",BI323,0)</f>
        <v>0</v>
      </c>
      <c r="AF323" s="38">
        <f>IF(AQ323="2",BH323,0)</f>
        <v>0</v>
      </c>
      <c r="AG323" s="38">
        <f>IF(AQ323="2",BI323,0)</f>
        <v>0</v>
      </c>
      <c r="AH323" s="38">
        <f>IF(AQ323="0",BJ323,0)</f>
        <v>0</v>
      </c>
      <c r="AI323" s="50" t="s">
        <v>84</v>
      </c>
      <c r="AJ323" s="38">
        <f>IF(AN323=0,I323,0)</f>
        <v>0</v>
      </c>
      <c r="AK323" s="38">
        <f>IF(AN323=12,I323,0)</f>
        <v>0</v>
      </c>
      <c r="AL323" s="38">
        <f>IF(AN323=21,I323,0)</f>
        <v>0</v>
      </c>
      <c r="AN323" s="38">
        <v>21</v>
      </c>
      <c r="AO323" s="38">
        <f>H323*0.792763085</f>
        <v>0</v>
      </c>
      <c r="AP323" s="38">
        <f>H323*(1-0.792763085)</f>
        <v>0</v>
      </c>
      <c r="AQ323" s="72" t="s">
        <v>132</v>
      </c>
      <c r="AV323" s="38">
        <f>AW323+AX323</f>
        <v>0</v>
      </c>
      <c r="AW323" s="38">
        <f>G323*AO323</f>
        <v>0</v>
      </c>
      <c r="AX323" s="38">
        <f>G323*AP323</f>
        <v>0</v>
      </c>
      <c r="AY323" s="72" t="s">
        <v>683</v>
      </c>
      <c r="AZ323" s="72" t="s">
        <v>511</v>
      </c>
      <c r="BA323" s="50" t="s">
        <v>139</v>
      </c>
      <c r="BB323" s="73">
        <v>100023</v>
      </c>
      <c r="BC323" s="38">
        <f>AW323+AX323</f>
        <v>0</v>
      </c>
      <c r="BD323" s="38">
        <f>H323/(100-BE323)*100</f>
        <v>0</v>
      </c>
      <c r="BE323" s="38">
        <v>0</v>
      </c>
      <c r="BF323" s="38">
        <f>K323</f>
        <v>0.021325</v>
      </c>
      <c r="BH323" s="38">
        <f>G323*AO323</f>
        <v>0</v>
      </c>
      <c r="BI323" s="38">
        <f>G323*AP323</f>
        <v>0</v>
      </c>
      <c r="BJ323" s="38">
        <f>G323*H323</f>
        <v>0</v>
      </c>
      <c r="BK323" s="38"/>
      <c r="BL323" s="38">
        <v>63</v>
      </c>
      <c r="BW323" s="38">
        <v>21</v>
      </c>
    </row>
    <row r="324" spans="1:12" ht="13.5" customHeight="1">
      <c r="A324" s="74"/>
      <c r="D324" s="194" t="s">
        <v>718</v>
      </c>
      <c r="E324" s="195"/>
      <c r="F324" s="195"/>
      <c r="G324" s="195"/>
      <c r="H324" s="195"/>
      <c r="I324" s="195"/>
      <c r="J324" s="195"/>
      <c r="K324" s="195"/>
      <c r="L324" s="197"/>
    </row>
    <row r="325" spans="1:12" ht="15">
      <c r="A325" s="74"/>
      <c r="D325" s="75" t="s">
        <v>719</v>
      </c>
      <c r="E325" s="75" t="s">
        <v>709</v>
      </c>
      <c r="G325" s="76">
        <v>0.02</v>
      </c>
      <c r="L325" s="77"/>
    </row>
    <row r="326" spans="1:75" ht="13.5" customHeight="1">
      <c r="A326" s="1" t="s">
        <v>720</v>
      </c>
      <c r="B326" s="2" t="s">
        <v>84</v>
      </c>
      <c r="C326" s="2" t="s">
        <v>721</v>
      </c>
      <c r="D326" s="108" t="s">
        <v>722</v>
      </c>
      <c r="E326" s="103"/>
      <c r="F326" s="2" t="s">
        <v>189</v>
      </c>
      <c r="G326" s="38">
        <f>'Stavební rozpočet'!G326</f>
        <v>0.02</v>
      </c>
      <c r="H326" s="38">
        <f>'Stavební rozpočet'!H326</f>
        <v>0</v>
      </c>
      <c r="I326" s="38">
        <f>G326*H326</f>
        <v>0</v>
      </c>
      <c r="J326" s="38">
        <f>'Stavební rozpočet'!J326</f>
        <v>1.06625</v>
      </c>
      <c r="K326" s="38">
        <f>G326*J326</f>
        <v>0.021325</v>
      </c>
      <c r="L326" s="71" t="s">
        <v>136</v>
      </c>
      <c r="Z326" s="38">
        <f>IF(AQ326="5",BJ326,0)</f>
        <v>0</v>
      </c>
      <c r="AB326" s="38">
        <f>IF(AQ326="1",BH326,0)</f>
        <v>0</v>
      </c>
      <c r="AC326" s="38">
        <f>IF(AQ326="1",BI326,0)</f>
        <v>0</v>
      </c>
      <c r="AD326" s="38">
        <f>IF(AQ326="7",BH326,0)</f>
        <v>0</v>
      </c>
      <c r="AE326" s="38">
        <f>IF(AQ326="7",BI326,0)</f>
        <v>0</v>
      </c>
      <c r="AF326" s="38">
        <f>IF(AQ326="2",BH326,0)</f>
        <v>0</v>
      </c>
      <c r="AG326" s="38">
        <f>IF(AQ326="2",BI326,0)</f>
        <v>0</v>
      </c>
      <c r="AH326" s="38">
        <f>IF(AQ326="0",BJ326,0)</f>
        <v>0</v>
      </c>
      <c r="AI326" s="50" t="s">
        <v>84</v>
      </c>
      <c r="AJ326" s="38">
        <f>IF(AN326=0,I326,0)</f>
        <v>0</v>
      </c>
      <c r="AK326" s="38">
        <f>IF(AN326=12,I326,0)</f>
        <v>0</v>
      </c>
      <c r="AL326" s="38">
        <f>IF(AN326=21,I326,0)</f>
        <v>0</v>
      </c>
      <c r="AN326" s="38">
        <v>21</v>
      </c>
      <c r="AO326" s="38">
        <f>H326*0.783520526</f>
        <v>0</v>
      </c>
      <c r="AP326" s="38">
        <f>H326*(1-0.783520526)</f>
        <v>0</v>
      </c>
      <c r="AQ326" s="72" t="s">
        <v>132</v>
      </c>
      <c r="AV326" s="38">
        <f>AW326+AX326</f>
        <v>0</v>
      </c>
      <c r="AW326" s="38">
        <f>G326*AO326</f>
        <v>0</v>
      </c>
      <c r="AX326" s="38">
        <f>G326*AP326</f>
        <v>0</v>
      </c>
      <c r="AY326" s="72" t="s">
        <v>683</v>
      </c>
      <c r="AZ326" s="72" t="s">
        <v>511</v>
      </c>
      <c r="BA326" s="50" t="s">
        <v>139</v>
      </c>
      <c r="BB326" s="73">
        <v>100023</v>
      </c>
      <c r="BC326" s="38">
        <f>AW326+AX326</f>
        <v>0</v>
      </c>
      <c r="BD326" s="38">
        <f>H326/(100-BE326)*100</f>
        <v>0</v>
      </c>
      <c r="BE326" s="38">
        <v>0</v>
      </c>
      <c r="BF326" s="38">
        <f>K326</f>
        <v>0.021325</v>
      </c>
      <c r="BH326" s="38">
        <f>G326*AO326</f>
        <v>0</v>
      </c>
      <c r="BI326" s="38">
        <f>G326*AP326</f>
        <v>0</v>
      </c>
      <c r="BJ326" s="38">
        <f>G326*H326</f>
        <v>0</v>
      </c>
      <c r="BK326" s="38"/>
      <c r="BL326" s="38">
        <v>63</v>
      </c>
      <c r="BW326" s="38">
        <v>21</v>
      </c>
    </row>
    <row r="327" spans="1:12" ht="13.5" customHeight="1">
      <c r="A327" s="74"/>
      <c r="D327" s="194" t="s">
        <v>723</v>
      </c>
      <c r="E327" s="195"/>
      <c r="F327" s="195"/>
      <c r="G327" s="195"/>
      <c r="H327" s="195"/>
      <c r="I327" s="195"/>
      <c r="J327" s="195"/>
      <c r="K327" s="195"/>
      <c r="L327" s="197"/>
    </row>
    <row r="328" spans="1:12" ht="15">
      <c r="A328" s="74"/>
      <c r="D328" s="75" t="s">
        <v>724</v>
      </c>
      <c r="E328" s="75" t="s">
        <v>709</v>
      </c>
      <c r="G328" s="76">
        <v>0.02</v>
      </c>
      <c r="L328" s="77"/>
    </row>
    <row r="329" spans="1:75" ht="13.5" customHeight="1">
      <c r="A329" s="1" t="s">
        <v>725</v>
      </c>
      <c r="B329" s="2" t="s">
        <v>84</v>
      </c>
      <c r="C329" s="2" t="s">
        <v>726</v>
      </c>
      <c r="D329" s="108" t="s">
        <v>727</v>
      </c>
      <c r="E329" s="103"/>
      <c r="F329" s="2" t="s">
        <v>135</v>
      </c>
      <c r="G329" s="38">
        <f>'Stavební rozpočet'!G329</f>
        <v>1.26</v>
      </c>
      <c r="H329" s="38">
        <f>'Stavební rozpočet'!H329</f>
        <v>0</v>
      </c>
      <c r="I329" s="38">
        <f>G329*H329</f>
        <v>0</v>
      </c>
      <c r="J329" s="38">
        <f>'Stavební rozpočet'!J329</f>
        <v>1.837</v>
      </c>
      <c r="K329" s="38">
        <f>G329*J329</f>
        <v>2.31462</v>
      </c>
      <c r="L329" s="71" t="s">
        <v>136</v>
      </c>
      <c r="Z329" s="38">
        <f>IF(AQ329="5",BJ329,0)</f>
        <v>0</v>
      </c>
      <c r="AB329" s="38">
        <f>IF(AQ329="1",BH329,0)</f>
        <v>0</v>
      </c>
      <c r="AC329" s="38">
        <f>IF(AQ329="1",BI329,0)</f>
        <v>0</v>
      </c>
      <c r="AD329" s="38">
        <f>IF(AQ329="7",BH329,0)</f>
        <v>0</v>
      </c>
      <c r="AE329" s="38">
        <f>IF(AQ329="7",BI329,0)</f>
        <v>0</v>
      </c>
      <c r="AF329" s="38">
        <f>IF(AQ329="2",BH329,0)</f>
        <v>0</v>
      </c>
      <c r="AG329" s="38">
        <f>IF(AQ329="2",BI329,0)</f>
        <v>0</v>
      </c>
      <c r="AH329" s="38">
        <f>IF(AQ329="0",BJ329,0)</f>
        <v>0</v>
      </c>
      <c r="AI329" s="50" t="s">
        <v>84</v>
      </c>
      <c r="AJ329" s="38">
        <f>IF(AN329=0,I329,0)</f>
        <v>0</v>
      </c>
      <c r="AK329" s="38">
        <f>IF(AN329=12,I329,0)</f>
        <v>0</v>
      </c>
      <c r="AL329" s="38">
        <f>IF(AN329=21,I329,0)</f>
        <v>0</v>
      </c>
      <c r="AN329" s="38">
        <v>21</v>
      </c>
      <c r="AO329" s="38">
        <f>H329*0.441820434</f>
        <v>0</v>
      </c>
      <c r="AP329" s="38">
        <f>H329*(1-0.441820434)</f>
        <v>0</v>
      </c>
      <c r="AQ329" s="72" t="s">
        <v>132</v>
      </c>
      <c r="AV329" s="38">
        <f>AW329+AX329</f>
        <v>0</v>
      </c>
      <c r="AW329" s="38">
        <f>G329*AO329</f>
        <v>0</v>
      </c>
      <c r="AX329" s="38">
        <f>G329*AP329</f>
        <v>0</v>
      </c>
      <c r="AY329" s="72" t="s">
        <v>683</v>
      </c>
      <c r="AZ329" s="72" t="s">
        <v>511</v>
      </c>
      <c r="BA329" s="50" t="s">
        <v>139</v>
      </c>
      <c r="BB329" s="73">
        <v>100023</v>
      </c>
      <c r="BC329" s="38">
        <f>AW329+AX329</f>
        <v>0</v>
      </c>
      <c r="BD329" s="38">
        <f>H329/(100-BE329)*100</f>
        <v>0</v>
      </c>
      <c r="BE329" s="38">
        <v>0</v>
      </c>
      <c r="BF329" s="38">
        <f>K329</f>
        <v>2.31462</v>
      </c>
      <c r="BH329" s="38">
        <f>G329*AO329</f>
        <v>0</v>
      </c>
      <c r="BI329" s="38">
        <f>G329*AP329</f>
        <v>0</v>
      </c>
      <c r="BJ329" s="38">
        <f>G329*H329</f>
        <v>0</v>
      </c>
      <c r="BK329" s="38"/>
      <c r="BL329" s="38">
        <v>63</v>
      </c>
      <c r="BW329" s="38">
        <v>21</v>
      </c>
    </row>
    <row r="330" spans="1:12" ht="15">
      <c r="A330" s="74"/>
      <c r="D330" s="75" t="s">
        <v>728</v>
      </c>
      <c r="E330" s="75" t="s">
        <v>709</v>
      </c>
      <c r="G330" s="76">
        <v>1.26</v>
      </c>
      <c r="L330" s="77"/>
    </row>
    <row r="331" spans="1:75" ht="13.5" customHeight="1">
      <c r="A331" s="1" t="s">
        <v>729</v>
      </c>
      <c r="B331" s="2" t="s">
        <v>84</v>
      </c>
      <c r="C331" s="2" t="s">
        <v>730</v>
      </c>
      <c r="D331" s="108" t="s">
        <v>731</v>
      </c>
      <c r="E331" s="103"/>
      <c r="F331" s="2" t="s">
        <v>135</v>
      </c>
      <c r="G331" s="38">
        <f>'Stavební rozpočet'!G331</f>
        <v>26.19</v>
      </c>
      <c r="H331" s="38">
        <f>'Stavební rozpočet'!H331</f>
        <v>0</v>
      </c>
      <c r="I331" s="38">
        <f>G331*H331</f>
        <v>0</v>
      </c>
      <c r="J331" s="38">
        <f>'Stavební rozpočet'!J331</f>
        <v>2.525</v>
      </c>
      <c r="K331" s="38">
        <f>G331*J331</f>
        <v>66.12975</v>
      </c>
      <c r="L331" s="71" t="s">
        <v>136</v>
      </c>
      <c r="Z331" s="38">
        <f>IF(AQ331="5",BJ331,0)</f>
        <v>0</v>
      </c>
      <c r="AB331" s="38">
        <f>IF(AQ331="1",BH331,0)</f>
        <v>0</v>
      </c>
      <c r="AC331" s="38">
        <f>IF(AQ331="1",BI331,0)</f>
        <v>0</v>
      </c>
      <c r="AD331" s="38">
        <f>IF(AQ331="7",BH331,0)</f>
        <v>0</v>
      </c>
      <c r="AE331" s="38">
        <f>IF(AQ331="7",BI331,0)</f>
        <v>0</v>
      </c>
      <c r="AF331" s="38">
        <f>IF(AQ331="2",BH331,0)</f>
        <v>0</v>
      </c>
      <c r="AG331" s="38">
        <f>IF(AQ331="2",BI331,0)</f>
        <v>0</v>
      </c>
      <c r="AH331" s="38">
        <f>IF(AQ331="0",BJ331,0)</f>
        <v>0</v>
      </c>
      <c r="AI331" s="50" t="s">
        <v>84</v>
      </c>
      <c r="AJ331" s="38">
        <f>IF(AN331=0,I331,0)</f>
        <v>0</v>
      </c>
      <c r="AK331" s="38">
        <f>IF(AN331=12,I331,0)</f>
        <v>0</v>
      </c>
      <c r="AL331" s="38">
        <f>IF(AN331=21,I331,0)</f>
        <v>0</v>
      </c>
      <c r="AN331" s="38">
        <v>21</v>
      </c>
      <c r="AO331" s="38">
        <f>H331*0.704421639</f>
        <v>0</v>
      </c>
      <c r="AP331" s="38">
        <f>H331*(1-0.704421639)</f>
        <v>0</v>
      </c>
      <c r="AQ331" s="72" t="s">
        <v>132</v>
      </c>
      <c r="AV331" s="38">
        <f>AW331+AX331</f>
        <v>0</v>
      </c>
      <c r="AW331" s="38">
        <f>G331*AO331</f>
        <v>0</v>
      </c>
      <c r="AX331" s="38">
        <f>G331*AP331</f>
        <v>0</v>
      </c>
      <c r="AY331" s="72" t="s">
        <v>683</v>
      </c>
      <c r="AZ331" s="72" t="s">
        <v>511</v>
      </c>
      <c r="BA331" s="50" t="s">
        <v>139</v>
      </c>
      <c r="BB331" s="73">
        <v>100023</v>
      </c>
      <c r="BC331" s="38">
        <f>AW331+AX331</f>
        <v>0</v>
      </c>
      <c r="BD331" s="38">
        <f>H331/(100-BE331)*100</f>
        <v>0</v>
      </c>
      <c r="BE331" s="38">
        <v>0</v>
      </c>
      <c r="BF331" s="38">
        <f>K331</f>
        <v>66.12975</v>
      </c>
      <c r="BH331" s="38">
        <f>G331*AO331</f>
        <v>0</v>
      </c>
      <c r="BI331" s="38">
        <f>G331*AP331</f>
        <v>0</v>
      </c>
      <c r="BJ331" s="38">
        <f>G331*H331</f>
        <v>0</v>
      </c>
      <c r="BK331" s="38"/>
      <c r="BL331" s="38">
        <v>63</v>
      </c>
      <c r="BW331" s="38">
        <v>21</v>
      </c>
    </row>
    <row r="332" spans="1:12" ht="15">
      <c r="A332" s="74"/>
      <c r="D332" s="75" t="s">
        <v>732</v>
      </c>
      <c r="E332" s="75" t="s">
        <v>733</v>
      </c>
      <c r="G332" s="76">
        <v>0.55</v>
      </c>
      <c r="L332" s="77"/>
    </row>
    <row r="333" spans="1:12" ht="15">
      <c r="A333" s="74"/>
      <c r="D333" s="75" t="s">
        <v>734</v>
      </c>
      <c r="E333" s="75" t="s">
        <v>735</v>
      </c>
      <c r="G333" s="76">
        <v>7.77</v>
      </c>
      <c r="L333" s="77"/>
    </row>
    <row r="334" spans="1:12" ht="15">
      <c r="A334" s="74"/>
      <c r="D334" s="75" t="s">
        <v>736</v>
      </c>
      <c r="E334" s="75" t="s">
        <v>737</v>
      </c>
      <c r="G334" s="76">
        <v>12.89</v>
      </c>
      <c r="L334" s="77"/>
    </row>
    <row r="335" spans="1:12" ht="15">
      <c r="A335" s="74"/>
      <c r="D335" s="75" t="s">
        <v>738</v>
      </c>
      <c r="E335" s="75" t="s">
        <v>739</v>
      </c>
      <c r="G335" s="76">
        <v>4.05</v>
      </c>
      <c r="L335" s="77"/>
    </row>
    <row r="336" spans="1:12" ht="15">
      <c r="A336" s="74"/>
      <c r="D336" s="75" t="s">
        <v>740</v>
      </c>
      <c r="E336" s="75" t="s">
        <v>741</v>
      </c>
      <c r="G336" s="76">
        <v>0.93</v>
      </c>
      <c r="L336" s="77"/>
    </row>
    <row r="337" spans="1:75" ht="13.5" customHeight="1">
      <c r="A337" s="1" t="s">
        <v>742</v>
      </c>
      <c r="B337" s="2" t="s">
        <v>84</v>
      </c>
      <c r="C337" s="2" t="s">
        <v>743</v>
      </c>
      <c r="D337" s="108" t="s">
        <v>744</v>
      </c>
      <c r="E337" s="103"/>
      <c r="F337" s="2" t="s">
        <v>135</v>
      </c>
      <c r="G337" s="38">
        <f>'Stavební rozpočet'!G337</f>
        <v>0.46</v>
      </c>
      <c r="H337" s="38">
        <f>'Stavební rozpočet'!H337</f>
        <v>0</v>
      </c>
      <c r="I337" s="38">
        <f>G337*H337</f>
        <v>0</v>
      </c>
      <c r="J337" s="38">
        <f>'Stavební rozpočet'!J337</f>
        <v>2.525</v>
      </c>
      <c r="K337" s="38">
        <f>G337*J337</f>
        <v>1.1615</v>
      </c>
      <c r="L337" s="71" t="s">
        <v>136</v>
      </c>
      <c r="Z337" s="38">
        <f>IF(AQ337="5",BJ337,0)</f>
        <v>0</v>
      </c>
      <c r="AB337" s="38">
        <f>IF(AQ337="1",BH337,0)</f>
        <v>0</v>
      </c>
      <c r="AC337" s="38">
        <f>IF(AQ337="1",BI337,0)</f>
        <v>0</v>
      </c>
      <c r="AD337" s="38">
        <f>IF(AQ337="7",BH337,0)</f>
        <v>0</v>
      </c>
      <c r="AE337" s="38">
        <f>IF(AQ337="7",BI337,0)</f>
        <v>0</v>
      </c>
      <c r="AF337" s="38">
        <f>IF(AQ337="2",BH337,0)</f>
        <v>0</v>
      </c>
      <c r="AG337" s="38">
        <f>IF(AQ337="2",BI337,0)</f>
        <v>0</v>
      </c>
      <c r="AH337" s="38">
        <f>IF(AQ337="0",BJ337,0)</f>
        <v>0</v>
      </c>
      <c r="AI337" s="50" t="s">
        <v>84</v>
      </c>
      <c r="AJ337" s="38">
        <f>IF(AN337=0,I337,0)</f>
        <v>0</v>
      </c>
      <c r="AK337" s="38">
        <f>IF(AN337=12,I337,0)</f>
        <v>0</v>
      </c>
      <c r="AL337" s="38">
        <f>IF(AN337=21,I337,0)</f>
        <v>0</v>
      </c>
      <c r="AN337" s="38">
        <v>21</v>
      </c>
      <c r="AO337" s="38">
        <f>H337*0.748848204</f>
        <v>0</v>
      </c>
      <c r="AP337" s="38">
        <f>H337*(1-0.748848204)</f>
        <v>0</v>
      </c>
      <c r="AQ337" s="72" t="s">
        <v>132</v>
      </c>
      <c r="AV337" s="38">
        <f>AW337+AX337</f>
        <v>0</v>
      </c>
      <c r="AW337" s="38">
        <f>G337*AO337</f>
        <v>0</v>
      </c>
      <c r="AX337" s="38">
        <f>G337*AP337</f>
        <v>0</v>
      </c>
      <c r="AY337" s="72" t="s">
        <v>683</v>
      </c>
      <c r="AZ337" s="72" t="s">
        <v>511</v>
      </c>
      <c r="BA337" s="50" t="s">
        <v>139</v>
      </c>
      <c r="BB337" s="73">
        <v>100023</v>
      </c>
      <c r="BC337" s="38">
        <f>AW337+AX337</f>
        <v>0</v>
      </c>
      <c r="BD337" s="38">
        <f>H337/(100-BE337)*100</f>
        <v>0</v>
      </c>
      <c r="BE337" s="38">
        <v>0</v>
      </c>
      <c r="BF337" s="38">
        <f>K337</f>
        <v>1.1615</v>
      </c>
      <c r="BH337" s="38">
        <f>G337*AO337</f>
        <v>0</v>
      </c>
      <c r="BI337" s="38">
        <f>G337*AP337</f>
        <v>0</v>
      </c>
      <c r="BJ337" s="38">
        <f>G337*H337</f>
        <v>0</v>
      </c>
      <c r="BK337" s="38"/>
      <c r="BL337" s="38">
        <v>63</v>
      </c>
      <c r="BW337" s="38">
        <v>21</v>
      </c>
    </row>
    <row r="338" spans="1:12" ht="15">
      <c r="A338" s="74"/>
      <c r="D338" s="75" t="s">
        <v>745</v>
      </c>
      <c r="E338" s="75" t="s">
        <v>746</v>
      </c>
      <c r="G338" s="76">
        <v>0.46</v>
      </c>
      <c r="L338" s="77"/>
    </row>
    <row r="339" spans="1:75" ht="13.5" customHeight="1">
      <c r="A339" s="1" t="s">
        <v>747</v>
      </c>
      <c r="B339" s="2" t="s">
        <v>84</v>
      </c>
      <c r="C339" s="2" t="s">
        <v>748</v>
      </c>
      <c r="D339" s="108" t="s">
        <v>749</v>
      </c>
      <c r="E339" s="103"/>
      <c r="F339" s="2" t="s">
        <v>135</v>
      </c>
      <c r="G339" s="38">
        <f>'Stavební rozpočet'!G339</f>
        <v>25.93</v>
      </c>
      <c r="H339" s="38">
        <f>'Stavební rozpočet'!H339</f>
        <v>0</v>
      </c>
      <c r="I339" s="38">
        <f>G339*H339</f>
        <v>0</v>
      </c>
      <c r="J339" s="38">
        <f>'Stavební rozpočet'!J339</f>
        <v>0</v>
      </c>
      <c r="K339" s="38">
        <f>G339*J339</f>
        <v>0</v>
      </c>
      <c r="L339" s="71" t="s">
        <v>136</v>
      </c>
      <c r="Z339" s="38">
        <f>IF(AQ339="5",BJ339,0)</f>
        <v>0</v>
      </c>
      <c r="AB339" s="38">
        <f>IF(AQ339="1",BH339,0)</f>
        <v>0</v>
      </c>
      <c r="AC339" s="38">
        <f>IF(AQ339="1",BI339,0)</f>
        <v>0</v>
      </c>
      <c r="AD339" s="38">
        <f>IF(AQ339="7",BH339,0)</f>
        <v>0</v>
      </c>
      <c r="AE339" s="38">
        <f>IF(AQ339="7",BI339,0)</f>
        <v>0</v>
      </c>
      <c r="AF339" s="38">
        <f>IF(AQ339="2",BH339,0)</f>
        <v>0</v>
      </c>
      <c r="AG339" s="38">
        <f>IF(AQ339="2",BI339,0)</f>
        <v>0</v>
      </c>
      <c r="AH339" s="38">
        <f>IF(AQ339="0",BJ339,0)</f>
        <v>0</v>
      </c>
      <c r="AI339" s="50" t="s">
        <v>84</v>
      </c>
      <c r="AJ339" s="38">
        <f>IF(AN339=0,I339,0)</f>
        <v>0</v>
      </c>
      <c r="AK339" s="38">
        <f>IF(AN339=12,I339,0)</f>
        <v>0</v>
      </c>
      <c r="AL339" s="38">
        <f>IF(AN339=21,I339,0)</f>
        <v>0</v>
      </c>
      <c r="AN339" s="38">
        <v>21</v>
      </c>
      <c r="AO339" s="38">
        <f>H339*0</f>
        <v>0</v>
      </c>
      <c r="AP339" s="38">
        <f>H339*(1-0)</f>
        <v>0</v>
      </c>
      <c r="AQ339" s="72" t="s">
        <v>132</v>
      </c>
      <c r="AV339" s="38">
        <f>AW339+AX339</f>
        <v>0</v>
      </c>
      <c r="AW339" s="38">
        <f>G339*AO339</f>
        <v>0</v>
      </c>
      <c r="AX339" s="38">
        <f>G339*AP339</f>
        <v>0</v>
      </c>
      <c r="AY339" s="72" t="s">
        <v>683</v>
      </c>
      <c r="AZ339" s="72" t="s">
        <v>511</v>
      </c>
      <c r="BA339" s="50" t="s">
        <v>139</v>
      </c>
      <c r="BB339" s="73">
        <v>100023</v>
      </c>
      <c r="BC339" s="38">
        <f>AW339+AX339</f>
        <v>0</v>
      </c>
      <c r="BD339" s="38">
        <f>H339/(100-BE339)*100</f>
        <v>0</v>
      </c>
      <c r="BE339" s="38">
        <v>0</v>
      </c>
      <c r="BF339" s="38">
        <f>K339</f>
        <v>0</v>
      </c>
      <c r="BH339" s="38">
        <f>G339*AO339</f>
        <v>0</v>
      </c>
      <c r="BI339" s="38">
        <f>G339*AP339</f>
        <v>0</v>
      </c>
      <c r="BJ339" s="38">
        <f>G339*H339</f>
        <v>0</v>
      </c>
      <c r="BK339" s="38"/>
      <c r="BL339" s="38">
        <v>63</v>
      </c>
      <c r="BW339" s="38">
        <v>21</v>
      </c>
    </row>
    <row r="340" spans="1:12" ht="15">
      <c r="A340" s="74"/>
      <c r="D340" s="75" t="s">
        <v>750</v>
      </c>
      <c r="E340" s="75" t="s">
        <v>4</v>
      </c>
      <c r="G340" s="76">
        <v>25.93</v>
      </c>
      <c r="L340" s="77"/>
    </row>
    <row r="341" spans="1:75" ht="13.5" customHeight="1">
      <c r="A341" s="1" t="s">
        <v>751</v>
      </c>
      <c r="B341" s="2" t="s">
        <v>84</v>
      </c>
      <c r="C341" s="2" t="s">
        <v>752</v>
      </c>
      <c r="D341" s="108" t="s">
        <v>753</v>
      </c>
      <c r="E341" s="103"/>
      <c r="F341" s="2" t="s">
        <v>135</v>
      </c>
      <c r="G341" s="38">
        <f>'Stavební rozpočet'!G341</f>
        <v>0.46</v>
      </c>
      <c r="H341" s="38">
        <f>'Stavební rozpočet'!H341</f>
        <v>0</v>
      </c>
      <c r="I341" s="38">
        <f>G341*H341</f>
        <v>0</v>
      </c>
      <c r="J341" s="38">
        <f>'Stavební rozpočet'!J341</f>
        <v>0</v>
      </c>
      <c r="K341" s="38">
        <f>G341*J341</f>
        <v>0</v>
      </c>
      <c r="L341" s="71" t="s">
        <v>136</v>
      </c>
      <c r="Z341" s="38">
        <f>IF(AQ341="5",BJ341,0)</f>
        <v>0</v>
      </c>
      <c r="AB341" s="38">
        <f>IF(AQ341="1",BH341,0)</f>
        <v>0</v>
      </c>
      <c r="AC341" s="38">
        <f>IF(AQ341="1",BI341,0)</f>
        <v>0</v>
      </c>
      <c r="AD341" s="38">
        <f>IF(AQ341="7",BH341,0)</f>
        <v>0</v>
      </c>
      <c r="AE341" s="38">
        <f>IF(AQ341="7",BI341,0)</f>
        <v>0</v>
      </c>
      <c r="AF341" s="38">
        <f>IF(AQ341="2",BH341,0)</f>
        <v>0</v>
      </c>
      <c r="AG341" s="38">
        <f>IF(AQ341="2",BI341,0)</f>
        <v>0</v>
      </c>
      <c r="AH341" s="38">
        <f>IF(AQ341="0",BJ341,0)</f>
        <v>0</v>
      </c>
      <c r="AI341" s="50" t="s">
        <v>84</v>
      </c>
      <c r="AJ341" s="38">
        <f>IF(AN341=0,I341,0)</f>
        <v>0</v>
      </c>
      <c r="AK341" s="38">
        <f>IF(AN341=12,I341,0)</f>
        <v>0</v>
      </c>
      <c r="AL341" s="38">
        <f>IF(AN341=21,I341,0)</f>
        <v>0</v>
      </c>
      <c r="AN341" s="38">
        <v>21</v>
      </c>
      <c r="AO341" s="38">
        <f>H341*0</f>
        <v>0</v>
      </c>
      <c r="AP341" s="38">
        <f>H341*(1-0)</f>
        <v>0</v>
      </c>
      <c r="AQ341" s="72" t="s">
        <v>132</v>
      </c>
      <c r="AV341" s="38">
        <f>AW341+AX341</f>
        <v>0</v>
      </c>
      <c r="AW341" s="38">
        <f>G341*AO341</f>
        <v>0</v>
      </c>
      <c r="AX341" s="38">
        <f>G341*AP341</f>
        <v>0</v>
      </c>
      <c r="AY341" s="72" t="s">
        <v>683</v>
      </c>
      <c r="AZ341" s="72" t="s">
        <v>511</v>
      </c>
      <c r="BA341" s="50" t="s">
        <v>139</v>
      </c>
      <c r="BB341" s="73">
        <v>100023</v>
      </c>
      <c r="BC341" s="38">
        <f>AW341+AX341</f>
        <v>0</v>
      </c>
      <c r="BD341" s="38">
        <f>H341/(100-BE341)*100</f>
        <v>0</v>
      </c>
      <c r="BE341" s="38">
        <v>0</v>
      </c>
      <c r="BF341" s="38">
        <f>K341</f>
        <v>0</v>
      </c>
      <c r="BH341" s="38">
        <f>G341*AO341</f>
        <v>0</v>
      </c>
      <c r="BI341" s="38">
        <f>G341*AP341</f>
        <v>0</v>
      </c>
      <c r="BJ341" s="38">
        <f>G341*H341</f>
        <v>0</v>
      </c>
      <c r="BK341" s="38"/>
      <c r="BL341" s="38">
        <v>63</v>
      </c>
      <c r="BW341" s="38">
        <v>21</v>
      </c>
    </row>
    <row r="342" spans="1:12" ht="15">
      <c r="A342" s="74"/>
      <c r="D342" s="75" t="s">
        <v>754</v>
      </c>
      <c r="E342" s="75" t="s">
        <v>4</v>
      </c>
      <c r="G342" s="76">
        <v>0.46</v>
      </c>
      <c r="L342" s="77"/>
    </row>
    <row r="343" spans="1:75" ht="13.5" customHeight="1">
      <c r="A343" s="1" t="s">
        <v>755</v>
      </c>
      <c r="B343" s="2" t="s">
        <v>84</v>
      </c>
      <c r="C343" s="2" t="s">
        <v>756</v>
      </c>
      <c r="D343" s="108" t="s">
        <v>712</v>
      </c>
      <c r="E343" s="103"/>
      <c r="F343" s="2" t="s">
        <v>135</v>
      </c>
      <c r="G343" s="38">
        <f>'Stavební rozpočet'!G343</f>
        <v>0.92</v>
      </c>
      <c r="H343" s="38">
        <f>'Stavební rozpočet'!H343</f>
        <v>0</v>
      </c>
      <c r="I343" s="38">
        <f>G343*H343</f>
        <v>0</v>
      </c>
      <c r="J343" s="38">
        <f>'Stavební rozpočet'!J343</f>
        <v>2.525</v>
      </c>
      <c r="K343" s="38">
        <f>G343*J343</f>
        <v>2.323</v>
      </c>
      <c r="L343" s="71" t="s">
        <v>136</v>
      </c>
      <c r="Z343" s="38">
        <f>IF(AQ343="5",BJ343,0)</f>
        <v>0</v>
      </c>
      <c r="AB343" s="38">
        <f>IF(AQ343="1",BH343,0)</f>
        <v>0</v>
      </c>
      <c r="AC343" s="38">
        <f>IF(AQ343="1",BI343,0)</f>
        <v>0</v>
      </c>
      <c r="AD343" s="38">
        <f>IF(AQ343="7",BH343,0)</f>
        <v>0</v>
      </c>
      <c r="AE343" s="38">
        <f>IF(AQ343="7",BI343,0)</f>
        <v>0</v>
      </c>
      <c r="AF343" s="38">
        <f>IF(AQ343="2",BH343,0)</f>
        <v>0</v>
      </c>
      <c r="AG343" s="38">
        <f>IF(AQ343="2",BI343,0)</f>
        <v>0</v>
      </c>
      <c r="AH343" s="38">
        <f>IF(AQ343="0",BJ343,0)</f>
        <v>0</v>
      </c>
      <c r="AI343" s="50" t="s">
        <v>84</v>
      </c>
      <c r="AJ343" s="38">
        <f>IF(AN343=0,I343,0)</f>
        <v>0</v>
      </c>
      <c r="AK343" s="38">
        <f>IF(AN343=12,I343,0)</f>
        <v>0</v>
      </c>
      <c r="AL343" s="38">
        <f>IF(AN343=21,I343,0)</f>
        <v>0</v>
      </c>
      <c r="AN343" s="38">
        <v>21</v>
      </c>
      <c r="AO343" s="38">
        <f>H343*0.757539394</f>
        <v>0</v>
      </c>
      <c r="AP343" s="38">
        <f>H343*(1-0.757539394)</f>
        <v>0</v>
      </c>
      <c r="AQ343" s="72" t="s">
        <v>132</v>
      </c>
      <c r="AV343" s="38">
        <f>AW343+AX343</f>
        <v>0</v>
      </c>
      <c r="AW343" s="38">
        <f>G343*AO343</f>
        <v>0</v>
      </c>
      <c r="AX343" s="38">
        <f>G343*AP343</f>
        <v>0</v>
      </c>
      <c r="AY343" s="72" t="s">
        <v>683</v>
      </c>
      <c r="AZ343" s="72" t="s">
        <v>511</v>
      </c>
      <c r="BA343" s="50" t="s">
        <v>139</v>
      </c>
      <c r="BB343" s="73">
        <v>100023</v>
      </c>
      <c r="BC343" s="38">
        <f>AW343+AX343</f>
        <v>0</v>
      </c>
      <c r="BD343" s="38">
        <f>H343/(100-BE343)*100</f>
        <v>0</v>
      </c>
      <c r="BE343" s="38">
        <v>0</v>
      </c>
      <c r="BF343" s="38">
        <f>K343</f>
        <v>2.323</v>
      </c>
      <c r="BH343" s="38">
        <f>G343*AO343</f>
        <v>0</v>
      </c>
      <c r="BI343" s="38">
        <f>G343*AP343</f>
        <v>0</v>
      </c>
      <c r="BJ343" s="38">
        <f>G343*H343</f>
        <v>0</v>
      </c>
      <c r="BK343" s="38"/>
      <c r="BL343" s="38">
        <v>63</v>
      </c>
      <c r="BW343" s="38">
        <v>21</v>
      </c>
    </row>
    <row r="344" spans="1:12" ht="15">
      <c r="A344" s="74"/>
      <c r="D344" s="75" t="s">
        <v>757</v>
      </c>
      <c r="E344" s="75" t="s">
        <v>445</v>
      </c>
      <c r="G344" s="76">
        <v>0.68</v>
      </c>
      <c r="L344" s="77"/>
    </row>
    <row r="345" spans="1:12" ht="15">
      <c r="A345" s="74"/>
      <c r="D345" s="75" t="s">
        <v>758</v>
      </c>
      <c r="E345" s="75" t="s">
        <v>447</v>
      </c>
      <c r="G345" s="76">
        <v>0.24</v>
      </c>
      <c r="L345" s="77"/>
    </row>
    <row r="346" spans="1:75" ht="13.5" customHeight="1">
      <c r="A346" s="1" t="s">
        <v>759</v>
      </c>
      <c r="B346" s="2" t="s">
        <v>84</v>
      </c>
      <c r="C346" s="2" t="s">
        <v>760</v>
      </c>
      <c r="D346" s="108" t="s">
        <v>761</v>
      </c>
      <c r="E346" s="103"/>
      <c r="F346" s="2" t="s">
        <v>135</v>
      </c>
      <c r="G346" s="38">
        <f>'Stavební rozpočet'!G346</f>
        <v>0.92</v>
      </c>
      <c r="H346" s="38">
        <f>'Stavební rozpočet'!H346</f>
        <v>0</v>
      </c>
      <c r="I346" s="38">
        <f>G346*H346</f>
        <v>0</v>
      </c>
      <c r="J346" s="38">
        <f>'Stavební rozpočet'!J346</f>
        <v>0</v>
      </c>
      <c r="K346" s="38">
        <f>G346*J346</f>
        <v>0</v>
      </c>
      <c r="L346" s="71" t="s">
        <v>136</v>
      </c>
      <c r="Z346" s="38">
        <f>IF(AQ346="5",BJ346,0)</f>
        <v>0</v>
      </c>
      <c r="AB346" s="38">
        <f>IF(AQ346="1",BH346,0)</f>
        <v>0</v>
      </c>
      <c r="AC346" s="38">
        <f>IF(AQ346="1",BI346,0)</f>
        <v>0</v>
      </c>
      <c r="AD346" s="38">
        <f>IF(AQ346="7",BH346,0)</f>
        <v>0</v>
      </c>
      <c r="AE346" s="38">
        <f>IF(AQ346="7",BI346,0)</f>
        <v>0</v>
      </c>
      <c r="AF346" s="38">
        <f>IF(AQ346="2",BH346,0)</f>
        <v>0</v>
      </c>
      <c r="AG346" s="38">
        <f>IF(AQ346="2",BI346,0)</f>
        <v>0</v>
      </c>
      <c r="AH346" s="38">
        <f>IF(AQ346="0",BJ346,0)</f>
        <v>0</v>
      </c>
      <c r="AI346" s="50" t="s">
        <v>84</v>
      </c>
      <c r="AJ346" s="38">
        <f>IF(AN346=0,I346,0)</f>
        <v>0</v>
      </c>
      <c r="AK346" s="38">
        <f>IF(AN346=12,I346,0)</f>
        <v>0</v>
      </c>
      <c r="AL346" s="38">
        <f>IF(AN346=21,I346,0)</f>
        <v>0</v>
      </c>
      <c r="AN346" s="38">
        <v>21</v>
      </c>
      <c r="AO346" s="38">
        <f>H346*0</f>
        <v>0</v>
      </c>
      <c r="AP346" s="38">
        <f>H346*(1-0)</f>
        <v>0</v>
      </c>
      <c r="AQ346" s="72" t="s">
        <v>132</v>
      </c>
      <c r="AV346" s="38">
        <f>AW346+AX346</f>
        <v>0</v>
      </c>
      <c r="AW346" s="38">
        <f>G346*AO346</f>
        <v>0</v>
      </c>
      <c r="AX346" s="38">
        <f>G346*AP346</f>
        <v>0</v>
      </c>
      <c r="AY346" s="72" t="s">
        <v>683</v>
      </c>
      <c r="AZ346" s="72" t="s">
        <v>511</v>
      </c>
      <c r="BA346" s="50" t="s">
        <v>139</v>
      </c>
      <c r="BB346" s="73">
        <v>100023</v>
      </c>
      <c r="BC346" s="38">
        <f>AW346+AX346</f>
        <v>0</v>
      </c>
      <c r="BD346" s="38">
        <f>H346/(100-BE346)*100</f>
        <v>0</v>
      </c>
      <c r="BE346" s="38">
        <v>0</v>
      </c>
      <c r="BF346" s="38">
        <f>K346</f>
        <v>0</v>
      </c>
      <c r="BH346" s="38">
        <f>G346*AO346</f>
        <v>0</v>
      </c>
      <c r="BI346" s="38">
        <f>G346*AP346</f>
        <v>0</v>
      </c>
      <c r="BJ346" s="38">
        <f>G346*H346</f>
        <v>0</v>
      </c>
      <c r="BK346" s="38"/>
      <c r="BL346" s="38">
        <v>63</v>
      </c>
      <c r="BW346" s="38">
        <v>21</v>
      </c>
    </row>
    <row r="347" spans="1:12" ht="15">
      <c r="A347" s="74"/>
      <c r="D347" s="75" t="s">
        <v>757</v>
      </c>
      <c r="E347" s="75" t="s">
        <v>445</v>
      </c>
      <c r="G347" s="76">
        <v>0.68</v>
      </c>
      <c r="L347" s="77"/>
    </row>
    <row r="348" spans="1:12" ht="15">
      <c r="A348" s="74"/>
      <c r="D348" s="75" t="s">
        <v>758</v>
      </c>
      <c r="E348" s="75" t="s">
        <v>447</v>
      </c>
      <c r="G348" s="76">
        <v>0.24</v>
      </c>
      <c r="L348" s="77"/>
    </row>
    <row r="349" spans="1:75" ht="13.5" customHeight="1">
      <c r="A349" s="1" t="s">
        <v>762</v>
      </c>
      <c r="B349" s="2" t="s">
        <v>84</v>
      </c>
      <c r="C349" s="2" t="s">
        <v>716</v>
      </c>
      <c r="D349" s="108" t="s">
        <v>763</v>
      </c>
      <c r="E349" s="103"/>
      <c r="F349" s="2" t="s">
        <v>189</v>
      </c>
      <c r="G349" s="38">
        <f>'Stavební rozpočet'!G349</f>
        <v>0.95</v>
      </c>
      <c r="H349" s="38">
        <f>'Stavební rozpočet'!H349</f>
        <v>0</v>
      </c>
      <c r="I349" s="38">
        <f>G349*H349</f>
        <v>0</v>
      </c>
      <c r="J349" s="38">
        <f>'Stavební rozpočet'!J349</f>
        <v>1.06625</v>
      </c>
      <c r="K349" s="38">
        <f>G349*J349</f>
        <v>1.0129374999999998</v>
      </c>
      <c r="L349" s="71" t="s">
        <v>136</v>
      </c>
      <c r="Z349" s="38">
        <f>IF(AQ349="5",BJ349,0)</f>
        <v>0</v>
      </c>
      <c r="AB349" s="38">
        <f>IF(AQ349="1",BH349,0)</f>
        <v>0</v>
      </c>
      <c r="AC349" s="38">
        <f>IF(AQ349="1",BI349,0)</f>
        <v>0</v>
      </c>
      <c r="AD349" s="38">
        <f>IF(AQ349="7",BH349,0)</f>
        <v>0</v>
      </c>
      <c r="AE349" s="38">
        <f>IF(AQ349="7",BI349,0)</f>
        <v>0</v>
      </c>
      <c r="AF349" s="38">
        <f>IF(AQ349="2",BH349,0)</f>
        <v>0</v>
      </c>
      <c r="AG349" s="38">
        <f>IF(AQ349="2",BI349,0)</f>
        <v>0</v>
      </c>
      <c r="AH349" s="38">
        <f>IF(AQ349="0",BJ349,0)</f>
        <v>0</v>
      </c>
      <c r="AI349" s="50" t="s">
        <v>84</v>
      </c>
      <c r="AJ349" s="38">
        <f>IF(AN349=0,I349,0)</f>
        <v>0</v>
      </c>
      <c r="AK349" s="38">
        <f>IF(AN349=12,I349,0)</f>
        <v>0</v>
      </c>
      <c r="AL349" s="38">
        <f>IF(AN349=21,I349,0)</f>
        <v>0</v>
      </c>
      <c r="AN349" s="38">
        <v>21</v>
      </c>
      <c r="AO349" s="38">
        <f>H349*0.792351857</f>
        <v>0</v>
      </c>
      <c r="AP349" s="38">
        <f>H349*(1-0.792351857)</f>
        <v>0</v>
      </c>
      <c r="AQ349" s="72" t="s">
        <v>132</v>
      </c>
      <c r="AV349" s="38">
        <f>AW349+AX349</f>
        <v>0</v>
      </c>
      <c r="AW349" s="38">
        <f>G349*AO349</f>
        <v>0</v>
      </c>
      <c r="AX349" s="38">
        <f>G349*AP349</f>
        <v>0</v>
      </c>
      <c r="AY349" s="72" t="s">
        <v>683</v>
      </c>
      <c r="AZ349" s="72" t="s">
        <v>511</v>
      </c>
      <c r="BA349" s="50" t="s">
        <v>139</v>
      </c>
      <c r="BB349" s="73">
        <v>100023</v>
      </c>
      <c r="BC349" s="38">
        <f>AW349+AX349</f>
        <v>0</v>
      </c>
      <c r="BD349" s="38">
        <f>H349/(100-BE349)*100</f>
        <v>0</v>
      </c>
      <c r="BE349" s="38">
        <v>0</v>
      </c>
      <c r="BF349" s="38">
        <f>K349</f>
        <v>1.0129374999999998</v>
      </c>
      <c r="BH349" s="38">
        <f>G349*AO349</f>
        <v>0</v>
      </c>
      <c r="BI349" s="38">
        <f>G349*AP349</f>
        <v>0</v>
      </c>
      <c r="BJ349" s="38">
        <f>G349*H349</f>
        <v>0</v>
      </c>
      <c r="BK349" s="38"/>
      <c r="BL349" s="38">
        <v>63</v>
      </c>
      <c r="BW349" s="38">
        <v>21</v>
      </c>
    </row>
    <row r="350" spans="1:12" ht="13.5" customHeight="1">
      <c r="A350" s="74"/>
      <c r="D350" s="194" t="s">
        <v>718</v>
      </c>
      <c r="E350" s="195"/>
      <c r="F350" s="195"/>
      <c r="G350" s="195"/>
      <c r="H350" s="195"/>
      <c r="I350" s="195"/>
      <c r="J350" s="195"/>
      <c r="K350" s="195"/>
      <c r="L350" s="197"/>
    </row>
    <row r="351" spans="1:12" ht="15">
      <c r="A351" s="74"/>
      <c r="D351" s="75" t="s">
        <v>764</v>
      </c>
      <c r="E351" s="75" t="s">
        <v>765</v>
      </c>
      <c r="G351" s="76">
        <v>0.43</v>
      </c>
      <c r="L351" s="77"/>
    </row>
    <row r="352" spans="1:12" ht="15">
      <c r="A352" s="74"/>
      <c r="D352" s="75" t="s">
        <v>766</v>
      </c>
      <c r="E352" s="75" t="s">
        <v>767</v>
      </c>
      <c r="G352" s="76">
        <v>0.52</v>
      </c>
      <c r="L352" s="77"/>
    </row>
    <row r="353" spans="1:75" ht="13.5" customHeight="1">
      <c r="A353" s="1" t="s">
        <v>768</v>
      </c>
      <c r="B353" s="2" t="s">
        <v>84</v>
      </c>
      <c r="C353" s="2" t="s">
        <v>721</v>
      </c>
      <c r="D353" s="108" t="s">
        <v>763</v>
      </c>
      <c r="E353" s="103"/>
      <c r="F353" s="2" t="s">
        <v>189</v>
      </c>
      <c r="G353" s="38">
        <f>'Stavební rozpočet'!G353</f>
        <v>0.02</v>
      </c>
      <c r="H353" s="38">
        <f>'Stavební rozpočet'!H353</f>
        <v>0</v>
      </c>
      <c r="I353" s="38">
        <f>G353*H353</f>
        <v>0</v>
      </c>
      <c r="J353" s="38">
        <f>'Stavební rozpočet'!J353</f>
        <v>1.06625</v>
      </c>
      <c r="K353" s="38">
        <f>G353*J353</f>
        <v>0.021325</v>
      </c>
      <c r="L353" s="71" t="s">
        <v>136</v>
      </c>
      <c r="Z353" s="38">
        <f>IF(AQ353="5",BJ353,0)</f>
        <v>0</v>
      </c>
      <c r="AB353" s="38">
        <f>IF(AQ353="1",BH353,0)</f>
        <v>0</v>
      </c>
      <c r="AC353" s="38">
        <f>IF(AQ353="1",BI353,0)</f>
        <v>0</v>
      </c>
      <c r="AD353" s="38">
        <f>IF(AQ353="7",BH353,0)</f>
        <v>0</v>
      </c>
      <c r="AE353" s="38">
        <f>IF(AQ353="7",BI353,0)</f>
        <v>0</v>
      </c>
      <c r="AF353" s="38">
        <f>IF(AQ353="2",BH353,0)</f>
        <v>0</v>
      </c>
      <c r="AG353" s="38">
        <f>IF(AQ353="2",BI353,0)</f>
        <v>0</v>
      </c>
      <c r="AH353" s="38">
        <f>IF(AQ353="0",BJ353,0)</f>
        <v>0</v>
      </c>
      <c r="AI353" s="50" t="s">
        <v>84</v>
      </c>
      <c r="AJ353" s="38">
        <f>IF(AN353=0,I353,0)</f>
        <v>0</v>
      </c>
      <c r="AK353" s="38">
        <f>IF(AN353=12,I353,0)</f>
        <v>0</v>
      </c>
      <c r="AL353" s="38">
        <f>IF(AN353=21,I353,0)</f>
        <v>0</v>
      </c>
      <c r="AN353" s="38">
        <v>21</v>
      </c>
      <c r="AO353" s="38">
        <f>H353*0.783520526</f>
        <v>0</v>
      </c>
      <c r="AP353" s="38">
        <f>H353*(1-0.783520526)</f>
        <v>0</v>
      </c>
      <c r="AQ353" s="72" t="s">
        <v>132</v>
      </c>
      <c r="AV353" s="38">
        <f>AW353+AX353</f>
        <v>0</v>
      </c>
      <c r="AW353" s="38">
        <f>G353*AO353</f>
        <v>0</v>
      </c>
      <c r="AX353" s="38">
        <f>G353*AP353</f>
        <v>0</v>
      </c>
      <c r="AY353" s="72" t="s">
        <v>683</v>
      </c>
      <c r="AZ353" s="72" t="s">
        <v>511</v>
      </c>
      <c r="BA353" s="50" t="s">
        <v>139</v>
      </c>
      <c r="BB353" s="73">
        <v>100023</v>
      </c>
      <c r="BC353" s="38">
        <f>AW353+AX353</f>
        <v>0</v>
      </c>
      <c r="BD353" s="38">
        <f>H353/(100-BE353)*100</f>
        <v>0</v>
      </c>
      <c r="BE353" s="38">
        <v>0</v>
      </c>
      <c r="BF353" s="38">
        <f>K353</f>
        <v>0.021325</v>
      </c>
      <c r="BH353" s="38">
        <f>G353*AO353</f>
        <v>0</v>
      </c>
      <c r="BI353" s="38">
        <f>G353*AP353</f>
        <v>0</v>
      </c>
      <c r="BJ353" s="38">
        <f>G353*H353</f>
        <v>0</v>
      </c>
      <c r="BK353" s="38"/>
      <c r="BL353" s="38">
        <v>63</v>
      </c>
      <c r="BW353" s="38">
        <v>21</v>
      </c>
    </row>
    <row r="354" spans="1:12" ht="13.5" customHeight="1">
      <c r="A354" s="74"/>
      <c r="D354" s="194" t="s">
        <v>723</v>
      </c>
      <c r="E354" s="195"/>
      <c r="F354" s="195"/>
      <c r="G354" s="195"/>
      <c r="H354" s="195"/>
      <c r="I354" s="195"/>
      <c r="J354" s="195"/>
      <c r="K354" s="195"/>
      <c r="L354" s="197"/>
    </row>
    <row r="355" spans="1:12" ht="15">
      <c r="A355" s="74"/>
      <c r="D355" s="75" t="s">
        <v>769</v>
      </c>
      <c r="E355" s="75" t="s">
        <v>445</v>
      </c>
      <c r="G355" s="76">
        <v>0.02</v>
      </c>
      <c r="L355" s="77"/>
    </row>
    <row r="356" spans="1:12" ht="15">
      <c r="A356" s="74"/>
      <c r="D356" s="75" t="s">
        <v>770</v>
      </c>
      <c r="E356" s="75" t="s">
        <v>447</v>
      </c>
      <c r="G356" s="76">
        <v>0</v>
      </c>
      <c r="L356" s="77"/>
    </row>
    <row r="357" spans="1:47" ht="15">
      <c r="A357" s="65" t="s">
        <v>4</v>
      </c>
      <c r="B357" s="66" t="s">
        <v>84</v>
      </c>
      <c r="C357" s="66" t="s">
        <v>496</v>
      </c>
      <c r="D357" s="192" t="s">
        <v>771</v>
      </c>
      <c r="E357" s="193"/>
      <c r="F357" s="67" t="s">
        <v>78</v>
      </c>
      <c r="G357" s="67" t="s">
        <v>78</v>
      </c>
      <c r="H357" s="67" t="s">
        <v>78</v>
      </c>
      <c r="I357" s="44">
        <f>SUM(I358:I381)</f>
        <v>0</v>
      </c>
      <c r="J357" s="50" t="s">
        <v>4</v>
      </c>
      <c r="K357" s="44">
        <f>SUM(K358:K381)</f>
        <v>0.8914199999999999</v>
      </c>
      <c r="L357" s="69" t="s">
        <v>4</v>
      </c>
      <c r="AI357" s="50" t="s">
        <v>84</v>
      </c>
      <c r="AS357" s="44">
        <f>SUM(AJ358:AJ381)</f>
        <v>0</v>
      </c>
      <c r="AT357" s="44">
        <f>SUM(AK358:AK381)</f>
        <v>0</v>
      </c>
      <c r="AU357" s="44">
        <f>SUM(AL358:AL381)</f>
        <v>0</v>
      </c>
    </row>
    <row r="358" spans="1:75" ht="13.5" customHeight="1">
      <c r="A358" s="1" t="s">
        <v>772</v>
      </c>
      <c r="B358" s="2" t="s">
        <v>84</v>
      </c>
      <c r="C358" s="2" t="s">
        <v>773</v>
      </c>
      <c r="D358" s="108" t="s">
        <v>774</v>
      </c>
      <c r="E358" s="103"/>
      <c r="F358" s="2" t="s">
        <v>199</v>
      </c>
      <c r="G358" s="38">
        <f>'Stavební rozpočet'!G358</f>
        <v>6</v>
      </c>
      <c r="H358" s="38">
        <f>'Stavební rozpočet'!H358</f>
        <v>0</v>
      </c>
      <c r="I358" s="38">
        <f>G358*H358</f>
        <v>0</v>
      </c>
      <c r="J358" s="38">
        <f>'Stavební rozpočet'!J358</f>
        <v>0.01897</v>
      </c>
      <c r="K358" s="38">
        <f>G358*J358</f>
        <v>0.11382</v>
      </c>
      <c r="L358" s="71" t="s">
        <v>136</v>
      </c>
      <c r="Z358" s="38">
        <f>IF(AQ358="5",BJ358,0)</f>
        <v>0</v>
      </c>
      <c r="AB358" s="38">
        <f>IF(AQ358="1",BH358,0)</f>
        <v>0</v>
      </c>
      <c r="AC358" s="38">
        <f>IF(AQ358="1",BI358,0)</f>
        <v>0</v>
      </c>
      <c r="AD358" s="38">
        <f>IF(AQ358="7",BH358,0)</f>
        <v>0</v>
      </c>
      <c r="AE358" s="38">
        <f>IF(AQ358="7",BI358,0)</f>
        <v>0</v>
      </c>
      <c r="AF358" s="38">
        <f>IF(AQ358="2",BH358,0)</f>
        <v>0</v>
      </c>
      <c r="AG358" s="38">
        <f>IF(AQ358="2",BI358,0)</f>
        <v>0</v>
      </c>
      <c r="AH358" s="38">
        <f>IF(AQ358="0",BJ358,0)</f>
        <v>0</v>
      </c>
      <c r="AI358" s="50" t="s">
        <v>84</v>
      </c>
      <c r="AJ358" s="38">
        <f>IF(AN358=0,I358,0)</f>
        <v>0</v>
      </c>
      <c r="AK358" s="38">
        <f>IF(AN358=12,I358,0)</f>
        <v>0</v>
      </c>
      <c r="AL358" s="38">
        <f>IF(AN358=21,I358,0)</f>
        <v>0</v>
      </c>
      <c r="AN358" s="38">
        <v>21</v>
      </c>
      <c r="AO358" s="38">
        <f>H358*0.023675048</f>
        <v>0</v>
      </c>
      <c r="AP358" s="38">
        <f>H358*(1-0.023675048)</f>
        <v>0</v>
      </c>
      <c r="AQ358" s="72" t="s">
        <v>132</v>
      </c>
      <c r="AV358" s="38">
        <f>AW358+AX358</f>
        <v>0</v>
      </c>
      <c r="AW358" s="38">
        <f>G358*AO358</f>
        <v>0</v>
      </c>
      <c r="AX358" s="38">
        <f>G358*AP358</f>
        <v>0</v>
      </c>
      <c r="AY358" s="72" t="s">
        <v>775</v>
      </c>
      <c r="AZ358" s="72" t="s">
        <v>511</v>
      </c>
      <c r="BA358" s="50" t="s">
        <v>139</v>
      </c>
      <c r="BB358" s="73">
        <v>100031</v>
      </c>
      <c r="BC358" s="38">
        <f>AW358+AX358</f>
        <v>0</v>
      </c>
      <c r="BD358" s="38">
        <f>H358/(100-BE358)*100</f>
        <v>0</v>
      </c>
      <c r="BE358" s="38">
        <v>0</v>
      </c>
      <c r="BF358" s="38">
        <f>K358</f>
        <v>0.11382</v>
      </c>
      <c r="BH358" s="38">
        <f>G358*AO358</f>
        <v>0</v>
      </c>
      <c r="BI358" s="38">
        <f>G358*AP358</f>
        <v>0</v>
      </c>
      <c r="BJ358" s="38">
        <f>G358*H358</f>
        <v>0</v>
      </c>
      <c r="BK358" s="38"/>
      <c r="BL358" s="38">
        <v>64</v>
      </c>
      <c r="BW358" s="38">
        <v>21</v>
      </c>
    </row>
    <row r="359" spans="1:12" ht="15">
      <c r="A359" s="74"/>
      <c r="D359" s="75" t="s">
        <v>166</v>
      </c>
      <c r="E359" s="75" t="s">
        <v>4</v>
      </c>
      <c r="G359" s="76">
        <v>6</v>
      </c>
      <c r="L359" s="77"/>
    </row>
    <row r="360" spans="1:75" ht="13.5" customHeight="1">
      <c r="A360" s="1" t="s">
        <v>776</v>
      </c>
      <c r="B360" s="2" t="s">
        <v>84</v>
      </c>
      <c r="C360" s="2" t="s">
        <v>777</v>
      </c>
      <c r="D360" s="108" t="s">
        <v>778</v>
      </c>
      <c r="E360" s="103"/>
      <c r="F360" s="2" t="s">
        <v>199</v>
      </c>
      <c r="G360" s="38">
        <f>'Stavební rozpočet'!G360</f>
        <v>10</v>
      </c>
      <c r="H360" s="38">
        <f>'Stavební rozpočet'!H360</f>
        <v>0</v>
      </c>
      <c r="I360" s="38">
        <f>G360*H360</f>
        <v>0</v>
      </c>
      <c r="J360" s="38">
        <f>'Stavební rozpočet'!J360</f>
        <v>0.05411</v>
      </c>
      <c r="K360" s="38">
        <f>G360*J360</f>
        <v>0.5411</v>
      </c>
      <c r="L360" s="71" t="s">
        <v>136</v>
      </c>
      <c r="Z360" s="38">
        <f>IF(AQ360="5",BJ360,0)</f>
        <v>0</v>
      </c>
      <c r="AB360" s="38">
        <f>IF(AQ360="1",BH360,0)</f>
        <v>0</v>
      </c>
      <c r="AC360" s="38">
        <f>IF(AQ360="1",BI360,0)</f>
        <v>0</v>
      </c>
      <c r="AD360" s="38">
        <f>IF(AQ360="7",BH360,0)</f>
        <v>0</v>
      </c>
      <c r="AE360" s="38">
        <f>IF(AQ360="7",BI360,0)</f>
        <v>0</v>
      </c>
      <c r="AF360" s="38">
        <f>IF(AQ360="2",BH360,0)</f>
        <v>0</v>
      </c>
      <c r="AG360" s="38">
        <f>IF(AQ360="2",BI360,0)</f>
        <v>0</v>
      </c>
      <c r="AH360" s="38">
        <f>IF(AQ360="0",BJ360,0)</f>
        <v>0</v>
      </c>
      <c r="AI360" s="50" t="s">
        <v>84</v>
      </c>
      <c r="AJ360" s="38">
        <f>IF(AN360=0,I360,0)</f>
        <v>0</v>
      </c>
      <c r="AK360" s="38">
        <f>IF(AN360=12,I360,0)</f>
        <v>0</v>
      </c>
      <c r="AL360" s="38">
        <f>IF(AN360=21,I360,0)</f>
        <v>0</v>
      </c>
      <c r="AN360" s="38">
        <v>21</v>
      </c>
      <c r="AO360" s="38">
        <f>H360*0.110694554</f>
        <v>0</v>
      </c>
      <c r="AP360" s="38">
        <f>H360*(1-0.110694554)</f>
        <v>0</v>
      </c>
      <c r="AQ360" s="72" t="s">
        <v>132</v>
      </c>
      <c r="AV360" s="38">
        <f>AW360+AX360</f>
        <v>0</v>
      </c>
      <c r="AW360" s="38">
        <f>G360*AO360</f>
        <v>0</v>
      </c>
      <c r="AX360" s="38">
        <f>G360*AP360</f>
        <v>0</v>
      </c>
      <c r="AY360" s="72" t="s">
        <v>775</v>
      </c>
      <c r="AZ360" s="72" t="s">
        <v>511</v>
      </c>
      <c r="BA360" s="50" t="s">
        <v>139</v>
      </c>
      <c r="BB360" s="73">
        <v>100031</v>
      </c>
      <c r="BC360" s="38">
        <f>AW360+AX360</f>
        <v>0</v>
      </c>
      <c r="BD360" s="38">
        <f>H360/(100-BE360)*100</f>
        <v>0</v>
      </c>
      <c r="BE360" s="38">
        <v>0</v>
      </c>
      <c r="BF360" s="38">
        <f>K360</f>
        <v>0.5411</v>
      </c>
      <c r="BH360" s="38">
        <f>G360*AO360</f>
        <v>0</v>
      </c>
      <c r="BI360" s="38">
        <f>G360*AP360</f>
        <v>0</v>
      </c>
      <c r="BJ360" s="38">
        <f>G360*H360</f>
        <v>0</v>
      </c>
      <c r="BK360" s="38"/>
      <c r="BL360" s="38">
        <v>64</v>
      </c>
      <c r="BW360" s="38">
        <v>21</v>
      </c>
    </row>
    <row r="361" spans="1:12" ht="15">
      <c r="A361" s="74"/>
      <c r="D361" s="75" t="s">
        <v>186</v>
      </c>
      <c r="E361" s="75" t="s">
        <v>4</v>
      </c>
      <c r="G361" s="76">
        <v>10</v>
      </c>
      <c r="L361" s="77"/>
    </row>
    <row r="362" spans="1:75" ht="13.5" customHeight="1">
      <c r="A362" s="1" t="s">
        <v>779</v>
      </c>
      <c r="B362" s="2" t="s">
        <v>84</v>
      </c>
      <c r="C362" s="2" t="s">
        <v>780</v>
      </c>
      <c r="D362" s="108" t="s">
        <v>781</v>
      </c>
      <c r="E362" s="103"/>
      <c r="F362" s="2" t="s">
        <v>199</v>
      </c>
      <c r="G362" s="38">
        <f>'Stavební rozpočet'!G362</f>
        <v>4</v>
      </c>
      <c r="H362" s="38">
        <f>'Stavební rozpočet'!H362</f>
        <v>0</v>
      </c>
      <c r="I362" s="38">
        <f>G362*H362</f>
        <v>0</v>
      </c>
      <c r="J362" s="38">
        <f>'Stavební rozpočet'!J362</f>
        <v>0</v>
      </c>
      <c r="K362" s="38">
        <f>G362*J362</f>
        <v>0</v>
      </c>
      <c r="L362" s="71" t="s">
        <v>136</v>
      </c>
      <c r="Z362" s="38">
        <f>IF(AQ362="5",BJ362,0)</f>
        <v>0</v>
      </c>
      <c r="AB362" s="38">
        <f>IF(AQ362="1",BH362,0)</f>
        <v>0</v>
      </c>
      <c r="AC362" s="38">
        <f>IF(AQ362="1",BI362,0)</f>
        <v>0</v>
      </c>
      <c r="AD362" s="38">
        <f>IF(AQ362="7",BH362,0)</f>
        <v>0</v>
      </c>
      <c r="AE362" s="38">
        <f>IF(AQ362="7",BI362,0)</f>
        <v>0</v>
      </c>
      <c r="AF362" s="38">
        <f>IF(AQ362="2",BH362,0)</f>
        <v>0</v>
      </c>
      <c r="AG362" s="38">
        <f>IF(AQ362="2",BI362,0)</f>
        <v>0</v>
      </c>
      <c r="AH362" s="38">
        <f>IF(AQ362="0",BJ362,0)</f>
        <v>0</v>
      </c>
      <c r="AI362" s="50" t="s">
        <v>84</v>
      </c>
      <c r="AJ362" s="38">
        <f>IF(AN362=0,I362,0)</f>
        <v>0</v>
      </c>
      <c r="AK362" s="38">
        <f>IF(AN362=12,I362,0)</f>
        <v>0</v>
      </c>
      <c r="AL362" s="38">
        <f>IF(AN362=21,I362,0)</f>
        <v>0</v>
      </c>
      <c r="AN362" s="38">
        <v>21</v>
      </c>
      <c r="AO362" s="38">
        <f>H362*0</f>
        <v>0</v>
      </c>
      <c r="AP362" s="38">
        <f>H362*(1-0)</f>
        <v>0</v>
      </c>
      <c r="AQ362" s="72" t="s">
        <v>132</v>
      </c>
      <c r="AV362" s="38">
        <f>AW362+AX362</f>
        <v>0</v>
      </c>
      <c r="AW362" s="38">
        <f>G362*AO362</f>
        <v>0</v>
      </c>
      <c r="AX362" s="38">
        <f>G362*AP362</f>
        <v>0</v>
      </c>
      <c r="AY362" s="72" t="s">
        <v>775</v>
      </c>
      <c r="AZ362" s="72" t="s">
        <v>511</v>
      </c>
      <c r="BA362" s="50" t="s">
        <v>139</v>
      </c>
      <c r="BB362" s="73">
        <v>100031</v>
      </c>
      <c r="BC362" s="38">
        <f>AW362+AX362</f>
        <v>0</v>
      </c>
      <c r="BD362" s="38">
        <f>H362/(100-BE362)*100</f>
        <v>0</v>
      </c>
      <c r="BE362" s="38">
        <v>0</v>
      </c>
      <c r="BF362" s="38">
        <f>K362</f>
        <v>0</v>
      </c>
      <c r="BH362" s="38">
        <f>G362*AO362</f>
        <v>0</v>
      </c>
      <c r="BI362" s="38">
        <f>G362*AP362</f>
        <v>0</v>
      </c>
      <c r="BJ362" s="38">
        <f>G362*H362</f>
        <v>0</v>
      </c>
      <c r="BK362" s="38"/>
      <c r="BL362" s="38">
        <v>64</v>
      </c>
      <c r="BW362" s="38">
        <v>21</v>
      </c>
    </row>
    <row r="363" spans="1:12" ht="15">
      <c r="A363" s="74"/>
      <c r="D363" s="75" t="s">
        <v>132</v>
      </c>
      <c r="E363" s="75" t="s">
        <v>782</v>
      </c>
      <c r="G363" s="76">
        <v>1</v>
      </c>
      <c r="L363" s="77"/>
    </row>
    <row r="364" spans="1:12" ht="15">
      <c r="A364" s="74"/>
      <c r="D364" s="75" t="s">
        <v>149</v>
      </c>
      <c r="E364" s="75" t="s">
        <v>783</v>
      </c>
      <c r="G364" s="76">
        <v>3</v>
      </c>
      <c r="L364" s="77"/>
    </row>
    <row r="365" spans="1:75" ht="13.5" customHeight="1">
      <c r="A365" s="78" t="s">
        <v>784</v>
      </c>
      <c r="B365" s="79" t="s">
        <v>84</v>
      </c>
      <c r="C365" s="79" t="s">
        <v>785</v>
      </c>
      <c r="D365" s="198" t="s">
        <v>786</v>
      </c>
      <c r="E365" s="199"/>
      <c r="F365" s="79" t="s">
        <v>199</v>
      </c>
      <c r="G365" s="80">
        <f>'Stavební rozpočet'!G365</f>
        <v>1</v>
      </c>
      <c r="H365" s="80">
        <f>'Stavební rozpočet'!H365</f>
        <v>0</v>
      </c>
      <c r="I365" s="80">
        <f>G365*H365</f>
        <v>0</v>
      </c>
      <c r="J365" s="80">
        <f>'Stavební rozpočet'!J365</f>
        <v>0.0104</v>
      </c>
      <c r="K365" s="80">
        <f>G365*J365</f>
        <v>0.0104</v>
      </c>
      <c r="L365" s="82" t="s">
        <v>207</v>
      </c>
      <c r="Z365" s="38">
        <f>IF(AQ365="5",BJ365,0)</f>
        <v>0</v>
      </c>
      <c r="AB365" s="38">
        <f>IF(AQ365="1",BH365,0)</f>
        <v>0</v>
      </c>
      <c r="AC365" s="38">
        <f>IF(AQ365="1",BI365,0)</f>
        <v>0</v>
      </c>
      <c r="AD365" s="38">
        <f>IF(AQ365="7",BH365,0)</f>
        <v>0</v>
      </c>
      <c r="AE365" s="38">
        <f>IF(AQ365="7",BI365,0)</f>
        <v>0</v>
      </c>
      <c r="AF365" s="38">
        <f>IF(AQ365="2",BH365,0)</f>
        <v>0</v>
      </c>
      <c r="AG365" s="38">
        <f>IF(AQ365="2",BI365,0)</f>
        <v>0</v>
      </c>
      <c r="AH365" s="38">
        <f>IF(AQ365="0",BJ365,0)</f>
        <v>0</v>
      </c>
      <c r="AI365" s="50" t="s">
        <v>84</v>
      </c>
      <c r="AJ365" s="80">
        <f>IF(AN365=0,I365,0)</f>
        <v>0</v>
      </c>
      <c r="AK365" s="80">
        <f>IF(AN365=12,I365,0)</f>
        <v>0</v>
      </c>
      <c r="AL365" s="80">
        <f>IF(AN365=21,I365,0)</f>
        <v>0</v>
      </c>
      <c r="AN365" s="38">
        <v>21</v>
      </c>
      <c r="AO365" s="38">
        <f>H365*1</f>
        <v>0</v>
      </c>
      <c r="AP365" s="38">
        <f>H365*(1-1)</f>
        <v>0</v>
      </c>
      <c r="AQ365" s="83" t="s">
        <v>132</v>
      </c>
      <c r="AV365" s="38">
        <f>AW365+AX365</f>
        <v>0</v>
      </c>
      <c r="AW365" s="38">
        <f>G365*AO365</f>
        <v>0</v>
      </c>
      <c r="AX365" s="38">
        <f>G365*AP365</f>
        <v>0</v>
      </c>
      <c r="AY365" s="72" t="s">
        <v>775</v>
      </c>
      <c r="AZ365" s="72" t="s">
        <v>511</v>
      </c>
      <c r="BA365" s="50" t="s">
        <v>139</v>
      </c>
      <c r="BC365" s="38">
        <f>AW365+AX365</f>
        <v>0</v>
      </c>
      <c r="BD365" s="38">
        <f>H365/(100-BE365)*100</f>
        <v>0</v>
      </c>
      <c r="BE365" s="38">
        <v>0</v>
      </c>
      <c r="BF365" s="38">
        <f>K365</f>
        <v>0.0104</v>
      </c>
      <c r="BH365" s="80">
        <f>G365*AO365</f>
        <v>0</v>
      </c>
      <c r="BI365" s="80">
        <f>G365*AP365</f>
        <v>0</v>
      </c>
      <c r="BJ365" s="80">
        <f>G365*H365</f>
        <v>0</v>
      </c>
      <c r="BK365" s="80"/>
      <c r="BL365" s="38">
        <v>64</v>
      </c>
      <c r="BW365" s="38">
        <v>21</v>
      </c>
    </row>
    <row r="366" spans="1:12" ht="15">
      <c r="A366" s="74"/>
      <c r="D366" s="75" t="s">
        <v>132</v>
      </c>
      <c r="E366" s="75" t="s">
        <v>4</v>
      </c>
      <c r="G366" s="76">
        <v>1</v>
      </c>
      <c r="L366" s="77"/>
    </row>
    <row r="367" spans="1:75" ht="13.5" customHeight="1">
      <c r="A367" s="78" t="s">
        <v>787</v>
      </c>
      <c r="B367" s="79" t="s">
        <v>84</v>
      </c>
      <c r="C367" s="79" t="s">
        <v>785</v>
      </c>
      <c r="D367" s="198" t="s">
        <v>788</v>
      </c>
      <c r="E367" s="199"/>
      <c r="F367" s="79" t="s">
        <v>199</v>
      </c>
      <c r="G367" s="80">
        <f>'Stavební rozpočet'!G367</f>
        <v>1</v>
      </c>
      <c r="H367" s="80">
        <f>'Stavební rozpočet'!H367</f>
        <v>0</v>
      </c>
      <c r="I367" s="80">
        <f>G367*H367</f>
        <v>0</v>
      </c>
      <c r="J367" s="80">
        <f>'Stavební rozpočet'!J367</f>
        <v>0.0104</v>
      </c>
      <c r="K367" s="80">
        <f>G367*J367</f>
        <v>0.0104</v>
      </c>
      <c r="L367" s="82" t="s">
        <v>207</v>
      </c>
      <c r="Z367" s="38">
        <f>IF(AQ367="5",BJ367,0)</f>
        <v>0</v>
      </c>
      <c r="AB367" s="38">
        <f>IF(AQ367="1",BH367,0)</f>
        <v>0</v>
      </c>
      <c r="AC367" s="38">
        <f>IF(AQ367="1",BI367,0)</f>
        <v>0</v>
      </c>
      <c r="AD367" s="38">
        <f>IF(AQ367="7",BH367,0)</f>
        <v>0</v>
      </c>
      <c r="AE367" s="38">
        <f>IF(AQ367="7",BI367,0)</f>
        <v>0</v>
      </c>
      <c r="AF367" s="38">
        <f>IF(AQ367="2",BH367,0)</f>
        <v>0</v>
      </c>
      <c r="AG367" s="38">
        <f>IF(AQ367="2",BI367,0)</f>
        <v>0</v>
      </c>
      <c r="AH367" s="38">
        <f>IF(AQ367="0",BJ367,0)</f>
        <v>0</v>
      </c>
      <c r="AI367" s="50" t="s">
        <v>84</v>
      </c>
      <c r="AJ367" s="80">
        <f>IF(AN367=0,I367,0)</f>
        <v>0</v>
      </c>
      <c r="AK367" s="80">
        <f>IF(AN367=12,I367,0)</f>
        <v>0</v>
      </c>
      <c r="AL367" s="80">
        <f>IF(AN367=21,I367,0)</f>
        <v>0</v>
      </c>
      <c r="AN367" s="38">
        <v>21</v>
      </c>
      <c r="AO367" s="38">
        <f>H367*1</f>
        <v>0</v>
      </c>
      <c r="AP367" s="38">
        <f>H367*(1-1)</f>
        <v>0</v>
      </c>
      <c r="AQ367" s="83" t="s">
        <v>132</v>
      </c>
      <c r="AV367" s="38">
        <f>AW367+AX367</f>
        <v>0</v>
      </c>
      <c r="AW367" s="38">
        <f>G367*AO367</f>
        <v>0</v>
      </c>
      <c r="AX367" s="38">
        <f>G367*AP367</f>
        <v>0</v>
      </c>
      <c r="AY367" s="72" t="s">
        <v>775</v>
      </c>
      <c r="AZ367" s="72" t="s">
        <v>511</v>
      </c>
      <c r="BA367" s="50" t="s">
        <v>139</v>
      </c>
      <c r="BC367" s="38">
        <f>AW367+AX367</f>
        <v>0</v>
      </c>
      <c r="BD367" s="38">
        <f>H367/(100-BE367)*100</f>
        <v>0</v>
      </c>
      <c r="BE367" s="38">
        <v>0</v>
      </c>
      <c r="BF367" s="38">
        <f>K367</f>
        <v>0.0104</v>
      </c>
      <c r="BH367" s="80">
        <f>G367*AO367</f>
        <v>0</v>
      </c>
      <c r="BI367" s="80">
        <f>G367*AP367</f>
        <v>0</v>
      </c>
      <c r="BJ367" s="80">
        <f>G367*H367</f>
        <v>0</v>
      </c>
      <c r="BK367" s="80"/>
      <c r="BL367" s="38">
        <v>64</v>
      </c>
      <c r="BW367" s="38">
        <v>21</v>
      </c>
    </row>
    <row r="368" spans="1:12" ht="15">
      <c r="A368" s="74"/>
      <c r="D368" s="75" t="s">
        <v>132</v>
      </c>
      <c r="E368" s="75" t="s">
        <v>4</v>
      </c>
      <c r="G368" s="76">
        <v>1</v>
      </c>
      <c r="L368" s="77"/>
    </row>
    <row r="369" spans="1:75" ht="13.5" customHeight="1">
      <c r="A369" s="78" t="s">
        <v>789</v>
      </c>
      <c r="B369" s="79" t="s">
        <v>84</v>
      </c>
      <c r="C369" s="79" t="s">
        <v>790</v>
      </c>
      <c r="D369" s="198" t="s">
        <v>791</v>
      </c>
      <c r="E369" s="199"/>
      <c r="F369" s="79" t="s">
        <v>199</v>
      </c>
      <c r="G369" s="80">
        <f>'Stavební rozpočet'!G369</f>
        <v>2</v>
      </c>
      <c r="H369" s="80">
        <f>'Stavební rozpočet'!H369</f>
        <v>0</v>
      </c>
      <c r="I369" s="80">
        <f>G369*H369</f>
        <v>0</v>
      </c>
      <c r="J369" s="80">
        <f>'Stavební rozpočet'!J369</f>
        <v>0.0108</v>
      </c>
      <c r="K369" s="80">
        <f>G369*J369</f>
        <v>0.0216</v>
      </c>
      <c r="L369" s="82" t="s">
        <v>207</v>
      </c>
      <c r="Z369" s="38">
        <f>IF(AQ369="5",BJ369,0)</f>
        <v>0</v>
      </c>
      <c r="AB369" s="38">
        <f>IF(AQ369="1",BH369,0)</f>
        <v>0</v>
      </c>
      <c r="AC369" s="38">
        <f>IF(AQ369="1",BI369,0)</f>
        <v>0</v>
      </c>
      <c r="AD369" s="38">
        <f>IF(AQ369="7",BH369,0)</f>
        <v>0</v>
      </c>
      <c r="AE369" s="38">
        <f>IF(AQ369="7",BI369,0)</f>
        <v>0</v>
      </c>
      <c r="AF369" s="38">
        <f>IF(AQ369="2",BH369,0)</f>
        <v>0</v>
      </c>
      <c r="AG369" s="38">
        <f>IF(AQ369="2",BI369,0)</f>
        <v>0</v>
      </c>
      <c r="AH369" s="38">
        <f>IF(AQ369="0",BJ369,0)</f>
        <v>0</v>
      </c>
      <c r="AI369" s="50" t="s">
        <v>84</v>
      </c>
      <c r="AJ369" s="80">
        <f>IF(AN369=0,I369,0)</f>
        <v>0</v>
      </c>
      <c r="AK369" s="80">
        <f>IF(AN369=12,I369,0)</f>
        <v>0</v>
      </c>
      <c r="AL369" s="80">
        <f>IF(AN369=21,I369,0)</f>
        <v>0</v>
      </c>
      <c r="AN369" s="38">
        <v>21</v>
      </c>
      <c r="AO369" s="38">
        <f>H369*1</f>
        <v>0</v>
      </c>
      <c r="AP369" s="38">
        <f>H369*(1-1)</f>
        <v>0</v>
      </c>
      <c r="AQ369" s="83" t="s">
        <v>132</v>
      </c>
      <c r="AV369" s="38">
        <f>AW369+AX369</f>
        <v>0</v>
      </c>
      <c r="AW369" s="38">
        <f>G369*AO369</f>
        <v>0</v>
      </c>
      <c r="AX369" s="38">
        <f>G369*AP369</f>
        <v>0</v>
      </c>
      <c r="AY369" s="72" t="s">
        <v>775</v>
      </c>
      <c r="AZ369" s="72" t="s">
        <v>511</v>
      </c>
      <c r="BA369" s="50" t="s">
        <v>139</v>
      </c>
      <c r="BC369" s="38">
        <f>AW369+AX369</f>
        <v>0</v>
      </c>
      <c r="BD369" s="38">
        <f>H369/(100-BE369)*100</f>
        <v>0</v>
      </c>
      <c r="BE369" s="38">
        <v>0</v>
      </c>
      <c r="BF369" s="38">
        <f>K369</f>
        <v>0.0216</v>
      </c>
      <c r="BH369" s="80">
        <f>G369*AO369</f>
        <v>0</v>
      </c>
      <c r="BI369" s="80">
        <f>G369*AP369</f>
        <v>0</v>
      </c>
      <c r="BJ369" s="80">
        <f>G369*H369</f>
        <v>0</v>
      </c>
      <c r="BK369" s="80"/>
      <c r="BL369" s="38">
        <v>64</v>
      </c>
      <c r="BW369" s="38">
        <v>21</v>
      </c>
    </row>
    <row r="370" spans="1:12" ht="15">
      <c r="A370" s="74"/>
      <c r="D370" s="75" t="s">
        <v>143</v>
      </c>
      <c r="E370" s="75" t="s">
        <v>4</v>
      </c>
      <c r="G370" s="76">
        <v>2</v>
      </c>
      <c r="L370" s="77"/>
    </row>
    <row r="371" spans="1:75" ht="13.5" customHeight="1">
      <c r="A371" s="78" t="s">
        <v>792</v>
      </c>
      <c r="B371" s="79" t="s">
        <v>84</v>
      </c>
      <c r="C371" s="79" t="s">
        <v>793</v>
      </c>
      <c r="D371" s="198" t="s">
        <v>794</v>
      </c>
      <c r="E371" s="199"/>
      <c r="F371" s="79" t="s">
        <v>199</v>
      </c>
      <c r="G371" s="80">
        <f>'Stavební rozpočet'!G371</f>
        <v>1</v>
      </c>
      <c r="H371" s="80">
        <f>'Stavební rozpočet'!H371</f>
        <v>0</v>
      </c>
      <c r="I371" s="80">
        <f>G371*H371</f>
        <v>0</v>
      </c>
      <c r="J371" s="80">
        <f>'Stavební rozpočet'!J371</f>
        <v>0.01056</v>
      </c>
      <c r="K371" s="80">
        <f>G371*J371</f>
        <v>0.01056</v>
      </c>
      <c r="L371" s="82" t="s">
        <v>136</v>
      </c>
      <c r="Z371" s="38">
        <f>IF(AQ371="5",BJ371,0)</f>
        <v>0</v>
      </c>
      <c r="AB371" s="38">
        <f>IF(AQ371="1",BH371,0)</f>
        <v>0</v>
      </c>
      <c r="AC371" s="38">
        <f>IF(AQ371="1",BI371,0)</f>
        <v>0</v>
      </c>
      <c r="AD371" s="38">
        <f>IF(AQ371="7",BH371,0)</f>
        <v>0</v>
      </c>
      <c r="AE371" s="38">
        <f>IF(AQ371="7",BI371,0)</f>
        <v>0</v>
      </c>
      <c r="AF371" s="38">
        <f>IF(AQ371="2",BH371,0)</f>
        <v>0</v>
      </c>
      <c r="AG371" s="38">
        <f>IF(AQ371="2",BI371,0)</f>
        <v>0</v>
      </c>
      <c r="AH371" s="38">
        <f>IF(AQ371="0",BJ371,0)</f>
        <v>0</v>
      </c>
      <c r="AI371" s="50" t="s">
        <v>84</v>
      </c>
      <c r="AJ371" s="80">
        <f>IF(AN371=0,I371,0)</f>
        <v>0</v>
      </c>
      <c r="AK371" s="80">
        <f>IF(AN371=12,I371,0)</f>
        <v>0</v>
      </c>
      <c r="AL371" s="80">
        <f>IF(AN371=21,I371,0)</f>
        <v>0</v>
      </c>
      <c r="AN371" s="38">
        <v>21</v>
      </c>
      <c r="AO371" s="38">
        <f>H371*1</f>
        <v>0</v>
      </c>
      <c r="AP371" s="38">
        <f>H371*(1-1)</f>
        <v>0</v>
      </c>
      <c r="AQ371" s="83" t="s">
        <v>132</v>
      </c>
      <c r="AV371" s="38">
        <f>AW371+AX371</f>
        <v>0</v>
      </c>
      <c r="AW371" s="38">
        <f>G371*AO371</f>
        <v>0</v>
      </c>
      <c r="AX371" s="38">
        <f>G371*AP371</f>
        <v>0</v>
      </c>
      <c r="AY371" s="72" t="s">
        <v>775</v>
      </c>
      <c r="AZ371" s="72" t="s">
        <v>511</v>
      </c>
      <c r="BA371" s="50" t="s">
        <v>139</v>
      </c>
      <c r="BC371" s="38">
        <f>AW371+AX371</f>
        <v>0</v>
      </c>
      <c r="BD371" s="38">
        <f>H371/(100-BE371)*100</f>
        <v>0</v>
      </c>
      <c r="BE371" s="38">
        <v>0</v>
      </c>
      <c r="BF371" s="38">
        <f>K371</f>
        <v>0.01056</v>
      </c>
      <c r="BH371" s="80">
        <f>G371*AO371</f>
        <v>0</v>
      </c>
      <c r="BI371" s="80">
        <f>G371*AP371</f>
        <v>0</v>
      </c>
      <c r="BJ371" s="80">
        <f>G371*H371</f>
        <v>0</v>
      </c>
      <c r="BK371" s="80"/>
      <c r="BL371" s="38">
        <v>64</v>
      </c>
      <c r="BW371" s="38">
        <v>21</v>
      </c>
    </row>
    <row r="372" spans="1:12" ht="15">
      <c r="A372" s="74"/>
      <c r="D372" s="75" t="s">
        <v>132</v>
      </c>
      <c r="E372" s="75" t="s">
        <v>4</v>
      </c>
      <c r="G372" s="76">
        <v>1</v>
      </c>
      <c r="L372" s="77"/>
    </row>
    <row r="373" spans="1:75" ht="13.5" customHeight="1">
      <c r="A373" s="78" t="s">
        <v>795</v>
      </c>
      <c r="B373" s="79" t="s">
        <v>84</v>
      </c>
      <c r="C373" s="79" t="s">
        <v>796</v>
      </c>
      <c r="D373" s="198" t="s">
        <v>797</v>
      </c>
      <c r="E373" s="199"/>
      <c r="F373" s="79" t="s">
        <v>199</v>
      </c>
      <c r="G373" s="80">
        <f>'Stavební rozpočet'!G373</f>
        <v>2</v>
      </c>
      <c r="H373" s="80">
        <f>'Stavební rozpočet'!H373</f>
        <v>0</v>
      </c>
      <c r="I373" s="80">
        <f>G373*H373</f>
        <v>0</v>
      </c>
      <c r="J373" s="80">
        <f>'Stavební rozpočet'!J373</f>
        <v>0.01081</v>
      </c>
      <c r="K373" s="80">
        <f>G373*J373</f>
        <v>0.02162</v>
      </c>
      <c r="L373" s="82" t="s">
        <v>136</v>
      </c>
      <c r="Z373" s="38">
        <f>IF(AQ373="5",BJ373,0)</f>
        <v>0</v>
      </c>
      <c r="AB373" s="38">
        <f>IF(AQ373="1",BH373,0)</f>
        <v>0</v>
      </c>
      <c r="AC373" s="38">
        <f>IF(AQ373="1",BI373,0)</f>
        <v>0</v>
      </c>
      <c r="AD373" s="38">
        <f>IF(AQ373="7",BH373,0)</f>
        <v>0</v>
      </c>
      <c r="AE373" s="38">
        <f>IF(AQ373="7",BI373,0)</f>
        <v>0</v>
      </c>
      <c r="AF373" s="38">
        <f>IF(AQ373="2",BH373,0)</f>
        <v>0</v>
      </c>
      <c r="AG373" s="38">
        <f>IF(AQ373="2",BI373,0)</f>
        <v>0</v>
      </c>
      <c r="AH373" s="38">
        <f>IF(AQ373="0",BJ373,0)</f>
        <v>0</v>
      </c>
      <c r="AI373" s="50" t="s">
        <v>84</v>
      </c>
      <c r="AJ373" s="80">
        <f>IF(AN373=0,I373,0)</f>
        <v>0</v>
      </c>
      <c r="AK373" s="80">
        <f>IF(AN373=12,I373,0)</f>
        <v>0</v>
      </c>
      <c r="AL373" s="80">
        <f>IF(AN373=21,I373,0)</f>
        <v>0</v>
      </c>
      <c r="AN373" s="38">
        <v>21</v>
      </c>
      <c r="AO373" s="38">
        <f>H373*1</f>
        <v>0</v>
      </c>
      <c r="AP373" s="38">
        <f>H373*(1-1)</f>
        <v>0</v>
      </c>
      <c r="AQ373" s="83" t="s">
        <v>132</v>
      </c>
      <c r="AV373" s="38">
        <f>AW373+AX373</f>
        <v>0</v>
      </c>
      <c r="AW373" s="38">
        <f>G373*AO373</f>
        <v>0</v>
      </c>
      <c r="AX373" s="38">
        <f>G373*AP373</f>
        <v>0</v>
      </c>
      <c r="AY373" s="72" t="s">
        <v>775</v>
      </c>
      <c r="AZ373" s="72" t="s">
        <v>511</v>
      </c>
      <c r="BA373" s="50" t="s">
        <v>139</v>
      </c>
      <c r="BC373" s="38">
        <f>AW373+AX373</f>
        <v>0</v>
      </c>
      <c r="BD373" s="38">
        <f>H373/(100-BE373)*100</f>
        <v>0</v>
      </c>
      <c r="BE373" s="38">
        <v>0</v>
      </c>
      <c r="BF373" s="38">
        <f>K373</f>
        <v>0.02162</v>
      </c>
      <c r="BH373" s="80">
        <f>G373*AO373</f>
        <v>0</v>
      </c>
      <c r="BI373" s="80">
        <f>G373*AP373</f>
        <v>0</v>
      </c>
      <c r="BJ373" s="80">
        <f>G373*H373</f>
        <v>0</v>
      </c>
      <c r="BK373" s="80"/>
      <c r="BL373" s="38">
        <v>64</v>
      </c>
      <c r="BW373" s="38">
        <v>21</v>
      </c>
    </row>
    <row r="374" spans="1:12" ht="15">
      <c r="A374" s="74"/>
      <c r="D374" s="75" t="s">
        <v>143</v>
      </c>
      <c r="E374" s="75" t="s">
        <v>4</v>
      </c>
      <c r="G374" s="76">
        <v>2</v>
      </c>
      <c r="L374" s="77"/>
    </row>
    <row r="375" spans="1:75" ht="13.5" customHeight="1">
      <c r="A375" s="78" t="s">
        <v>798</v>
      </c>
      <c r="B375" s="79" t="s">
        <v>84</v>
      </c>
      <c r="C375" s="79" t="s">
        <v>799</v>
      </c>
      <c r="D375" s="198" t="s">
        <v>800</v>
      </c>
      <c r="E375" s="199"/>
      <c r="F375" s="79" t="s">
        <v>199</v>
      </c>
      <c r="G375" s="80">
        <f>'Stavební rozpočet'!G375</f>
        <v>8</v>
      </c>
      <c r="H375" s="80">
        <f>'Stavební rozpočet'!H375</f>
        <v>0</v>
      </c>
      <c r="I375" s="80">
        <f>G375*H375</f>
        <v>0</v>
      </c>
      <c r="J375" s="80">
        <f>'Stavební rozpočet'!J375</f>
        <v>0.01107</v>
      </c>
      <c r="K375" s="80">
        <f>G375*J375</f>
        <v>0.08856</v>
      </c>
      <c r="L375" s="82" t="s">
        <v>136</v>
      </c>
      <c r="Z375" s="38">
        <f>IF(AQ375="5",BJ375,0)</f>
        <v>0</v>
      </c>
      <c r="AB375" s="38">
        <f>IF(AQ375="1",BH375,0)</f>
        <v>0</v>
      </c>
      <c r="AC375" s="38">
        <f>IF(AQ375="1",BI375,0)</f>
        <v>0</v>
      </c>
      <c r="AD375" s="38">
        <f>IF(AQ375="7",BH375,0)</f>
        <v>0</v>
      </c>
      <c r="AE375" s="38">
        <f>IF(AQ375="7",BI375,0)</f>
        <v>0</v>
      </c>
      <c r="AF375" s="38">
        <f>IF(AQ375="2",BH375,0)</f>
        <v>0</v>
      </c>
      <c r="AG375" s="38">
        <f>IF(AQ375="2",BI375,0)</f>
        <v>0</v>
      </c>
      <c r="AH375" s="38">
        <f>IF(AQ375="0",BJ375,0)</f>
        <v>0</v>
      </c>
      <c r="AI375" s="50" t="s">
        <v>84</v>
      </c>
      <c r="AJ375" s="80">
        <f>IF(AN375=0,I375,0)</f>
        <v>0</v>
      </c>
      <c r="AK375" s="80">
        <f>IF(AN375=12,I375,0)</f>
        <v>0</v>
      </c>
      <c r="AL375" s="80">
        <f>IF(AN375=21,I375,0)</f>
        <v>0</v>
      </c>
      <c r="AN375" s="38">
        <v>21</v>
      </c>
      <c r="AO375" s="38">
        <f>H375*1</f>
        <v>0</v>
      </c>
      <c r="AP375" s="38">
        <f>H375*(1-1)</f>
        <v>0</v>
      </c>
      <c r="AQ375" s="83" t="s">
        <v>132</v>
      </c>
      <c r="AV375" s="38">
        <f>AW375+AX375</f>
        <v>0</v>
      </c>
      <c r="AW375" s="38">
        <f>G375*AO375</f>
        <v>0</v>
      </c>
      <c r="AX375" s="38">
        <f>G375*AP375</f>
        <v>0</v>
      </c>
      <c r="AY375" s="72" t="s">
        <v>775</v>
      </c>
      <c r="AZ375" s="72" t="s">
        <v>511</v>
      </c>
      <c r="BA375" s="50" t="s">
        <v>139</v>
      </c>
      <c r="BC375" s="38">
        <f>AW375+AX375</f>
        <v>0</v>
      </c>
      <c r="BD375" s="38">
        <f>H375/(100-BE375)*100</f>
        <v>0</v>
      </c>
      <c r="BE375" s="38">
        <v>0</v>
      </c>
      <c r="BF375" s="38">
        <f>K375</f>
        <v>0.08856</v>
      </c>
      <c r="BH375" s="80">
        <f>G375*AO375</f>
        <v>0</v>
      </c>
      <c r="BI375" s="80">
        <f>G375*AP375</f>
        <v>0</v>
      </c>
      <c r="BJ375" s="80">
        <f>G375*H375</f>
        <v>0</v>
      </c>
      <c r="BK375" s="80"/>
      <c r="BL375" s="38">
        <v>64</v>
      </c>
      <c r="BW375" s="38">
        <v>21</v>
      </c>
    </row>
    <row r="376" spans="1:12" ht="15">
      <c r="A376" s="74"/>
      <c r="D376" s="75" t="s">
        <v>801</v>
      </c>
      <c r="E376" s="75" t="s">
        <v>4</v>
      </c>
      <c r="G376" s="76">
        <v>8</v>
      </c>
      <c r="L376" s="77"/>
    </row>
    <row r="377" spans="1:75" ht="13.5" customHeight="1">
      <c r="A377" s="78" t="s">
        <v>802</v>
      </c>
      <c r="B377" s="79" t="s">
        <v>84</v>
      </c>
      <c r="C377" s="79" t="s">
        <v>803</v>
      </c>
      <c r="D377" s="198" t="s">
        <v>804</v>
      </c>
      <c r="E377" s="199"/>
      <c r="F377" s="79" t="s">
        <v>199</v>
      </c>
      <c r="G377" s="80">
        <f>'Stavební rozpočet'!G377</f>
        <v>3</v>
      </c>
      <c r="H377" s="80">
        <f>'Stavební rozpočet'!H377</f>
        <v>0</v>
      </c>
      <c r="I377" s="80">
        <f>G377*H377</f>
        <v>0</v>
      </c>
      <c r="J377" s="80">
        <f>'Stavební rozpočet'!J377</f>
        <v>0.0144</v>
      </c>
      <c r="K377" s="80">
        <f>G377*J377</f>
        <v>0.0432</v>
      </c>
      <c r="L377" s="82" t="s">
        <v>136</v>
      </c>
      <c r="Z377" s="38">
        <f>IF(AQ377="5",BJ377,0)</f>
        <v>0</v>
      </c>
      <c r="AB377" s="38">
        <f>IF(AQ377="1",BH377,0)</f>
        <v>0</v>
      </c>
      <c r="AC377" s="38">
        <f>IF(AQ377="1",BI377,0)</f>
        <v>0</v>
      </c>
      <c r="AD377" s="38">
        <f>IF(AQ377="7",BH377,0)</f>
        <v>0</v>
      </c>
      <c r="AE377" s="38">
        <f>IF(AQ377="7",BI377,0)</f>
        <v>0</v>
      </c>
      <c r="AF377" s="38">
        <f>IF(AQ377="2",BH377,0)</f>
        <v>0</v>
      </c>
      <c r="AG377" s="38">
        <f>IF(AQ377="2",BI377,0)</f>
        <v>0</v>
      </c>
      <c r="AH377" s="38">
        <f>IF(AQ377="0",BJ377,0)</f>
        <v>0</v>
      </c>
      <c r="AI377" s="50" t="s">
        <v>84</v>
      </c>
      <c r="AJ377" s="80">
        <f>IF(AN377=0,I377,0)</f>
        <v>0</v>
      </c>
      <c r="AK377" s="80">
        <f>IF(AN377=12,I377,0)</f>
        <v>0</v>
      </c>
      <c r="AL377" s="80">
        <f>IF(AN377=21,I377,0)</f>
        <v>0</v>
      </c>
      <c r="AN377" s="38">
        <v>21</v>
      </c>
      <c r="AO377" s="38">
        <f>H377*1</f>
        <v>0</v>
      </c>
      <c r="AP377" s="38">
        <f>H377*(1-1)</f>
        <v>0</v>
      </c>
      <c r="AQ377" s="83" t="s">
        <v>132</v>
      </c>
      <c r="AV377" s="38">
        <f>AW377+AX377</f>
        <v>0</v>
      </c>
      <c r="AW377" s="38">
        <f>G377*AO377</f>
        <v>0</v>
      </c>
      <c r="AX377" s="38">
        <f>G377*AP377</f>
        <v>0</v>
      </c>
      <c r="AY377" s="72" t="s">
        <v>775</v>
      </c>
      <c r="AZ377" s="72" t="s">
        <v>511</v>
      </c>
      <c r="BA377" s="50" t="s">
        <v>139</v>
      </c>
      <c r="BC377" s="38">
        <f>AW377+AX377</f>
        <v>0</v>
      </c>
      <c r="BD377" s="38">
        <f>H377/(100-BE377)*100</f>
        <v>0</v>
      </c>
      <c r="BE377" s="38">
        <v>0</v>
      </c>
      <c r="BF377" s="38">
        <f>K377</f>
        <v>0.0432</v>
      </c>
      <c r="BH377" s="80">
        <f>G377*AO377</f>
        <v>0</v>
      </c>
      <c r="BI377" s="80">
        <f>G377*AP377</f>
        <v>0</v>
      </c>
      <c r="BJ377" s="80">
        <f>G377*H377</f>
        <v>0</v>
      </c>
      <c r="BK377" s="80"/>
      <c r="BL377" s="38">
        <v>64</v>
      </c>
      <c r="BW377" s="38">
        <v>21</v>
      </c>
    </row>
    <row r="378" spans="1:12" ht="15">
      <c r="A378" s="74"/>
      <c r="D378" s="75" t="s">
        <v>149</v>
      </c>
      <c r="E378" s="75" t="s">
        <v>4</v>
      </c>
      <c r="G378" s="76">
        <v>3</v>
      </c>
      <c r="L378" s="77"/>
    </row>
    <row r="379" spans="1:75" ht="13.5" customHeight="1">
      <c r="A379" s="78" t="s">
        <v>805</v>
      </c>
      <c r="B379" s="79" t="s">
        <v>84</v>
      </c>
      <c r="C379" s="79" t="s">
        <v>806</v>
      </c>
      <c r="D379" s="198" t="s">
        <v>807</v>
      </c>
      <c r="E379" s="199"/>
      <c r="F379" s="79" t="s">
        <v>199</v>
      </c>
      <c r="G379" s="80">
        <f>'Stavební rozpočet'!G379</f>
        <v>2</v>
      </c>
      <c r="H379" s="80">
        <f>'Stavební rozpočet'!H379</f>
        <v>0</v>
      </c>
      <c r="I379" s="80">
        <f>G379*H379</f>
        <v>0</v>
      </c>
      <c r="J379" s="80">
        <f>'Stavební rozpočet'!J379</f>
        <v>0.01508</v>
      </c>
      <c r="K379" s="80">
        <f>G379*J379</f>
        <v>0.03016</v>
      </c>
      <c r="L379" s="82" t="s">
        <v>136</v>
      </c>
      <c r="Z379" s="38">
        <f>IF(AQ379="5",BJ379,0)</f>
        <v>0</v>
      </c>
      <c r="AB379" s="38">
        <f>IF(AQ379="1",BH379,0)</f>
        <v>0</v>
      </c>
      <c r="AC379" s="38">
        <f>IF(AQ379="1",BI379,0)</f>
        <v>0</v>
      </c>
      <c r="AD379" s="38">
        <f>IF(AQ379="7",BH379,0)</f>
        <v>0</v>
      </c>
      <c r="AE379" s="38">
        <f>IF(AQ379="7",BI379,0)</f>
        <v>0</v>
      </c>
      <c r="AF379" s="38">
        <f>IF(AQ379="2",BH379,0)</f>
        <v>0</v>
      </c>
      <c r="AG379" s="38">
        <f>IF(AQ379="2",BI379,0)</f>
        <v>0</v>
      </c>
      <c r="AH379" s="38">
        <f>IF(AQ379="0",BJ379,0)</f>
        <v>0</v>
      </c>
      <c r="AI379" s="50" t="s">
        <v>84</v>
      </c>
      <c r="AJ379" s="80">
        <f>IF(AN379=0,I379,0)</f>
        <v>0</v>
      </c>
      <c r="AK379" s="80">
        <f>IF(AN379=12,I379,0)</f>
        <v>0</v>
      </c>
      <c r="AL379" s="80">
        <f>IF(AN379=21,I379,0)</f>
        <v>0</v>
      </c>
      <c r="AN379" s="38">
        <v>21</v>
      </c>
      <c r="AO379" s="38">
        <f>H379*1</f>
        <v>0</v>
      </c>
      <c r="AP379" s="38">
        <f>H379*(1-1)</f>
        <v>0</v>
      </c>
      <c r="AQ379" s="83" t="s">
        <v>132</v>
      </c>
      <c r="AV379" s="38">
        <f>AW379+AX379</f>
        <v>0</v>
      </c>
      <c r="AW379" s="38">
        <f>G379*AO379</f>
        <v>0</v>
      </c>
      <c r="AX379" s="38">
        <f>G379*AP379</f>
        <v>0</v>
      </c>
      <c r="AY379" s="72" t="s">
        <v>775</v>
      </c>
      <c r="AZ379" s="72" t="s">
        <v>511</v>
      </c>
      <c r="BA379" s="50" t="s">
        <v>139</v>
      </c>
      <c r="BC379" s="38">
        <f>AW379+AX379</f>
        <v>0</v>
      </c>
      <c r="BD379" s="38">
        <f>H379/(100-BE379)*100</f>
        <v>0</v>
      </c>
      <c r="BE379" s="38">
        <v>0</v>
      </c>
      <c r="BF379" s="38">
        <f>K379</f>
        <v>0.03016</v>
      </c>
      <c r="BH379" s="80">
        <f>G379*AO379</f>
        <v>0</v>
      </c>
      <c r="BI379" s="80">
        <f>G379*AP379</f>
        <v>0</v>
      </c>
      <c r="BJ379" s="80">
        <f>G379*H379</f>
        <v>0</v>
      </c>
      <c r="BK379" s="80"/>
      <c r="BL379" s="38">
        <v>64</v>
      </c>
      <c r="BW379" s="38">
        <v>21</v>
      </c>
    </row>
    <row r="380" spans="1:12" ht="15">
      <c r="A380" s="74"/>
      <c r="D380" s="75" t="s">
        <v>143</v>
      </c>
      <c r="E380" s="75" t="s">
        <v>4</v>
      </c>
      <c r="G380" s="76">
        <v>2</v>
      </c>
      <c r="L380" s="77"/>
    </row>
    <row r="381" spans="1:75" ht="13.5" customHeight="1">
      <c r="A381" s="78" t="s">
        <v>808</v>
      </c>
      <c r="B381" s="79" t="s">
        <v>84</v>
      </c>
      <c r="C381" s="79" t="s">
        <v>809</v>
      </c>
      <c r="D381" s="198" t="s">
        <v>810</v>
      </c>
      <c r="E381" s="199"/>
      <c r="F381" s="79" t="s">
        <v>199</v>
      </c>
      <c r="G381" s="80">
        <f>'Stavební rozpočet'!G381</f>
        <v>11</v>
      </c>
      <c r="H381" s="80">
        <f>'Stavební rozpočet'!H381</f>
        <v>0</v>
      </c>
      <c r="I381" s="80">
        <f>G381*H381</f>
        <v>0</v>
      </c>
      <c r="J381" s="80">
        <f>'Stavební rozpočet'!J381</f>
        <v>0</v>
      </c>
      <c r="K381" s="80">
        <f>G381*J381</f>
        <v>0</v>
      </c>
      <c r="L381" s="82" t="s">
        <v>136</v>
      </c>
      <c r="Z381" s="38">
        <f>IF(AQ381="5",BJ381,0)</f>
        <v>0</v>
      </c>
      <c r="AB381" s="38">
        <f>IF(AQ381="1",BH381,0)</f>
        <v>0</v>
      </c>
      <c r="AC381" s="38">
        <f>IF(AQ381="1",BI381,0)</f>
        <v>0</v>
      </c>
      <c r="AD381" s="38">
        <f>IF(AQ381="7",BH381,0)</f>
        <v>0</v>
      </c>
      <c r="AE381" s="38">
        <f>IF(AQ381="7",BI381,0)</f>
        <v>0</v>
      </c>
      <c r="AF381" s="38">
        <f>IF(AQ381="2",BH381,0)</f>
        <v>0</v>
      </c>
      <c r="AG381" s="38">
        <f>IF(AQ381="2",BI381,0)</f>
        <v>0</v>
      </c>
      <c r="AH381" s="38">
        <f>IF(AQ381="0",BJ381,0)</f>
        <v>0</v>
      </c>
      <c r="AI381" s="50" t="s">
        <v>84</v>
      </c>
      <c r="AJ381" s="80">
        <f>IF(AN381=0,I381,0)</f>
        <v>0</v>
      </c>
      <c r="AK381" s="80">
        <f>IF(AN381=12,I381,0)</f>
        <v>0</v>
      </c>
      <c r="AL381" s="80">
        <f>IF(AN381=21,I381,0)</f>
        <v>0</v>
      </c>
      <c r="AN381" s="38">
        <v>21</v>
      </c>
      <c r="AO381" s="38">
        <f>H381*1</f>
        <v>0</v>
      </c>
      <c r="AP381" s="38">
        <f>H381*(1-1)</f>
        <v>0</v>
      </c>
      <c r="AQ381" s="83" t="s">
        <v>132</v>
      </c>
      <c r="AV381" s="38">
        <f>AW381+AX381</f>
        <v>0</v>
      </c>
      <c r="AW381" s="38">
        <f>G381*AO381</f>
        <v>0</v>
      </c>
      <c r="AX381" s="38">
        <f>G381*AP381</f>
        <v>0</v>
      </c>
      <c r="AY381" s="72" t="s">
        <v>775</v>
      </c>
      <c r="AZ381" s="72" t="s">
        <v>511</v>
      </c>
      <c r="BA381" s="50" t="s">
        <v>139</v>
      </c>
      <c r="BC381" s="38">
        <f>AW381+AX381</f>
        <v>0</v>
      </c>
      <c r="BD381" s="38">
        <f>H381/(100-BE381)*100</f>
        <v>0</v>
      </c>
      <c r="BE381" s="38">
        <v>0</v>
      </c>
      <c r="BF381" s="38">
        <f>K381</f>
        <v>0</v>
      </c>
      <c r="BH381" s="80">
        <f>G381*AO381</f>
        <v>0</v>
      </c>
      <c r="BI381" s="80">
        <f>G381*AP381</f>
        <v>0</v>
      </c>
      <c r="BJ381" s="80">
        <f>G381*H381</f>
        <v>0</v>
      </c>
      <c r="BK381" s="80"/>
      <c r="BL381" s="38">
        <v>64</v>
      </c>
      <c r="BW381" s="38">
        <v>21</v>
      </c>
    </row>
    <row r="382" spans="1:12" ht="15">
      <c r="A382" s="74"/>
      <c r="D382" s="75" t="s">
        <v>191</v>
      </c>
      <c r="E382" s="75" t="s">
        <v>4</v>
      </c>
      <c r="G382" s="76">
        <v>11</v>
      </c>
      <c r="L382" s="77"/>
    </row>
    <row r="383" spans="1:47" ht="15">
      <c r="A383" s="65" t="s">
        <v>4</v>
      </c>
      <c r="B383" s="66" t="s">
        <v>84</v>
      </c>
      <c r="C383" s="66" t="s">
        <v>811</v>
      </c>
      <c r="D383" s="192" t="s">
        <v>812</v>
      </c>
      <c r="E383" s="193"/>
      <c r="F383" s="67" t="s">
        <v>78</v>
      </c>
      <c r="G383" s="67" t="s">
        <v>78</v>
      </c>
      <c r="H383" s="67" t="s">
        <v>78</v>
      </c>
      <c r="I383" s="44">
        <f>SUM(I384:I417)</f>
        <v>0</v>
      </c>
      <c r="J383" s="50" t="s">
        <v>4</v>
      </c>
      <c r="K383" s="44">
        <f>SUM(K384:K417)</f>
        <v>2.6630818</v>
      </c>
      <c r="L383" s="69" t="s">
        <v>4</v>
      </c>
      <c r="AI383" s="50" t="s">
        <v>84</v>
      </c>
      <c r="AS383" s="44">
        <f>SUM(AJ384:AJ417)</f>
        <v>0</v>
      </c>
      <c r="AT383" s="44">
        <f>SUM(AK384:AK417)</f>
        <v>0</v>
      </c>
      <c r="AU383" s="44">
        <f>SUM(AL384:AL417)</f>
        <v>0</v>
      </c>
    </row>
    <row r="384" spans="1:75" ht="13.5" customHeight="1">
      <c r="A384" s="1" t="s">
        <v>813</v>
      </c>
      <c r="B384" s="2" t="s">
        <v>84</v>
      </c>
      <c r="C384" s="2" t="s">
        <v>814</v>
      </c>
      <c r="D384" s="108" t="s">
        <v>815</v>
      </c>
      <c r="E384" s="103"/>
      <c r="F384" s="2" t="s">
        <v>263</v>
      </c>
      <c r="G384" s="38">
        <f>'Stavební rozpočet'!G384</f>
        <v>4.2</v>
      </c>
      <c r="H384" s="38">
        <f>'Stavební rozpočet'!H384</f>
        <v>0</v>
      </c>
      <c r="I384" s="38">
        <f>G384*H384</f>
        <v>0</v>
      </c>
      <c r="J384" s="38">
        <f>'Stavební rozpočet'!J384</f>
        <v>0.00487</v>
      </c>
      <c r="K384" s="38">
        <f>G384*J384</f>
        <v>0.020454</v>
      </c>
      <c r="L384" s="71" t="s">
        <v>136</v>
      </c>
      <c r="Z384" s="38">
        <f>IF(AQ384="5",BJ384,0)</f>
        <v>0</v>
      </c>
      <c r="AB384" s="38">
        <f>IF(AQ384="1",BH384,0)</f>
        <v>0</v>
      </c>
      <c r="AC384" s="38">
        <f>IF(AQ384="1",BI384,0)</f>
        <v>0</v>
      </c>
      <c r="AD384" s="38">
        <f>IF(AQ384="7",BH384,0)</f>
        <v>0</v>
      </c>
      <c r="AE384" s="38">
        <f>IF(AQ384="7",BI384,0)</f>
        <v>0</v>
      </c>
      <c r="AF384" s="38">
        <f>IF(AQ384="2",BH384,0)</f>
        <v>0</v>
      </c>
      <c r="AG384" s="38">
        <f>IF(AQ384="2",BI384,0)</f>
        <v>0</v>
      </c>
      <c r="AH384" s="38">
        <f>IF(AQ384="0",BJ384,0)</f>
        <v>0</v>
      </c>
      <c r="AI384" s="50" t="s">
        <v>84</v>
      </c>
      <c r="AJ384" s="38">
        <f>IF(AN384=0,I384,0)</f>
        <v>0</v>
      </c>
      <c r="AK384" s="38">
        <f>IF(AN384=12,I384,0)</f>
        <v>0</v>
      </c>
      <c r="AL384" s="38">
        <f>IF(AN384=21,I384,0)</f>
        <v>0</v>
      </c>
      <c r="AN384" s="38">
        <v>21</v>
      </c>
      <c r="AO384" s="38">
        <f>H384*0</f>
        <v>0</v>
      </c>
      <c r="AP384" s="38">
        <f>H384*(1-0)</f>
        <v>0</v>
      </c>
      <c r="AQ384" s="72" t="s">
        <v>169</v>
      </c>
      <c r="AV384" s="38">
        <f>AW384+AX384</f>
        <v>0</v>
      </c>
      <c r="AW384" s="38">
        <f>G384*AO384</f>
        <v>0</v>
      </c>
      <c r="AX384" s="38">
        <f>G384*AP384</f>
        <v>0</v>
      </c>
      <c r="AY384" s="72" t="s">
        <v>816</v>
      </c>
      <c r="AZ384" s="72" t="s">
        <v>817</v>
      </c>
      <c r="BA384" s="50" t="s">
        <v>139</v>
      </c>
      <c r="BB384" s="73">
        <v>100022</v>
      </c>
      <c r="BC384" s="38">
        <f>AW384+AX384</f>
        <v>0</v>
      </c>
      <c r="BD384" s="38">
        <f>H384/(100-BE384)*100</f>
        <v>0</v>
      </c>
      <c r="BE384" s="38">
        <v>0</v>
      </c>
      <c r="BF384" s="38">
        <f>K384</f>
        <v>0.020454</v>
      </c>
      <c r="BH384" s="38">
        <f>G384*AO384</f>
        <v>0</v>
      </c>
      <c r="BI384" s="38">
        <f>G384*AP384</f>
        <v>0</v>
      </c>
      <c r="BJ384" s="38">
        <f>G384*H384</f>
        <v>0</v>
      </c>
      <c r="BK384" s="38"/>
      <c r="BL384" s="38">
        <v>751</v>
      </c>
      <c r="BW384" s="38">
        <v>21</v>
      </c>
    </row>
    <row r="385" spans="1:12" ht="13.5" customHeight="1">
      <c r="A385" s="74"/>
      <c r="D385" s="194" t="s">
        <v>153</v>
      </c>
      <c r="E385" s="195"/>
      <c r="F385" s="195"/>
      <c r="G385" s="195"/>
      <c r="H385" s="195"/>
      <c r="I385" s="195"/>
      <c r="J385" s="195"/>
      <c r="K385" s="195"/>
      <c r="L385" s="197"/>
    </row>
    <row r="386" spans="1:12" ht="15">
      <c r="A386" s="74"/>
      <c r="D386" s="75" t="s">
        <v>818</v>
      </c>
      <c r="E386" s="75" t="s">
        <v>4</v>
      </c>
      <c r="G386" s="76">
        <v>4.2</v>
      </c>
      <c r="L386" s="77"/>
    </row>
    <row r="387" spans="1:75" ht="13.5" customHeight="1">
      <c r="A387" s="1" t="s">
        <v>819</v>
      </c>
      <c r="B387" s="2" t="s">
        <v>84</v>
      </c>
      <c r="C387" s="2" t="s">
        <v>820</v>
      </c>
      <c r="D387" s="108" t="s">
        <v>821</v>
      </c>
      <c r="E387" s="103"/>
      <c r="F387" s="2" t="s">
        <v>263</v>
      </c>
      <c r="G387" s="38">
        <f>'Stavební rozpočet'!G387</f>
        <v>4.2</v>
      </c>
      <c r="H387" s="38">
        <f>'Stavební rozpočet'!H387</f>
        <v>0</v>
      </c>
      <c r="I387" s="38">
        <f>G387*H387</f>
        <v>0</v>
      </c>
      <c r="J387" s="38">
        <f>'Stavební rozpočet'!J387</f>
        <v>0</v>
      </c>
      <c r="K387" s="38">
        <f>G387*J387</f>
        <v>0</v>
      </c>
      <c r="L387" s="71" t="s">
        <v>822</v>
      </c>
      <c r="Z387" s="38">
        <f>IF(AQ387="5",BJ387,0)</f>
        <v>0</v>
      </c>
      <c r="AB387" s="38">
        <f>IF(AQ387="1",BH387,0)</f>
        <v>0</v>
      </c>
      <c r="AC387" s="38">
        <f>IF(AQ387="1",BI387,0)</f>
        <v>0</v>
      </c>
      <c r="AD387" s="38">
        <f>IF(AQ387="7",BH387,0)</f>
        <v>0</v>
      </c>
      <c r="AE387" s="38">
        <f>IF(AQ387="7",BI387,0)</f>
        <v>0</v>
      </c>
      <c r="AF387" s="38">
        <f>IF(AQ387="2",BH387,0)</f>
        <v>0</v>
      </c>
      <c r="AG387" s="38">
        <f>IF(AQ387="2",BI387,0)</f>
        <v>0</v>
      </c>
      <c r="AH387" s="38">
        <f>IF(AQ387="0",BJ387,0)</f>
        <v>0</v>
      </c>
      <c r="AI387" s="50" t="s">
        <v>84</v>
      </c>
      <c r="AJ387" s="38">
        <f>IF(AN387=0,I387,0)</f>
        <v>0</v>
      </c>
      <c r="AK387" s="38">
        <f>IF(AN387=12,I387,0)</f>
        <v>0</v>
      </c>
      <c r="AL387" s="38">
        <f>IF(AN387=21,I387,0)</f>
        <v>0</v>
      </c>
      <c r="AN387" s="38">
        <v>21</v>
      </c>
      <c r="AO387" s="38">
        <f>H387*0</f>
        <v>0</v>
      </c>
      <c r="AP387" s="38">
        <f>H387*(1-0)</f>
        <v>0</v>
      </c>
      <c r="AQ387" s="72" t="s">
        <v>169</v>
      </c>
      <c r="AV387" s="38">
        <f>AW387+AX387</f>
        <v>0</v>
      </c>
      <c r="AW387" s="38">
        <f>G387*AO387</f>
        <v>0</v>
      </c>
      <c r="AX387" s="38">
        <f>G387*AP387</f>
        <v>0</v>
      </c>
      <c r="AY387" s="72" t="s">
        <v>816</v>
      </c>
      <c r="AZ387" s="72" t="s">
        <v>817</v>
      </c>
      <c r="BA387" s="50" t="s">
        <v>139</v>
      </c>
      <c r="BB387" s="73">
        <v>100022</v>
      </c>
      <c r="BC387" s="38">
        <f>AW387+AX387</f>
        <v>0</v>
      </c>
      <c r="BD387" s="38">
        <f>H387/(100-BE387)*100</f>
        <v>0</v>
      </c>
      <c r="BE387" s="38">
        <v>0</v>
      </c>
      <c r="BF387" s="38">
        <f>K387</f>
        <v>0</v>
      </c>
      <c r="BH387" s="38">
        <f>G387*AO387</f>
        <v>0</v>
      </c>
      <c r="BI387" s="38">
        <f>G387*AP387</f>
        <v>0</v>
      </c>
      <c r="BJ387" s="38">
        <f>G387*H387</f>
        <v>0</v>
      </c>
      <c r="BK387" s="38"/>
      <c r="BL387" s="38">
        <v>751</v>
      </c>
      <c r="BW387" s="38">
        <v>21</v>
      </c>
    </row>
    <row r="388" spans="1:12" ht="13.5" customHeight="1">
      <c r="A388" s="74"/>
      <c r="D388" s="194" t="s">
        <v>823</v>
      </c>
      <c r="E388" s="195"/>
      <c r="F388" s="195"/>
      <c r="G388" s="195"/>
      <c r="H388" s="195"/>
      <c r="I388" s="195"/>
      <c r="J388" s="195"/>
      <c r="K388" s="195"/>
      <c r="L388" s="197"/>
    </row>
    <row r="389" spans="1:12" ht="15">
      <c r="A389" s="74"/>
      <c r="D389" s="75" t="s">
        <v>818</v>
      </c>
      <c r="E389" s="75" t="s">
        <v>824</v>
      </c>
      <c r="G389" s="76">
        <v>4.2</v>
      </c>
      <c r="L389" s="77"/>
    </row>
    <row r="390" spans="1:75" ht="13.5" customHeight="1">
      <c r="A390" s="78" t="s">
        <v>825</v>
      </c>
      <c r="B390" s="79" t="s">
        <v>84</v>
      </c>
      <c r="C390" s="79" t="s">
        <v>826</v>
      </c>
      <c r="D390" s="198" t="s">
        <v>827</v>
      </c>
      <c r="E390" s="199"/>
      <c r="F390" s="79" t="s">
        <v>828</v>
      </c>
      <c r="G390" s="80">
        <f>'Stavební rozpočet'!G390</f>
        <v>0</v>
      </c>
      <c r="H390" s="80">
        <f>'Stavební rozpočet'!H390</f>
        <v>0</v>
      </c>
      <c r="I390" s="80">
        <f>G390*H390</f>
        <v>0</v>
      </c>
      <c r="J390" s="80">
        <f>'Stavební rozpočet'!J390</f>
        <v>1</v>
      </c>
      <c r="K390" s="80">
        <f>G390*J390</f>
        <v>0</v>
      </c>
      <c r="L390" s="82" t="s">
        <v>829</v>
      </c>
      <c r="Z390" s="38">
        <f>IF(AQ390="5",BJ390,0)</f>
        <v>0</v>
      </c>
      <c r="AB390" s="38">
        <f>IF(AQ390="1",BH390,0)</f>
        <v>0</v>
      </c>
      <c r="AC390" s="38">
        <f>IF(AQ390="1",BI390,0)</f>
        <v>0</v>
      </c>
      <c r="AD390" s="38">
        <f>IF(AQ390="7",BH390,0)</f>
        <v>0</v>
      </c>
      <c r="AE390" s="38">
        <f>IF(AQ390="7",BI390,0)</f>
        <v>0</v>
      </c>
      <c r="AF390" s="38">
        <f>IF(AQ390="2",BH390,0)</f>
        <v>0</v>
      </c>
      <c r="AG390" s="38">
        <f>IF(AQ390="2",BI390,0)</f>
        <v>0</v>
      </c>
      <c r="AH390" s="38">
        <f>IF(AQ390="0",BJ390,0)</f>
        <v>0</v>
      </c>
      <c r="AI390" s="50" t="s">
        <v>84</v>
      </c>
      <c r="AJ390" s="80">
        <f>IF(AN390=0,I390,0)</f>
        <v>0</v>
      </c>
      <c r="AK390" s="80">
        <f>IF(AN390=12,I390,0)</f>
        <v>0</v>
      </c>
      <c r="AL390" s="80">
        <f>IF(AN390=21,I390,0)</f>
        <v>0</v>
      </c>
      <c r="AN390" s="38">
        <v>21</v>
      </c>
      <c r="AO390" s="38">
        <f>H390*1</f>
        <v>0</v>
      </c>
      <c r="AP390" s="38">
        <f>H390*(1-1)</f>
        <v>0</v>
      </c>
      <c r="AQ390" s="83" t="s">
        <v>169</v>
      </c>
      <c r="AV390" s="38">
        <f>AW390+AX390</f>
        <v>0</v>
      </c>
      <c r="AW390" s="38">
        <f>G390*AO390</f>
        <v>0</v>
      </c>
      <c r="AX390" s="38">
        <f>G390*AP390</f>
        <v>0</v>
      </c>
      <c r="AY390" s="72" t="s">
        <v>816</v>
      </c>
      <c r="AZ390" s="72" t="s">
        <v>817</v>
      </c>
      <c r="BA390" s="50" t="s">
        <v>139</v>
      </c>
      <c r="BC390" s="38">
        <f>AW390+AX390</f>
        <v>0</v>
      </c>
      <c r="BD390" s="38">
        <f>H390/(100-BE390)*100</f>
        <v>0</v>
      </c>
      <c r="BE390" s="38">
        <v>0</v>
      </c>
      <c r="BF390" s="38">
        <f>K390</f>
        <v>0</v>
      </c>
      <c r="BH390" s="80">
        <f>G390*AO390</f>
        <v>0</v>
      </c>
      <c r="BI390" s="80">
        <f>G390*AP390</f>
        <v>0</v>
      </c>
      <c r="BJ390" s="80">
        <f>G390*H390</f>
        <v>0</v>
      </c>
      <c r="BK390" s="80"/>
      <c r="BL390" s="38">
        <v>751</v>
      </c>
      <c r="BW390" s="38">
        <v>21</v>
      </c>
    </row>
    <row r="391" spans="1:12" ht="15">
      <c r="A391" s="74"/>
      <c r="D391" s="75" t="s">
        <v>830</v>
      </c>
      <c r="E391" s="75" t="s">
        <v>824</v>
      </c>
      <c r="G391" s="76">
        <v>0</v>
      </c>
      <c r="L391" s="77"/>
    </row>
    <row r="392" spans="1:75" ht="13.5" customHeight="1">
      <c r="A392" s="1" t="s">
        <v>831</v>
      </c>
      <c r="B392" s="2" t="s">
        <v>84</v>
      </c>
      <c r="C392" s="2" t="s">
        <v>832</v>
      </c>
      <c r="D392" s="108" t="s">
        <v>833</v>
      </c>
      <c r="E392" s="103"/>
      <c r="F392" s="2" t="s">
        <v>263</v>
      </c>
      <c r="G392" s="38">
        <f>'Stavební rozpočet'!G392</f>
        <v>7.4</v>
      </c>
      <c r="H392" s="38">
        <f>'Stavební rozpočet'!H392</f>
        <v>0</v>
      </c>
      <c r="I392" s="38">
        <f>G392*H392</f>
        <v>0</v>
      </c>
      <c r="J392" s="38">
        <f>'Stavební rozpočet'!J392</f>
        <v>0.00041</v>
      </c>
      <c r="K392" s="38">
        <f>G392*J392</f>
        <v>0.0030340000000000002</v>
      </c>
      <c r="L392" s="71" t="s">
        <v>822</v>
      </c>
      <c r="Z392" s="38">
        <f>IF(AQ392="5",BJ392,0)</f>
        <v>0</v>
      </c>
      <c r="AB392" s="38">
        <f>IF(AQ392="1",BH392,0)</f>
        <v>0</v>
      </c>
      <c r="AC392" s="38">
        <f>IF(AQ392="1",BI392,0)</f>
        <v>0</v>
      </c>
      <c r="AD392" s="38">
        <f>IF(AQ392="7",BH392,0)</f>
        <v>0</v>
      </c>
      <c r="AE392" s="38">
        <f>IF(AQ392="7",BI392,0)</f>
        <v>0</v>
      </c>
      <c r="AF392" s="38">
        <f>IF(AQ392="2",BH392,0)</f>
        <v>0</v>
      </c>
      <c r="AG392" s="38">
        <f>IF(AQ392="2",BI392,0)</f>
        <v>0</v>
      </c>
      <c r="AH392" s="38">
        <f>IF(AQ392="0",BJ392,0)</f>
        <v>0</v>
      </c>
      <c r="AI392" s="50" t="s">
        <v>84</v>
      </c>
      <c r="AJ392" s="38">
        <f>IF(AN392=0,I392,0)</f>
        <v>0</v>
      </c>
      <c r="AK392" s="38">
        <f>IF(AN392=12,I392,0)</f>
        <v>0</v>
      </c>
      <c r="AL392" s="38">
        <f>IF(AN392=21,I392,0)</f>
        <v>0</v>
      </c>
      <c r="AN392" s="38">
        <v>21</v>
      </c>
      <c r="AO392" s="38">
        <f>H392*0.082005548</f>
        <v>0</v>
      </c>
      <c r="AP392" s="38">
        <f>H392*(1-0.082005548)</f>
        <v>0</v>
      </c>
      <c r="AQ392" s="72" t="s">
        <v>169</v>
      </c>
      <c r="AV392" s="38">
        <f>AW392+AX392</f>
        <v>0</v>
      </c>
      <c r="AW392" s="38">
        <f>G392*AO392</f>
        <v>0</v>
      </c>
      <c r="AX392" s="38">
        <f>G392*AP392</f>
        <v>0</v>
      </c>
      <c r="AY392" s="72" t="s">
        <v>816</v>
      </c>
      <c r="AZ392" s="72" t="s">
        <v>817</v>
      </c>
      <c r="BA392" s="50" t="s">
        <v>139</v>
      </c>
      <c r="BB392" s="73">
        <v>100022</v>
      </c>
      <c r="BC392" s="38">
        <f>AW392+AX392</f>
        <v>0</v>
      </c>
      <c r="BD392" s="38">
        <f>H392/(100-BE392)*100</f>
        <v>0</v>
      </c>
      <c r="BE392" s="38">
        <v>0</v>
      </c>
      <c r="BF392" s="38">
        <f>K392</f>
        <v>0.0030340000000000002</v>
      </c>
      <c r="BH392" s="38">
        <f>G392*AO392</f>
        <v>0</v>
      </c>
      <c r="BI392" s="38">
        <f>G392*AP392</f>
        <v>0</v>
      </c>
      <c r="BJ392" s="38">
        <f>G392*H392</f>
        <v>0</v>
      </c>
      <c r="BK392" s="38"/>
      <c r="BL392" s="38">
        <v>751</v>
      </c>
      <c r="BW392" s="38">
        <v>21</v>
      </c>
    </row>
    <row r="393" spans="1:12" ht="13.5" customHeight="1">
      <c r="A393" s="74"/>
      <c r="D393" s="194" t="s">
        <v>834</v>
      </c>
      <c r="E393" s="195"/>
      <c r="F393" s="195"/>
      <c r="G393" s="195"/>
      <c r="H393" s="195"/>
      <c r="I393" s="195"/>
      <c r="J393" s="195"/>
      <c r="K393" s="195"/>
      <c r="L393" s="197"/>
    </row>
    <row r="394" spans="1:12" ht="15">
      <c r="A394" s="74"/>
      <c r="D394" s="75" t="s">
        <v>835</v>
      </c>
      <c r="E394" s="75" t="s">
        <v>824</v>
      </c>
      <c r="G394" s="76">
        <v>7.4</v>
      </c>
      <c r="L394" s="77"/>
    </row>
    <row r="395" spans="1:75" ht="27" customHeight="1">
      <c r="A395" s="78" t="s">
        <v>836</v>
      </c>
      <c r="B395" s="79" t="s">
        <v>84</v>
      </c>
      <c r="C395" s="79" t="s">
        <v>837</v>
      </c>
      <c r="D395" s="198" t="s">
        <v>838</v>
      </c>
      <c r="E395" s="199"/>
      <c r="F395" s="79" t="s">
        <v>263</v>
      </c>
      <c r="G395" s="80">
        <f>'Stavební rozpočet'!G395</f>
        <v>8.14</v>
      </c>
      <c r="H395" s="80">
        <f>'Stavební rozpočet'!H395</f>
        <v>0</v>
      </c>
      <c r="I395" s="80">
        <f>G395*H395</f>
        <v>0</v>
      </c>
      <c r="J395" s="80">
        <f>'Stavební rozpočet'!J395</f>
        <v>0.0043</v>
      </c>
      <c r="K395" s="80">
        <f>G395*J395</f>
        <v>0.035002000000000005</v>
      </c>
      <c r="L395" s="82" t="s">
        <v>207</v>
      </c>
      <c r="Z395" s="38">
        <f>IF(AQ395="5",BJ395,0)</f>
        <v>0</v>
      </c>
      <c r="AB395" s="38">
        <f>IF(AQ395="1",BH395,0)</f>
        <v>0</v>
      </c>
      <c r="AC395" s="38">
        <f>IF(AQ395="1",BI395,0)</f>
        <v>0</v>
      </c>
      <c r="AD395" s="38">
        <f>IF(AQ395="7",BH395,0)</f>
        <v>0</v>
      </c>
      <c r="AE395" s="38">
        <f>IF(AQ395="7",BI395,0)</f>
        <v>0</v>
      </c>
      <c r="AF395" s="38">
        <f>IF(AQ395="2",BH395,0)</f>
        <v>0</v>
      </c>
      <c r="AG395" s="38">
        <f>IF(AQ395="2",BI395,0)</f>
        <v>0</v>
      </c>
      <c r="AH395" s="38">
        <f>IF(AQ395="0",BJ395,0)</f>
        <v>0</v>
      </c>
      <c r="AI395" s="50" t="s">
        <v>84</v>
      </c>
      <c r="AJ395" s="80">
        <f>IF(AN395=0,I395,0)</f>
        <v>0</v>
      </c>
      <c r="AK395" s="80">
        <f>IF(AN395=12,I395,0)</f>
        <v>0</v>
      </c>
      <c r="AL395" s="80">
        <f>IF(AN395=21,I395,0)</f>
        <v>0</v>
      </c>
      <c r="AN395" s="38">
        <v>21</v>
      </c>
      <c r="AO395" s="38">
        <f>H395*1</f>
        <v>0</v>
      </c>
      <c r="AP395" s="38">
        <f>H395*(1-1)</f>
        <v>0</v>
      </c>
      <c r="AQ395" s="83" t="s">
        <v>169</v>
      </c>
      <c r="AV395" s="38">
        <f>AW395+AX395</f>
        <v>0</v>
      </c>
      <c r="AW395" s="38">
        <f>G395*AO395</f>
        <v>0</v>
      </c>
      <c r="AX395" s="38">
        <f>G395*AP395</f>
        <v>0</v>
      </c>
      <c r="AY395" s="72" t="s">
        <v>816</v>
      </c>
      <c r="AZ395" s="72" t="s">
        <v>817</v>
      </c>
      <c r="BA395" s="50" t="s">
        <v>139</v>
      </c>
      <c r="BC395" s="38">
        <f>AW395+AX395</f>
        <v>0</v>
      </c>
      <c r="BD395" s="38">
        <f>H395/(100-BE395)*100</f>
        <v>0</v>
      </c>
      <c r="BE395" s="38">
        <v>0</v>
      </c>
      <c r="BF395" s="38">
        <f>K395</f>
        <v>0.035002000000000005</v>
      </c>
      <c r="BH395" s="80">
        <f>G395*AO395</f>
        <v>0</v>
      </c>
      <c r="BI395" s="80">
        <f>G395*AP395</f>
        <v>0</v>
      </c>
      <c r="BJ395" s="80">
        <f>G395*H395</f>
        <v>0</v>
      </c>
      <c r="BK395" s="80"/>
      <c r="BL395" s="38">
        <v>751</v>
      </c>
      <c r="BW395" s="38">
        <v>21</v>
      </c>
    </row>
    <row r="396" spans="1:12" ht="15">
      <c r="A396" s="74"/>
      <c r="D396" s="75" t="s">
        <v>839</v>
      </c>
      <c r="E396" s="75" t="s">
        <v>4</v>
      </c>
      <c r="G396" s="76">
        <v>7.4</v>
      </c>
      <c r="L396" s="77"/>
    </row>
    <row r="397" spans="1:12" ht="15">
      <c r="A397" s="74"/>
      <c r="D397" s="75" t="s">
        <v>840</v>
      </c>
      <c r="E397" s="75" t="s">
        <v>4</v>
      </c>
      <c r="G397" s="76">
        <v>0.74</v>
      </c>
      <c r="L397" s="77"/>
    </row>
    <row r="398" spans="1:75" ht="13.5" customHeight="1">
      <c r="A398" s="1" t="s">
        <v>841</v>
      </c>
      <c r="B398" s="2" t="s">
        <v>84</v>
      </c>
      <c r="C398" s="2" t="s">
        <v>842</v>
      </c>
      <c r="D398" s="108" t="s">
        <v>843</v>
      </c>
      <c r="E398" s="103"/>
      <c r="F398" s="2" t="s">
        <v>263</v>
      </c>
      <c r="G398" s="38">
        <f>'Stavební rozpočet'!G398</f>
        <v>35.25</v>
      </c>
      <c r="H398" s="38">
        <f>'Stavební rozpočet'!H398</f>
        <v>0</v>
      </c>
      <c r="I398" s="38">
        <f>G398*H398</f>
        <v>0</v>
      </c>
      <c r="J398" s="38">
        <f>'Stavební rozpočet'!J398</f>
        <v>0.00473</v>
      </c>
      <c r="K398" s="38">
        <f>G398*J398</f>
        <v>0.1667325</v>
      </c>
      <c r="L398" s="71" t="s">
        <v>207</v>
      </c>
      <c r="Z398" s="38">
        <f>IF(AQ398="5",BJ398,0)</f>
        <v>0</v>
      </c>
      <c r="AB398" s="38">
        <f>IF(AQ398="1",BH398,0)</f>
        <v>0</v>
      </c>
      <c r="AC398" s="38">
        <f>IF(AQ398="1",BI398,0)</f>
        <v>0</v>
      </c>
      <c r="AD398" s="38">
        <f>IF(AQ398="7",BH398,0)</f>
        <v>0</v>
      </c>
      <c r="AE398" s="38">
        <f>IF(AQ398="7",BI398,0)</f>
        <v>0</v>
      </c>
      <c r="AF398" s="38">
        <f>IF(AQ398="2",BH398,0)</f>
        <v>0</v>
      </c>
      <c r="AG398" s="38">
        <f>IF(AQ398="2",BI398,0)</f>
        <v>0</v>
      </c>
      <c r="AH398" s="38">
        <f>IF(AQ398="0",BJ398,0)</f>
        <v>0</v>
      </c>
      <c r="AI398" s="50" t="s">
        <v>84</v>
      </c>
      <c r="AJ398" s="38">
        <f>IF(AN398=0,I398,0)</f>
        <v>0</v>
      </c>
      <c r="AK398" s="38">
        <f>IF(AN398=12,I398,0)</f>
        <v>0</v>
      </c>
      <c r="AL398" s="38">
        <f>IF(AN398=21,I398,0)</f>
        <v>0</v>
      </c>
      <c r="AN398" s="38">
        <v>21</v>
      </c>
      <c r="AO398" s="38">
        <f>H398*0.693877551</f>
        <v>0</v>
      </c>
      <c r="AP398" s="38">
        <f>H398*(1-0.693877551)</f>
        <v>0</v>
      </c>
      <c r="AQ398" s="72" t="s">
        <v>169</v>
      </c>
      <c r="AV398" s="38">
        <f>AW398+AX398</f>
        <v>0</v>
      </c>
      <c r="AW398" s="38">
        <f>G398*AO398</f>
        <v>0</v>
      </c>
      <c r="AX398" s="38">
        <f>G398*AP398</f>
        <v>0</v>
      </c>
      <c r="AY398" s="72" t="s">
        <v>816</v>
      </c>
      <c r="AZ398" s="72" t="s">
        <v>817</v>
      </c>
      <c r="BA398" s="50" t="s">
        <v>139</v>
      </c>
      <c r="BB398" s="73">
        <v>100022</v>
      </c>
      <c r="BC398" s="38">
        <f>AW398+AX398</f>
        <v>0</v>
      </c>
      <c r="BD398" s="38">
        <f>H398/(100-BE398)*100</f>
        <v>0</v>
      </c>
      <c r="BE398" s="38">
        <v>0</v>
      </c>
      <c r="BF398" s="38">
        <f>K398</f>
        <v>0.1667325</v>
      </c>
      <c r="BH398" s="38">
        <f>G398*AO398</f>
        <v>0</v>
      </c>
      <c r="BI398" s="38">
        <f>G398*AP398</f>
        <v>0</v>
      </c>
      <c r="BJ398" s="38">
        <f>G398*H398</f>
        <v>0</v>
      </c>
      <c r="BK398" s="38"/>
      <c r="BL398" s="38">
        <v>751</v>
      </c>
      <c r="BW398" s="38">
        <v>21</v>
      </c>
    </row>
    <row r="399" spans="1:12" ht="13.5" customHeight="1">
      <c r="A399" s="74"/>
      <c r="D399" s="194" t="s">
        <v>844</v>
      </c>
      <c r="E399" s="195"/>
      <c r="F399" s="195"/>
      <c r="G399" s="195"/>
      <c r="H399" s="195"/>
      <c r="I399" s="195"/>
      <c r="J399" s="195"/>
      <c r="K399" s="195"/>
      <c r="L399" s="197"/>
    </row>
    <row r="400" spans="1:12" ht="15">
      <c r="A400" s="74"/>
      <c r="D400" s="75" t="s">
        <v>284</v>
      </c>
      <c r="E400" s="75" t="s">
        <v>4</v>
      </c>
      <c r="G400" s="76">
        <v>35.25</v>
      </c>
      <c r="L400" s="77"/>
    </row>
    <row r="401" spans="1:75" ht="13.5" customHeight="1">
      <c r="A401" s="1" t="s">
        <v>845</v>
      </c>
      <c r="B401" s="2" t="s">
        <v>84</v>
      </c>
      <c r="C401" s="2" t="s">
        <v>820</v>
      </c>
      <c r="D401" s="108" t="s">
        <v>821</v>
      </c>
      <c r="E401" s="103"/>
      <c r="F401" s="2" t="s">
        <v>263</v>
      </c>
      <c r="G401" s="38">
        <f>'Stavební rozpočet'!G401</f>
        <v>220.81</v>
      </c>
      <c r="H401" s="38">
        <f>'Stavební rozpočet'!H401</f>
        <v>0</v>
      </c>
      <c r="I401" s="38">
        <f>G401*H401</f>
        <v>0</v>
      </c>
      <c r="J401" s="38">
        <f>'Stavební rozpočet'!J401</f>
        <v>0</v>
      </c>
      <c r="K401" s="38">
        <f>G401*J401</f>
        <v>0</v>
      </c>
      <c r="L401" s="71" t="s">
        <v>136</v>
      </c>
      <c r="Z401" s="38">
        <f>IF(AQ401="5",BJ401,0)</f>
        <v>0</v>
      </c>
      <c r="AB401" s="38">
        <f>IF(AQ401="1",BH401,0)</f>
        <v>0</v>
      </c>
      <c r="AC401" s="38">
        <f>IF(AQ401="1",BI401,0)</f>
        <v>0</v>
      </c>
      <c r="AD401" s="38">
        <f>IF(AQ401="7",BH401,0)</f>
        <v>0</v>
      </c>
      <c r="AE401" s="38">
        <f>IF(AQ401="7",BI401,0)</f>
        <v>0</v>
      </c>
      <c r="AF401" s="38">
        <f>IF(AQ401="2",BH401,0)</f>
        <v>0</v>
      </c>
      <c r="AG401" s="38">
        <f>IF(AQ401="2",BI401,0)</f>
        <v>0</v>
      </c>
      <c r="AH401" s="38">
        <f>IF(AQ401="0",BJ401,0)</f>
        <v>0</v>
      </c>
      <c r="AI401" s="50" t="s">
        <v>84</v>
      </c>
      <c r="AJ401" s="38">
        <f>IF(AN401=0,I401,0)</f>
        <v>0</v>
      </c>
      <c r="AK401" s="38">
        <f>IF(AN401=12,I401,0)</f>
        <v>0</v>
      </c>
      <c r="AL401" s="38">
        <f>IF(AN401=21,I401,0)</f>
        <v>0</v>
      </c>
      <c r="AN401" s="38">
        <v>21</v>
      </c>
      <c r="AO401" s="38">
        <f>H401*0</f>
        <v>0</v>
      </c>
      <c r="AP401" s="38">
        <f>H401*(1-0)</f>
        <v>0</v>
      </c>
      <c r="AQ401" s="72" t="s">
        <v>169</v>
      </c>
      <c r="AV401" s="38">
        <f>AW401+AX401</f>
        <v>0</v>
      </c>
      <c r="AW401" s="38">
        <f>G401*AO401</f>
        <v>0</v>
      </c>
      <c r="AX401" s="38">
        <f>G401*AP401</f>
        <v>0</v>
      </c>
      <c r="AY401" s="72" t="s">
        <v>816</v>
      </c>
      <c r="AZ401" s="72" t="s">
        <v>817</v>
      </c>
      <c r="BA401" s="50" t="s">
        <v>139</v>
      </c>
      <c r="BB401" s="73">
        <v>100022</v>
      </c>
      <c r="BC401" s="38">
        <f>AW401+AX401</f>
        <v>0</v>
      </c>
      <c r="BD401" s="38">
        <f>H401/(100-BE401)*100</f>
        <v>0</v>
      </c>
      <c r="BE401" s="38">
        <v>0</v>
      </c>
      <c r="BF401" s="38">
        <f>K401</f>
        <v>0</v>
      </c>
      <c r="BH401" s="38">
        <f>G401*AO401</f>
        <v>0</v>
      </c>
      <c r="BI401" s="38">
        <f>G401*AP401</f>
        <v>0</v>
      </c>
      <c r="BJ401" s="38">
        <f>G401*H401</f>
        <v>0</v>
      </c>
      <c r="BK401" s="38"/>
      <c r="BL401" s="38">
        <v>751</v>
      </c>
      <c r="BW401" s="38">
        <v>21</v>
      </c>
    </row>
    <row r="402" spans="1:12" ht="13.5" customHeight="1">
      <c r="A402" s="74"/>
      <c r="D402" s="194" t="s">
        <v>823</v>
      </c>
      <c r="E402" s="195"/>
      <c r="F402" s="195"/>
      <c r="G402" s="195"/>
      <c r="H402" s="195"/>
      <c r="I402" s="195"/>
      <c r="J402" s="195"/>
      <c r="K402" s="195"/>
      <c r="L402" s="197"/>
    </row>
    <row r="403" spans="1:12" ht="15">
      <c r="A403" s="74"/>
      <c r="D403" s="75" t="s">
        <v>846</v>
      </c>
      <c r="E403" s="75" t="s">
        <v>847</v>
      </c>
      <c r="G403" s="76">
        <v>203.18</v>
      </c>
      <c r="L403" s="77"/>
    </row>
    <row r="404" spans="1:12" ht="15">
      <c r="A404" s="74"/>
      <c r="D404" s="75" t="s">
        <v>848</v>
      </c>
      <c r="E404" s="75" t="s">
        <v>849</v>
      </c>
      <c r="G404" s="76">
        <v>17.63</v>
      </c>
      <c r="L404" s="77"/>
    </row>
    <row r="405" spans="1:75" ht="13.5" customHeight="1">
      <c r="A405" s="78" t="s">
        <v>850</v>
      </c>
      <c r="B405" s="79" t="s">
        <v>84</v>
      </c>
      <c r="C405" s="79" t="s">
        <v>826</v>
      </c>
      <c r="D405" s="198" t="s">
        <v>827</v>
      </c>
      <c r="E405" s="199"/>
      <c r="F405" s="79" t="s">
        <v>828</v>
      </c>
      <c r="G405" s="80">
        <f>'Stavební rozpočet'!G405</f>
        <v>0.07</v>
      </c>
      <c r="H405" s="80">
        <f>'Stavební rozpočet'!H405</f>
        <v>0</v>
      </c>
      <c r="I405" s="80">
        <f>G405*H405</f>
        <v>0</v>
      </c>
      <c r="J405" s="80">
        <f>'Stavební rozpočet'!J405</f>
        <v>1</v>
      </c>
      <c r="K405" s="80">
        <f>G405*J405</f>
        <v>0.07</v>
      </c>
      <c r="L405" s="82" t="s">
        <v>136</v>
      </c>
      <c r="Z405" s="38">
        <f>IF(AQ405="5",BJ405,0)</f>
        <v>0</v>
      </c>
      <c r="AB405" s="38">
        <f>IF(AQ405="1",BH405,0)</f>
        <v>0</v>
      </c>
      <c r="AC405" s="38">
        <f>IF(AQ405="1",BI405,0)</f>
        <v>0</v>
      </c>
      <c r="AD405" s="38">
        <f>IF(AQ405="7",BH405,0)</f>
        <v>0</v>
      </c>
      <c r="AE405" s="38">
        <f>IF(AQ405="7",BI405,0)</f>
        <v>0</v>
      </c>
      <c r="AF405" s="38">
        <f>IF(AQ405="2",BH405,0)</f>
        <v>0</v>
      </c>
      <c r="AG405" s="38">
        <f>IF(AQ405="2",BI405,0)</f>
        <v>0</v>
      </c>
      <c r="AH405" s="38">
        <f>IF(AQ405="0",BJ405,0)</f>
        <v>0</v>
      </c>
      <c r="AI405" s="50" t="s">
        <v>84</v>
      </c>
      <c r="AJ405" s="80">
        <f>IF(AN405=0,I405,0)</f>
        <v>0</v>
      </c>
      <c r="AK405" s="80">
        <f>IF(AN405=12,I405,0)</f>
        <v>0</v>
      </c>
      <c r="AL405" s="80">
        <f>IF(AN405=21,I405,0)</f>
        <v>0</v>
      </c>
      <c r="AN405" s="38">
        <v>21</v>
      </c>
      <c r="AO405" s="38">
        <f>H405*1</f>
        <v>0</v>
      </c>
      <c r="AP405" s="38">
        <f>H405*(1-1)</f>
        <v>0</v>
      </c>
      <c r="AQ405" s="83" t="s">
        <v>169</v>
      </c>
      <c r="AV405" s="38">
        <f>AW405+AX405</f>
        <v>0</v>
      </c>
      <c r="AW405" s="38">
        <f>G405*AO405</f>
        <v>0</v>
      </c>
      <c r="AX405" s="38">
        <f>G405*AP405</f>
        <v>0</v>
      </c>
      <c r="AY405" s="72" t="s">
        <v>816</v>
      </c>
      <c r="AZ405" s="72" t="s">
        <v>817</v>
      </c>
      <c r="BA405" s="50" t="s">
        <v>139</v>
      </c>
      <c r="BC405" s="38">
        <f>AW405+AX405</f>
        <v>0</v>
      </c>
      <c r="BD405" s="38">
        <f>H405/(100-BE405)*100</f>
        <v>0</v>
      </c>
      <c r="BE405" s="38">
        <v>0</v>
      </c>
      <c r="BF405" s="38">
        <f>K405</f>
        <v>0.07</v>
      </c>
      <c r="BH405" s="80">
        <f>G405*AO405</f>
        <v>0</v>
      </c>
      <c r="BI405" s="80">
        <f>G405*AP405</f>
        <v>0</v>
      </c>
      <c r="BJ405" s="80">
        <f>G405*H405</f>
        <v>0</v>
      </c>
      <c r="BK405" s="80"/>
      <c r="BL405" s="38">
        <v>751</v>
      </c>
      <c r="BW405" s="38">
        <v>21</v>
      </c>
    </row>
    <row r="406" spans="1:12" ht="15">
      <c r="A406" s="74"/>
      <c r="D406" s="75" t="s">
        <v>851</v>
      </c>
      <c r="E406" s="75" t="s">
        <v>852</v>
      </c>
      <c r="G406" s="76">
        <v>0.07</v>
      </c>
      <c r="L406" s="77"/>
    </row>
    <row r="407" spans="1:75" ht="13.5" customHeight="1">
      <c r="A407" s="1" t="s">
        <v>853</v>
      </c>
      <c r="B407" s="2" t="s">
        <v>84</v>
      </c>
      <c r="C407" s="2" t="s">
        <v>854</v>
      </c>
      <c r="D407" s="108" t="s">
        <v>855</v>
      </c>
      <c r="E407" s="103"/>
      <c r="F407" s="2" t="s">
        <v>263</v>
      </c>
      <c r="G407" s="38">
        <f>'Stavební rozpočet'!G407</f>
        <v>203.18</v>
      </c>
      <c r="H407" s="38">
        <f>'Stavební rozpočet'!H407</f>
        <v>0</v>
      </c>
      <c r="I407" s="38">
        <f>G407*H407</f>
        <v>0</v>
      </c>
      <c r="J407" s="38">
        <f>'Stavební rozpočet'!J407</f>
        <v>0.00082</v>
      </c>
      <c r="K407" s="38">
        <f>G407*J407</f>
        <v>0.1666076</v>
      </c>
      <c r="L407" s="71" t="s">
        <v>136</v>
      </c>
      <c r="Z407" s="38">
        <f>IF(AQ407="5",BJ407,0)</f>
        <v>0</v>
      </c>
      <c r="AB407" s="38">
        <f>IF(AQ407="1",BH407,0)</f>
        <v>0</v>
      </c>
      <c r="AC407" s="38">
        <f>IF(AQ407="1",BI407,0)</f>
        <v>0</v>
      </c>
      <c r="AD407" s="38">
        <f>IF(AQ407="7",BH407,0)</f>
        <v>0</v>
      </c>
      <c r="AE407" s="38">
        <f>IF(AQ407="7",BI407,0)</f>
        <v>0</v>
      </c>
      <c r="AF407" s="38">
        <f>IF(AQ407="2",BH407,0)</f>
        <v>0</v>
      </c>
      <c r="AG407" s="38">
        <f>IF(AQ407="2",BI407,0)</f>
        <v>0</v>
      </c>
      <c r="AH407" s="38">
        <f>IF(AQ407="0",BJ407,0)</f>
        <v>0</v>
      </c>
      <c r="AI407" s="50" t="s">
        <v>84</v>
      </c>
      <c r="AJ407" s="38">
        <f>IF(AN407=0,I407,0)</f>
        <v>0</v>
      </c>
      <c r="AK407" s="38">
        <f>IF(AN407=12,I407,0)</f>
        <v>0</v>
      </c>
      <c r="AL407" s="38">
        <f>IF(AN407=21,I407,0)</f>
        <v>0</v>
      </c>
      <c r="AN407" s="38">
        <v>21</v>
      </c>
      <c r="AO407" s="38">
        <f>H407*0.081083577</f>
        <v>0</v>
      </c>
      <c r="AP407" s="38">
        <f>H407*(1-0.081083577)</f>
        <v>0</v>
      </c>
      <c r="AQ407" s="72" t="s">
        <v>169</v>
      </c>
      <c r="AV407" s="38">
        <f>AW407+AX407</f>
        <v>0</v>
      </c>
      <c r="AW407" s="38">
        <f>G407*AO407</f>
        <v>0</v>
      </c>
      <c r="AX407" s="38">
        <f>G407*AP407</f>
        <v>0</v>
      </c>
      <c r="AY407" s="72" t="s">
        <v>816</v>
      </c>
      <c r="AZ407" s="72" t="s">
        <v>817</v>
      </c>
      <c r="BA407" s="50" t="s">
        <v>139</v>
      </c>
      <c r="BB407" s="73">
        <v>100022</v>
      </c>
      <c r="BC407" s="38">
        <f>AW407+AX407</f>
        <v>0</v>
      </c>
      <c r="BD407" s="38">
        <f>H407/(100-BE407)*100</f>
        <v>0</v>
      </c>
      <c r="BE407" s="38">
        <v>0</v>
      </c>
      <c r="BF407" s="38">
        <f>K407</f>
        <v>0.1666076</v>
      </c>
      <c r="BH407" s="38">
        <f>G407*AO407</f>
        <v>0</v>
      </c>
      <c r="BI407" s="38">
        <f>G407*AP407</f>
        <v>0</v>
      </c>
      <c r="BJ407" s="38">
        <f>G407*H407</f>
        <v>0</v>
      </c>
      <c r="BK407" s="38"/>
      <c r="BL407" s="38">
        <v>751</v>
      </c>
      <c r="BW407" s="38">
        <v>21</v>
      </c>
    </row>
    <row r="408" spans="1:12" ht="13.5" customHeight="1">
      <c r="A408" s="74"/>
      <c r="D408" s="194" t="s">
        <v>856</v>
      </c>
      <c r="E408" s="195"/>
      <c r="F408" s="195"/>
      <c r="G408" s="195"/>
      <c r="H408" s="195"/>
      <c r="I408" s="195"/>
      <c r="J408" s="195"/>
      <c r="K408" s="195"/>
      <c r="L408" s="197"/>
    </row>
    <row r="409" spans="1:12" ht="15">
      <c r="A409" s="74"/>
      <c r="D409" s="75" t="s">
        <v>846</v>
      </c>
      <c r="E409" s="75" t="s">
        <v>847</v>
      </c>
      <c r="G409" s="76">
        <v>203.18</v>
      </c>
      <c r="L409" s="77"/>
    </row>
    <row r="410" spans="1:75" ht="13.5" customHeight="1">
      <c r="A410" s="1" t="s">
        <v>857</v>
      </c>
      <c r="B410" s="2" t="s">
        <v>84</v>
      </c>
      <c r="C410" s="2" t="s">
        <v>858</v>
      </c>
      <c r="D410" s="108" t="s">
        <v>859</v>
      </c>
      <c r="E410" s="103"/>
      <c r="F410" s="2" t="s">
        <v>263</v>
      </c>
      <c r="G410" s="38">
        <f>'Stavební rozpočet'!G410</f>
        <v>17.63</v>
      </c>
      <c r="H410" s="38">
        <f>'Stavební rozpočet'!H410</f>
        <v>0</v>
      </c>
      <c r="I410" s="38">
        <f>G410*H410</f>
        <v>0</v>
      </c>
      <c r="J410" s="38">
        <f>'Stavební rozpočet'!J410</f>
        <v>0.00099</v>
      </c>
      <c r="K410" s="38">
        <f>G410*J410</f>
        <v>0.0174537</v>
      </c>
      <c r="L410" s="71" t="s">
        <v>136</v>
      </c>
      <c r="Z410" s="38">
        <f>IF(AQ410="5",BJ410,0)</f>
        <v>0</v>
      </c>
      <c r="AB410" s="38">
        <f>IF(AQ410="1",BH410,0)</f>
        <v>0</v>
      </c>
      <c r="AC410" s="38">
        <f>IF(AQ410="1",BI410,0)</f>
        <v>0</v>
      </c>
      <c r="AD410" s="38">
        <f>IF(AQ410="7",BH410,0)</f>
        <v>0</v>
      </c>
      <c r="AE410" s="38">
        <f>IF(AQ410="7",BI410,0)</f>
        <v>0</v>
      </c>
      <c r="AF410" s="38">
        <f>IF(AQ410="2",BH410,0)</f>
        <v>0</v>
      </c>
      <c r="AG410" s="38">
        <f>IF(AQ410="2",BI410,0)</f>
        <v>0</v>
      </c>
      <c r="AH410" s="38">
        <f>IF(AQ410="0",BJ410,0)</f>
        <v>0</v>
      </c>
      <c r="AI410" s="50" t="s">
        <v>84</v>
      </c>
      <c r="AJ410" s="38">
        <f>IF(AN410=0,I410,0)</f>
        <v>0</v>
      </c>
      <c r="AK410" s="38">
        <f>IF(AN410=12,I410,0)</f>
        <v>0</v>
      </c>
      <c r="AL410" s="38">
        <f>IF(AN410=21,I410,0)</f>
        <v>0</v>
      </c>
      <c r="AN410" s="38">
        <v>21</v>
      </c>
      <c r="AO410" s="38">
        <f>H410*0.086386334</f>
        <v>0</v>
      </c>
      <c r="AP410" s="38">
        <f>H410*(1-0.086386334)</f>
        <v>0</v>
      </c>
      <c r="AQ410" s="72" t="s">
        <v>169</v>
      </c>
      <c r="AV410" s="38">
        <f>AW410+AX410</f>
        <v>0</v>
      </c>
      <c r="AW410" s="38">
        <f>G410*AO410</f>
        <v>0</v>
      </c>
      <c r="AX410" s="38">
        <f>G410*AP410</f>
        <v>0</v>
      </c>
      <c r="AY410" s="72" t="s">
        <v>816</v>
      </c>
      <c r="AZ410" s="72" t="s">
        <v>817</v>
      </c>
      <c r="BA410" s="50" t="s">
        <v>139</v>
      </c>
      <c r="BB410" s="73">
        <v>100022</v>
      </c>
      <c r="BC410" s="38">
        <f>AW410+AX410</f>
        <v>0</v>
      </c>
      <c r="BD410" s="38">
        <f>H410/(100-BE410)*100</f>
        <v>0</v>
      </c>
      <c r="BE410" s="38">
        <v>0</v>
      </c>
      <c r="BF410" s="38">
        <f>K410</f>
        <v>0.0174537</v>
      </c>
      <c r="BH410" s="38">
        <f>G410*AO410</f>
        <v>0</v>
      </c>
      <c r="BI410" s="38">
        <f>G410*AP410</f>
        <v>0</v>
      </c>
      <c r="BJ410" s="38">
        <f>G410*H410</f>
        <v>0</v>
      </c>
      <c r="BK410" s="38"/>
      <c r="BL410" s="38">
        <v>751</v>
      </c>
      <c r="BW410" s="38">
        <v>21</v>
      </c>
    </row>
    <row r="411" spans="1:12" ht="13.5" customHeight="1">
      <c r="A411" s="74"/>
      <c r="D411" s="194" t="s">
        <v>856</v>
      </c>
      <c r="E411" s="195"/>
      <c r="F411" s="195"/>
      <c r="G411" s="195"/>
      <c r="H411" s="195"/>
      <c r="I411" s="195"/>
      <c r="J411" s="195"/>
      <c r="K411" s="195"/>
      <c r="L411" s="197"/>
    </row>
    <row r="412" spans="1:12" ht="15">
      <c r="A412" s="74"/>
      <c r="D412" s="75" t="s">
        <v>848</v>
      </c>
      <c r="E412" s="75" t="s">
        <v>4</v>
      </c>
      <c r="G412" s="76">
        <v>17.63</v>
      </c>
      <c r="L412" s="77"/>
    </row>
    <row r="413" spans="1:75" ht="27" customHeight="1">
      <c r="A413" s="78" t="s">
        <v>860</v>
      </c>
      <c r="B413" s="79" t="s">
        <v>84</v>
      </c>
      <c r="C413" s="79" t="s">
        <v>837</v>
      </c>
      <c r="D413" s="198" t="s">
        <v>838</v>
      </c>
      <c r="E413" s="199"/>
      <c r="F413" s="79" t="s">
        <v>263</v>
      </c>
      <c r="G413" s="80">
        <f>'Stavební rozpočet'!G413</f>
        <v>507.86</v>
      </c>
      <c r="H413" s="80">
        <f>'Stavební rozpočet'!H413</f>
        <v>0</v>
      </c>
      <c r="I413" s="80">
        <f>G413*H413</f>
        <v>0</v>
      </c>
      <c r="J413" s="80">
        <f>'Stavební rozpočet'!J413</f>
        <v>0.0043</v>
      </c>
      <c r="K413" s="80">
        <f>G413*J413</f>
        <v>2.183798</v>
      </c>
      <c r="L413" s="82" t="s">
        <v>207</v>
      </c>
      <c r="Z413" s="38">
        <f>IF(AQ413="5",BJ413,0)</f>
        <v>0</v>
      </c>
      <c r="AB413" s="38">
        <f>IF(AQ413="1",BH413,0)</f>
        <v>0</v>
      </c>
      <c r="AC413" s="38">
        <f>IF(AQ413="1",BI413,0)</f>
        <v>0</v>
      </c>
      <c r="AD413" s="38">
        <f>IF(AQ413="7",BH413,0)</f>
        <v>0</v>
      </c>
      <c r="AE413" s="38">
        <f>IF(AQ413="7",BI413,0)</f>
        <v>0</v>
      </c>
      <c r="AF413" s="38">
        <f>IF(AQ413="2",BH413,0)</f>
        <v>0</v>
      </c>
      <c r="AG413" s="38">
        <f>IF(AQ413="2",BI413,0)</f>
        <v>0</v>
      </c>
      <c r="AH413" s="38">
        <f>IF(AQ413="0",BJ413,0)</f>
        <v>0</v>
      </c>
      <c r="AI413" s="50" t="s">
        <v>84</v>
      </c>
      <c r="AJ413" s="80">
        <f>IF(AN413=0,I413,0)</f>
        <v>0</v>
      </c>
      <c r="AK413" s="80">
        <f>IF(AN413=12,I413,0)</f>
        <v>0</v>
      </c>
      <c r="AL413" s="80">
        <f>IF(AN413=21,I413,0)</f>
        <v>0</v>
      </c>
      <c r="AN413" s="38">
        <v>21</v>
      </c>
      <c r="AO413" s="38">
        <f>H413*1</f>
        <v>0</v>
      </c>
      <c r="AP413" s="38">
        <f>H413*(1-1)</f>
        <v>0</v>
      </c>
      <c r="AQ413" s="83" t="s">
        <v>169</v>
      </c>
      <c r="AV413" s="38">
        <f>AW413+AX413</f>
        <v>0</v>
      </c>
      <c r="AW413" s="38">
        <f>G413*AO413</f>
        <v>0</v>
      </c>
      <c r="AX413" s="38">
        <f>G413*AP413</f>
        <v>0</v>
      </c>
      <c r="AY413" s="72" t="s">
        <v>816</v>
      </c>
      <c r="AZ413" s="72" t="s">
        <v>817</v>
      </c>
      <c r="BA413" s="50" t="s">
        <v>139</v>
      </c>
      <c r="BC413" s="38">
        <f>AW413+AX413</f>
        <v>0</v>
      </c>
      <c r="BD413" s="38">
        <f>H413/(100-BE413)*100</f>
        <v>0</v>
      </c>
      <c r="BE413" s="38">
        <v>0</v>
      </c>
      <c r="BF413" s="38">
        <f>K413</f>
        <v>2.183798</v>
      </c>
      <c r="BH413" s="80">
        <f>G413*AO413</f>
        <v>0</v>
      </c>
      <c r="BI413" s="80">
        <f>G413*AP413</f>
        <v>0</v>
      </c>
      <c r="BJ413" s="80">
        <f>G413*H413</f>
        <v>0</v>
      </c>
      <c r="BK413" s="80"/>
      <c r="BL413" s="38">
        <v>751</v>
      </c>
      <c r="BW413" s="38">
        <v>21</v>
      </c>
    </row>
    <row r="414" spans="1:12" ht="15">
      <c r="A414" s="74"/>
      <c r="D414" s="75" t="s">
        <v>861</v>
      </c>
      <c r="E414" s="75" t="s">
        <v>852</v>
      </c>
      <c r="G414" s="76">
        <v>406.36</v>
      </c>
      <c r="L414" s="77"/>
    </row>
    <row r="415" spans="1:12" ht="15">
      <c r="A415" s="74"/>
      <c r="D415" s="75" t="s">
        <v>862</v>
      </c>
      <c r="E415" s="75" t="s">
        <v>863</v>
      </c>
      <c r="G415" s="76">
        <v>35.26</v>
      </c>
      <c r="L415" s="77"/>
    </row>
    <row r="416" spans="1:12" ht="15">
      <c r="A416" s="74"/>
      <c r="D416" s="75" t="s">
        <v>864</v>
      </c>
      <c r="E416" s="75" t="s">
        <v>4</v>
      </c>
      <c r="G416" s="76">
        <v>66.24</v>
      </c>
      <c r="L416" s="77"/>
    </row>
    <row r="417" spans="1:75" ht="13.5" customHeight="1">
      <c r="A417" s="1" t="s">
        <v>865</v>
      </c>
      <c r="B417" s="2" t="s">
        <v>84</v>
      </c>
      <c r="C417" s="2" t="s">
        <v>866</v>
      </c>
      <c r="D417" s="108" t="s">
        <v>867</v>
      </c>
      <c r="E417" s="103"/>
      <c r="F417" s="2" t="s">
        <v>189</v>
      </c>
      <c r="G417" s="38">
        <f>'Stavební rozpočet'!G417</f>
        <v>2.66</v>
      </c>
      <c r="H417" s="38">
        <f>'Stavební rozpočet'!H417</f>
        <v>0</v>
      </c>
      <c r="I417" s="38">
        <f>G417*H417</f>
        <v>0</v>
      </c>
      <c r="J417" s="38">
        <f>'Stavební rozpočet'!J417</f>
        <v>0</v>
      </c>
      <c r="K417" s="38">
        <f>G417*J417</f>
        <v>0</v>
      </c>
      <c r="L417" s="71" t="s">
        <v>136</v>
      </c>
      <c r="Z417" s="38">
        <f>IF(AQ417="5",BJ417,0)</f>
        <v>0</v>
      </c>
      <c r="AB417" s="38">
        <f>IF(AQ417="1",BH417,0)</f>
        <v>0</v>
      </c>
      <c r="AC417" s="38">
        <f>IF(AQ417="1",BI417,0)</f>
        <v>0</v>
      </c>
      <c r="AD417" s="38">
        <f>IF(AQ417="7",BH417,0)</f>
        <v>0</v>
      </c>
      <c r="AE417" s="38">
        <f>IF(AQ417="7",BI417,0)</f>
        <v>0</v>
      </c>
      <c r="AF417" s="38">
        <f>IF(AQ417="2",BH417,0)</f>
        <v>0</v>
      </c>
      <c r="AG417" s="38">
        <f>IF(AQ417="2",BI417,0)</f>
        <v>0</v>
      </c>
      <c r="AH417" s="38">
        <f>IF(AQ417="0",BJ417,0)</f>
        <v>0</v>
      </c>
      <c r="AI417" s="50" t="s">
        <v>84</v>
      </c>
      <c r="AJ417" s="38">
        <f>IF(AN417=0,I417,0)</f>
        <v>0</v>
      </c>
      <c r="AK417" s="38">
        <f>IF(AN417=12,I417,0)</f>
        <v>0</v>
      </c>
      <c r="AL417" s="38">
        <f>IF(AN417=21,I417,0)</f>
        <v>0</v>
      </c>
      <c r="AN417" s="38">
        <v>21</v>
      </c>
      <c r="AO417" s="38">
        <f>H417*0</f>
        <v>0</v>
      </c>
      <c r="AP417" s="38">
        <f>H417*(1-0)</f>
        <v>0</v>
      </c>
      <c r="AQ417" s="72" t="s">
        <v>162</v>
      </c>
      <c r="AV417" s="38">
        <f>AW417+AX417</f>
        <v>0</v>
      </c>
      <c r="AW417" s="38">
        <f>G417*AO417</f>
        <v>0</v>
      </c>
      <c r="AX417" s="38">
        <f>G417*AP417</f>
        <v>0</v>
      </c>
      <c r="AY417" s="72" t="s">
        <v>816</v>
      </c>
      <c r="AZ417" s="72" t="s">
        <v>817</v>
      </c>
      <c r="BA417" s="50" t="s">
        <v>139</v>
      </c>
      <c r="BC417" s="38">
        <f>AW417+AX417</f>
        <v>0</v>
      </c>
      <c r="BD417" s="38">
        <f>H417/(100-BE417)*100</f>
        <v>0</v>
      </c>
      <c r="BE417" s="38">
        <v>0</v>
      </c>
      <c r="BF417" s="38">
        <f>K417</f>
        <v>0</v>
      </c>
      <c r="BH417" s="38">
        <f>G417*AO417</f>
        <v>0</v>
      </c>
      <c r="BI417" s="38">
        <f>G417*AP417</f>
        <v>0</v>
      </c>
      <c r="BJ417" s="38">
        <f>G417*H417</f>
        <v>0</v>
      </c>
      <c r="BK417" s="38"/>
      <c r="BL417" s="38">
        <v>751</v>
      </c>
      <c r="BW417" s="38">
        <v>21</v>
      </c>
    </row>
    <row r="418" spans="1:12" ht="15">
      <c r="A418" s="74"/>
      <c r="D418" s="75" t="s">
        <v>868</v>
      </c>
      <c r="E418" s="75" t="s">
        <v>4</v>
      </c>
      <c r="G418" s="76">
        <v>2.66</v>
      </c>
      <c r="L418" s="77"/>
    </row>
    <row r="419" spans="1:47" ht="15">
      <c r="A419" s="65" t="s">
        <v>4</v>
      </c>
      <c r="B419" s="66" t="s">
        <v>84</v>
      </c>
      <c r="C419" s="66" t="s">
        <v>869</v>
      </c>
      <c r="D419" s="192" t="s">
        <v>870</v>
      </c>
      <c r="E419" s="193"/>
      <c r="F419" s="67" t="s">
        <v>78</v>
      </c>
      <c r="G419" s="67" t="s">
        <v>78</v>
      </c>
      <c r="H419" s="67" t="s">
        <v>78</v>
      </c>
      <c r="I419" s="44">
        <f>SUM(I420:I427)</f>
        <v>0</v>
      </c>
      <c r="J419" s="50" t="s">
        <v>4</v>
      </c>
      <c r="K419" s="44">
        <f>SUM(K420:K427)</f>
        <v>0.057981500000000005</v>
      </c>
      <c r="L419" s="69" t="s">
        <v>4</v>
      </c>
      <c r="AI419" s="50" t="s">
        <v>84</v>
      </c>
      <c r="AS419" s="44">
        <f>SUM(AJ420:AJ427)</f>
        <v>0</v>
      </c>
      <c r="AT419" s="44">
        <f>SUM(AK420:AK427)</f>
        <v>0</v>
      </c>
      <c r="AU419" s="44">
        <f>SUM(AL420:AL427)</f>
        <v>0</v>
      </c>
    </row>
    <row r="420" spans="1:75" ht="27" customHeight="1">
      <c r="A420" s="1" t="s">
        <v>871</v>
      </c>
      <c r="B420" s="2" t="s">
        <v>84</v>
      </c>
      <c r="C420" s="2" t="s">
        <v>872</v>
      </c>
      <c r="D420" s="108" t="s">
        <v>873</v>
      </c>
      <c r="E420" s="103"/>
      <c r="F420" s="2" t="s">
        <v>263</v>
      </c>
      <c r="G420" s="38">
        <f>'Stavební rozpočet'!G420</f>
        <v>28.15</v>
      </c>
      <c r="H420" s="38">
        <f>'Stavební rozpočet'!H420</f>
        <v>0</v>
      </c>
      <c r="I420" s="38">
        <f>G420*H420</f>
        <v>0</v>
      </c>
      <c r="J420" s="38">
        <f>'Stavební rozpočet'!J420</f>
        <v>0.00041</v>
      </c>
      <c r="K420" s="38">
        <f>G420*J420</f>
        <v>0.0115415</v>
      </c>
      <c r="L420" s="71" t="s">
        <v>207</v>
      </c>
      <c r="Z420" s="38">
        <f>IF(AQ420="5",BJ420,0)</f>
        <v>0</v>
      </c>
      <c r="AB420" s="38">
        <f>IF(AQ420="1",BH420,0)</f>
        <v>0</v>
      </c>
      <c r="AC420" s="38">
        <f>IF(AQ420="1",BI420,0)</f>
        <v>0</v>
      </c>
      <c r="AD420" s="38">
        <f>IF(AQ420="7",BH420,0)</f>
        <v>0</v>
      </c>
      <c r="AE420" s="38">
        <f>IF(AQ420="7",BI420,0)</f>
        <v>0</v>
      </c>
      <c r="AF420" s="38">
        <f>IF(AQ420="2",BH420,0)</f>
        <v>0</v>
      </c>
      <c r="AG420" s="38">
        <f>IF(AQ420="2",BI420,0)</f>
        <v>0</v>
      </c>
      <c r="AH420" s="38">
        <f>IF(AQ420="0",BJ420,0)</f>
        <v>0</v>
      </c>
      <c r="AI420" s="50" t="s">
        <v>84</v>
      </c>
      <c r="AJ420" s="38">
        <f>IF(AN420=0,I420,0)</f>
        <v>0</v>
      </c>
      <c r="AK420" s="38">
        <f>IF(AN420=12,I420,0)</f>
        <v>0</v>
      </c>
      <c r="AL420" s="38">
        <f>IF(AN420=21,I420,0)</f>
        <v>0</v>
      </c>
      <c r="AN420" s="38">
        <v>21</v>
      </c>
      <c r="AO420" s="38">
        <f>H420*0.093877742</f>
        <v>0</v>
      </c>
      <c r="AP420" s="38">
        <f>H420*(1-0.093877742)</f>
        <v>0</v>
      </c>
      <c r="AQ420" s="72" t="s">
        <v>169</v>
      </c>
      <c r="AV420" s="38">
        <f>AW420+AX420</f>
        <v>0</v>
      </c>
      <c r="AW420" s="38">
        <f>G420*AO420</f>
        <v>0</v>
      </c>
      <c r="AX420" s="38">
        <f>G420*AP420</f>
        <v>0</v>
      </c>
      <c r="AY420" s="72" t="s">
        <v>874</v>
      </c>
      <c r="AZ420" s="72" t="s">
        <v>875</v>
      </c>
      <c r="BA420" s="50" t="s">
        <v>139</v>
      </c>
      <c r="BB420" s="73">
        <v>100033</v>
      </c>
      <c r="BC420" s="38">
        <f>AW420+AX420</f>
        <v>0</v>
      </c>
      <c r="BD420" s="38">
        <f>H420/(100-BE420)*100</f>
        <v>0</v>
      </c>
      <c r="BE420" s="38">
        <v>0</v>
      </c>
      <c r="BF420" s="38">
        <f>K420</f>
        <v>0.0115415</v>
      </c>
      <c r="BH420" s="38">
        <f>G420*AO420</f>
        <v>0</v>
      </c>
      <c r="BI420" s="38">
        <f>G420*AP420</f>
        <v>0</v>
      </c>
      <c r="BJ420" s="38">
        <f>G420*H420</f>
        <v>0</v>
      </c>
      <c r="BK420" s="38"/>
      <c r="BL420" s="38">
        <v>712</v>
      </c>
      <c r="BW420" s="38">
        <v>21</v>
      </c>
    </row>
    <row r="421" spans="1:12" ht="13.5" customHeight="1">
      <c r="A421" s="74"/>
      <c r="D421" s="194" t="s">
        <v>876</v>
      </c>
      <c r="E421" s="195"/>
      <c r="F421" s="195"/>
      <c r="G421" s="195"/>
      <c r="H421" s="195"/>
      <c r="I421" s="195"/>
      <c r="J421" s="195"/>
      <c r="K421" s="195"/>
      <c r="L421" s="197"/>
    </row>
    <row r="422" spans="1:12" ht="15">
      <c r="A422" s="74"/>
      <c r="D422" s="75" t="s">
        <v>877</v>
      </c>
      <c r="E422" s="75" t="s">
        <v>878</v>
      </c>
      <c r="G422" s="76">
        <v>26.1</v>
      </c>
      <c r="L422" s="77"/>
    </row>
    <row r="423" spans="1:12" ht="15">
      <c r="A423" s="74"/>
      <c r="D423" s="75" t="s">
        <v>879</v>
      </c>
      <c r="E423" s="75" t="s">
        <v>880</v>
      </c>
      <c r="G423" s="76">
        <v>2.05</v>
      </c>
      <c r="L423" s="77"/>
    </row>
    <row r="424" spans="1:75" ht="13.5" customHeight="1">
      <c r="A424" s="78" t="s">
        <v>881</v>
      </c>
      <c r="B424" s="79" t="s">
        <v>84</v>
      </c>
      <c r="C424" s="79" t="s">
        <v>882</v>
      </c>
      <c r="D424" s="198" t="s">
        <v>883</v>
      </c>
      <c r="E424" s="199"/>
      <c r="F424" s="79" t="s">
        <v>263</v>
      </c>
      <c r="G424" s="80">
        <f>'Stavební rozpočet'!G424</f>
        <v>30.96</v>
      </c>
      <c r="H424" s="80">
        <f>'Stavební rozpočet'!H424</f>
        <v>0</v>
      </c>
      <c r="I424" s="80">
        <f>G424*H424</f>
        <v>0</v>
      </c>
      <c r="J424" s="80">
        <f>'Stavební rozpočet'!J424</f>
        <v>0.0015</v>
      </c>
      <c r="K424" s="80">
        <f>G424*J424</f>
        <v>0.04644</v>
      </c>
      <c r="L424" s="82" t="s">
        <v>207</v>
      </c>
      <c r="Z424" s="38">
        <f>IF(AQ424="5",BJ424,0)</f>
        <v>0</v>
      </c>
      <c r="AB424" s="38">
        <f>IF(AQ424="1",BH424,0)</f>
        <v>0</v>
      </c>
      <c r="AC424" s="38">
        <f>IF(AQ424="1",BI424,0)</f>
        <v>0</v>
      </c>
      <c r="AD424" s="38">
        <f>IF(AQ424="7",BH424,0)</f>
        <v>0</v>
      </c>
      <c r="AE424" s="38">
        <f>IF(AQ424="7",BI424,0)</f>
        <v>0</v>
      </c>
      <c r="AF424" s="38">
        <f>IF(AQ424="2",BH424,0)</f>
        <v>0</v>
      </c>
      <c r="AG424" s="38">
        <f>IF(AQ424="2",BI424,0)</f>
        <v>0</v>
      </c>
      <c r="AH424" s="38">
        <f>IF(AQ424="0",BJ424,0)</f>
        <v>0</v>
      </c>
      <c r="AI424" s="50" t="s">
        <v>84</v>
      </c>
      <c r="AJ424" s="80">
        <f>IF(AN424=0,I424,0)</f>
        <v>0</v>
      </c>
      <c r="AK424" s="80">
        <f>IF(AN424=12,I424,0)</f>
        <v>0</v>
      </c>
      <c r="AL424" s="80">
        <f>IF(AN424=21,I424,0)</f>
        <v>0</v>
      </c>
      <c r="AN424" s="38">
        <v>21</v>
      </c>
      <c r="AO424" s="38">
        <f>H424*1</f>
        <v>0</v>
      </c>
      <c r="AP424" s="38">
        <f>H424*(1-1)</f>
        <v>0</v>
      </c>
      <c r="AQ424" s="83" t="s">
        <v>169</v>
      </c>
      <c r="AV424" s="38">
        <f>AW424+AX424</f>
        <v>0</v>
      </c>
      <c r="AW424" s="38">
        <f>G424*AO424</f>
        <v>0</v>
      </c>
      <c r="AX424" s="38">
        <f>G424*AP424</f>
        <v>0</v>
      </c>
      <c r="AY424" s="72" t="s">
        <v>874</v>
      </c>
      <c r="AZ424" s="72" t="s">
        <v>875</v>
      </c>
      <c r="BA424" s="50" t="s">
        <v>139</v>
      </c>
      <c r="BC424" s="38">
        <f>AW424+AX424</f>
        <v>0</v>
      </c>
      <c r="BD424" s="38">
        <f>H424/(100-BE424)*100</f>
        <v>0</v>
      </c>
      <c r="BE424" s="38">
        <v>0</v>
      </c>
      <c r="BF424" s="38">
        <f>K424</f>
        <v>0.04644</v>
      </c>
      <c r="BH424" s="80">
        <f>G424*AO424</f>
        <v>0</v>
      </c>
      <c r="BI424" s="80">
        <f>G424*AP424</f>
        <v>0</v>
      </c>
      <c r="BJ424" s="80">
        <f>G424*H424</f>
        <v>0</v>
      </c>
      <c r="BK424" s="80"/>
      <c r="BL424" s="38">
        <v>712</v>
      </c>
      <c r="BW424" s="38">
        <v>21</v>
      </c>
    </row>
    <row r="425" spans="1:12" ht="15">
      <c r="A425" s="74"/>
      <c r="D425" s="75" t="s">
        <v>884</v>
      </c>
      <c r="E425" s="75" t="s">
        <v>4</v>
      </c>
      <c r="G425" s="76">
        <v>28.15</v>
      </c>
      <c r="L425" s="77"/>
    </row>
    <row r="426" spans="1:12" ht="15">
      <c r="A426" s="74"/>
      <c r="D426" s="75" t="s">
        <v>885</v>
      </c>
      <c r="E426" s="75" t="s">
        <v>4</v>
      </c>
      <c r="G426" s="76">
        <v>2.81</v>
      </c>
      <c r="L426" s="77"/>
    </row>
    <row r="427" spans="1:75" ht="13.5" customHeight="1">
      <c r="A427" s="1" t="s">
        <v>886</v>
      </c>
      <c r="B427" s="2" t="s">
        <v>84</v>
      </c>
      <c r="C427" s="2" t="s">
        <v>887</v>
      </c>
      <c r="D427" s="108" t="s">
        <v>888</v>
      </c>
      <c r="E427" s="103"/>
      <c r="F427" s="2" t="s">
        <v>189</v>
      </c>
      <c r="G427" s="38">
        <f>'Stavební rozpočet'!G427</f>
        <v>0.06</v>
      </c>
      <c r="H427" s="38">
        <f>'Stavební rozpočet'!H427</f>
        <v>0</v>
      </c>
      <c r="I427" s="38">
        <f>G427*H427</f>
        <v>0</v>
      </c>
      <c r="J427" s="38">
        <f>'Stavební rozpočet'!J427</f>
        <v>0</v>
      </c>
      <c r="K427" s="38">
        <f>G427*J427</f>
        <v>0</v>
      </c>
      <c r="L427" s="71" t="s">
        <v>136</v>
      </c>
      <c r="Z427" s="38">
        <f>IF(AQ427="5",BJ427,0)</f>
        <v>0</v>
      </c>
      <c r="AB427" s="38">
        <f>IF(AQ427="1",BH427,0)</f>
        <v>0</v>
      </c>
      <c r="AC427" s="38">
        <f>IF(AQ427="1",BI427,0)</f>
        <v>0</v>
      </c>
      <c r="AD427" s="38">
        <f>IF(AQ427="7",BH427,0)</f>
        <v>0</v>
      </c>
      <c r="AE427" s="38">
        <f>IF(AQ427="7",BI427,0)</f>
        <v>0</v>
      </c>
      <c r="AF427" s="38">
        <f>IF(AQ427="2",BH427,0)</f>
        <v>0</v>
      </c>
      <c r="AG427" s="38">
        <f>IF(AQ427="2",BI427,0)</f>
        <v>0</v>
      </c>
      <c r="AH427" s="38">
        <f>IF(AQ427="0",BJ427,0)</f>
        <v>0</v>
      </c>
      <c r="AI427" s="50" t="s">
        <v>84</v>
      </c>
      <c r="AJ427" s="38">
        <f>IF(AN427=0,I427,0)</f>
        <v>0</v>
      </c>
      <c r="AK427" s="38">
        <f>IF(AN427=12,I427,0)</f>
        <v>0</v>
      </c>
      <c r="AL427" s="38">
        <f>IF(AN427=21,I427,0)</f>
        <v>0</v>
      </c>
      <c r="AN427" s="38">
        <v>21</v>
      </c>
      <c r="AO427" s="38">
        <f>H427*0</f>
        <v>0</v>
      </c>
      <c r="AP427" s="38">
        <f>H427*(1-0)</f>
        <v>0</v>
      </c>
      <c r="AQ427" s="72" t="s">
        <v>162</v>
      </c>
      <c r="AV427" s="38">
        <f>AW427+AX427</f>
        <v>0</v>
      </c>
      <c r="AW427" s="38">
        <f>G427*AO427</f>
        <v>0</v>
      </c>
      <c r="AX427" s="38">
        <f>G427*AP427</f>
        <v>0</v>
      </c>
      <c r="AY427" s="72" t="s">
        <v>874</v>
      </c>
      <c r="AZ427" s="72" t="s">
        <v>875</v>
      </c>
      <c r="BA427" s="50" t="s">
        <v>139</v>
      </c>
      <c r="BB427" s="73">
        <v>100033</v>
      </c>
      <c r="BC427" s="38">
        <f>AW427+AX427</f>
        <v>0</v>
      </c>
      <c r="BD427" s="38">
        <f>H427/(100-BE427)*100</f>
        <v>0</v>
      </c>
      <c r="BE427" s="38">
        <v>0</v>
      </c>
      <c r="BF427" s="38">
        <f>K427</f>
        <v>0</v>
      </c>
      <c r="BH427" s="38">
        <f>G427*AO427</f>
        <v>0</v>
      </c>
      <c r="BI427" s="38">
        <f>G427*AP427</f>
        <v>0</v>
      </c>
      <c r="BJ427" s="38">
        <f>G427*H427</f>
        <v>0</v>
      </c>
      <c r="BK427" s="38"/>
      <c r="BL427" s="38">
        <v>712</v>
      </c>
      <c r="BW427" s="38">
        <v>21</v>
      </c>
    </row>
    <row r="428" spans="1:12" ht="15">
      <c r="A428" s="74"/>
      <c r="D428" s="75" t="s">
        <v>889</v>
      </c>
      <c r="E428" s="75" t="s">
        <v>4</v>
      </c>
      <c r="G428" s="76">
        <v>0.06</v>
      </c>
      <c r="L428" s="77"/>
    </row>
    <row r="429" spans="1:47" ht="15">
      <c r="A429" s="65" t="s">
        <v>4</v>
      </c>
      <c r="B429" s="66" t="s">
        <v>84</v>
      </c>
      <c r="C429" s="66" t="s">
        <v>890</v>
      </c>
      <c r="D429" s="192" t="s">
        <v>891</v>
      </c>
      <c r="E429" s="193"/>
      <c r="F429" s="67" t="s">
        <v>78</v>
      </c>
      <c r="G429" s="67" t="s">
        <v>78</v>
      </c>
      <c r="H429" s="67" t="s">
        <v>78</v>
      </c>
      <c r="I429" s="44">
        <f>SUM(I430:I484)</f>
        <v>0</v>
      </c>
      <c r="J429" s="50" t="s">
        <v>4</v>
      </c>
      <c r="K429" s="44">
        <f>SUM(K430:K484)</f>
        <v>13.031569000000001</v>
      </c>
      <c r="L429" s="69" t="s">
        <v>4</v>
      </c>
      <c r="AI429" s="50" t="s">
        <v>84</v>
      </c>
      <c r="AS429" s="44">
        <f>SUM(AJ430:AJ484)</f>
        <v>0</v>
      </c>
      <c r="AT429" s="44">
        <f>SUM(AK430:AK484)</f>
        <v>0</v>
      </c>
      <c r="AU429" s="44">
        <f>SUM(AL430:AL484)</f>
        <v>0</v>
      </c>
    </row>
    <row r="430" spans="1:75" ht="13.5" customHeight="1">
      <c r="A430" s="1" t="s">
        <v>892</v>
      </c>
      <c r="B430" s="2" t="s">
        <v>84</v>
      </c>
      <c r="C430" s="2" t="s">
        <v>893</v>
      </c>
      <c r="D430" s="108" t="s">
        <v>894</v>
      </c>
      <c r="E430" s="103"/>
      <c r="F430" s="2" t="s">
        <v>263</v>
      </c>
      <c r="G430" s="38">
        <f>'Stavební rozpočet'!G430</f>
        <v>7.4</v>
      </c>
      <c r="H430" s="38">
        <f>'Stavební rozpočet'!H430</f>
        <v>0</v>
      </c>
      <c r="I430" s="38">
        <f>G430*H430</f>
        <v>0</v>
      </c>
      <c r="J430" s="38">
        <f>'Stavební rozpočet'!J430</f>
        <v>0.004</v>
      </c>
      <c r="K430" s="38">
        <f>G430*J430</f>
        <v>0.0296</v>
      </c>
      <c r="L430" s="71" t="s">
        <v>136</v>
      </c>
      <c r="Z430" s="38">
        <f>IF(AQ430="5",BJ430,0)</f>
        <v>0</v>
      </c>
      <c r="AB430" s="38">
        <f>IF(AQ430="1",BH430,0)</f>
        <v>0</v>
      </c>
      <c r="AC430" s="38">
        <f>IF(AQ430="1",BI430,0)</f>
        <v>0</v>
      </c>
      <c r="AD430" s="38">
        <f>IF(AQ430="7",BH430,0)</f>
        <v>0</v>
      </c>
      <c r="AE430" s="38">
        <f>IF(AQ430="7",BI430,0)</f>
        <v>0</v>
      </c>
      <c r="AF430" s="38">
        <f>IF(AQ430="2",BH430,0)</f>
        <v>0</v>
      </c>
      <c r="AG430" s="38">
        <f>IF(AQ430="2",BI430,0)</f>
        <v>0</v>
      </c>
      <c r="AH430" s="38">
        <f>IF(AQ430="0",BJ430,0)</f>
        <v>0</v>
      </c>
      <c r="AI430" s="50" t="s">
        <v>84</v>
      </c>
      <c r="AJ430" s="38">
        <f>IF(AN430=0,I430,0)</f>
        <v>0</v>
      </c>
      <c r="AK430" s="38">
        <f>IF(AN430=12,I430,0)</f>
        <v>0</v>
      </c>
      <c r="AL430" s="38">
        <f>IF(AN430=21,I430,0)</f>
        <v>0</v>
      </c>
      <c r="AN430" s="38">
        <v>21</v>
      </c>
      <c r="AO430" s="38">
        <f>H430*0</f>
        <v>0</v>
      </c>
      <c r="AP430" s="38">
        <f>H430*(1-0)</f>
        <v>0</v>
      </c>
      <c r="AQ430" s="72" t="s">
        <v>169</v>
      </c>
      <c r="AV430" s="38">
        <f>AW430+AX430</f>
        <v>0</v>
      </c>
      <c r="AW430" s="38">
        <f>G430*AO430</f>
        <v>0</v>
      </c>
      <c r="AX430" s="38">
        <f>G430*AP430</f>
        <v>0</v>
      </c>
      <c r="AY430" s="72" t="s">
        <v>895</v>
      </c>
      <c r="AZ430" s="72" t="s">
        <v>875</v>
      </c>
      <c r="BA430" s="50" t="s">
        <v>139</v>
      </c>
      <c r="BB430" s="73">
        <v>100021</v>
      </c>
      <c r="BC430" s="38">
        <f>AW430+AX430</f>
        <v>0</v>
      </c>
      <c r="BD430" s="38">
        <f>H430/(100-BE430)*100</f>
        <v>0</v>
      </c>
      <c r="BE430" s="38">
        <v>0</v>
      </c>
      <c r="BF430" s="38">
        <f>K430</f>
        <v>0.0296</v>
      </c>
      <c r="BH430" s="38">
        <f>G430*AO430</f>
        <v>0</v>
      </c>
      <c r="BI430" s="38">
        <f>G430*AP430</f>
        <v>0</v>
      </c>
      <c r="BJ430" s="38">
        <f>G430*H430</f>
        <v>0</v>
      </c>
      <c r="BK430" s="38"/>
      <c r="BL430" s="38">
        <v>713</v>
      </c>
      <c r="BW430" s="38">
        <v>21</v>
      </c>
    </row>
    <row r="431" spans="1:12" ht="13.5" customHeight="1">
      <c r="A431" s="74"/>
      <c r="D431" s="194" t="s">
        <v>153</v>
      </c>
      <c r="E431" s="195"/>
      <c r="F431" s="195"/>
      <c r="G431" s="195"/>
      <c r="H431" s="195"/>
      <c r="I431" s="195"/>
      <c r="J431" s="195"/>
      <c r="K431" s="195"/>
      <c r="L431" s="197"/>
    </row>
    <row r="432" spans="1:12" ht="15">
      <c r="A432" s="74"/>
      <c r="D432" s="75" t="s">
        <v>835</v>
      </c>
      <c r="E432" s="75" t="s">
        <v>4</v>
      </c>
      <c r="G432" s="76">
        <v>7.4</v>
      </c>
      <c r="L432" s="77"/>
    </row>
    <row r="433" spans="1:75" ht="13.5" customHeight="1">
      <c r="A433" s="1" t="s">
        <v>896</v>
      </c>
      <c r="B433" s="2" t="s">
        <v>84</v>
      </c>
      <c r="C433" s="2" t="s">
        <v>897</v>
      </c>
      <c r="D433" s="108" t="s">
        <v>898</v>
      </c>
      <c r="E433" s="103"/>
      <c r="F433" s="2" t="s">
        <v>263</v>
      </c>
      <c r="G433" s="38">
        <f>'Stavební rozpočet'!G433</f>
        <v>7.4</v>
      </c>
      <c r="H433" s="38">
        <f>'Stavební rozpočet'!H433</f>
        <v>0</v>
      </c>
      <c r="I433" s="38">
        <f>G433*H433</f>
        <v>0</v>
      </c>
      <c r="J433" s="38">
        <f>'Stavební rozpočet'!J433</f>
        <v>0</v>
      </c>
      <c r="K433" s="38">
        <f>G433*J433</f>
        <v>0</v>
      </c>
      <c r="L433" s="71" t="s">
        <v>136</v>
      </c>
      <c r="Z433" s="38">
        <f>IF(AQ433="5",BJ433,0)</f>
        <v>0</v>
      </c>
      <c r="AB433" s="38">
        <f>IF(AQ433="1",BH433,0)</f>
        <v>0</v>
      </c>
      <c r="AC433" s="38">
        <f>IF(AQ433="1",BI433,0)</f>
        <v>0</v>
      </c>
      <c r="AD433" s="38">
        <f>IF(AQ433="7",BH433,0)</f>
        <v>0</v>
      </c>
      <c r="AE433" s="38">
        <f>IF(AQ433="7",BI433,0)</f>
        <v>0</v>
      </c>
      <c r="AF433" s="38">
        <f>IF(AQ433="2",BH433,0)</f>
        <v>0</v>
      </c>
      <c r="AG433" s="38">
        <f>IF(AQ433="2",BI433,0)</f>
        <v>0</v>
      </c>
      <c r="AH433" s="38">
        <f>IF(AQ433="0",BJ433,0)</f>
        <v>0</v>
      </c>
      <c r="AI433" s="50" t="s">
        <v>84</v>
      </c>
      <c r="AJ433" s="38">
        <f>IF(AN433=0,I433,0)</f>
        <v>0</v>
      </c>
      <c r="AK433" s="38">
        <f>IF(AN433=12,I433,0)</f>
        <v>0</v>
      </c>
      <c r="AL433" s="38">
        <f>IF(AN433=21,I433,0)</f>
        <v>0</v>
      </c>
      <c r="AN433" s="38">
        <v>21</v>
      </c>
      <c r="AO433" s="38">
        <f>H433*0</f>
        <v>0</v>
      </c>
      <c r="AP433" s="38">
        <f>H433*(1-0)</f>
        <v>0</v>
      </c>
      <c r="AQ433" s="72" t="s">
        <v>169</v>
      </c>
      <c r="AV433" s="38">
        <f>AW433+AX433</f>
        <v>0</v>
      </c>
      <c r="AW433" s="38">
        <f>G433*AO433</f>
        <v>0</v>
      </c>
      <c r="AX433" s="38">
        <f>G433*AP433</f>
        <v>0</v>
      </c>
      <c r="AY433" s="72" t="s">
        <v>895</v>
      </c>
      <c r="AZ433" s="72" t="s">
        <v>875</v>
      </c>
      <c r="BA433" s="50" t="s">
        <v>139</v>
      </c>
      <c r="BB433" s="73">
        <v>100021</v>
      </c>
      <c r="BC433" s="38">
        <f>AW433+AX433</f>
        <v>0</v>
      </c>
      <c r="BD433" s="38">
        <f>H433/(100-BE433)*100</f>
        <v>0</v>
      </c>
      <c r="BE433" s="38">
        <v>0</v>
      </c>
      <c r="BF433" s="38">
        <f>K433</f>
        <v>0</v>
      </c>
      <c r="BH433" s="38">
        <f>G433*AO433</f>
        <v>0</v>
      </c>
      <c r="BI433" s="38">
        <f>G433*AP433</f>
        <v>0</v>
      </c>
      <c r="BJ433" s="38">
        <f>G433*H433</f>
        <v>0</v>
      </c>
      <c r="BK433" s="38"/>
      <c r="BL433" s="38">
        <v>713</v>
      </c>
      <c r="BW433" s="38">
        <v>21</v>
      </c>
    </row>
    <row r="434" spans="1:12" ht="15">
      <c r="A434" s="74"/>
      <c r="D434" s="75" t="s">
        <v>835</v>
      </c>
      <c r="E434" s="75" t="s">
        <v>824</v>
      </c>
      <c r="G434" s="76">
        <v>7.4</v>
      </c>
      <c r="L434" s="77"/>
    </row>
    <row r="435" spans="1:75" ht="13.5" customHeight="1">
      <c r="A435" s="78" t="s">
        <v>899</v>
      </c>
      <c r="B435" s="79" t="s">
        <v>84</v>
      </c>
      <c r="C435" s="79" t="s">
        <v>900</v>
      </c>
      <c r="D435" s="198" t="s">
        <v>901</v>
      </c>
      <c r="E435" s="199"/>
      <c r="F435" s="79" t="s">
        <v>135</v>
      </c>
      <c r="G435" s="80">
        <f>'Stavební rozpočet'!G435</f>
        <v>0.89</v>
      </c>
      <c r="H435" s="80">
        <f>'Stavební rozpočet'!H435</f>
        <v>0</v>
      </c>
      <c r="I435" s="80">
        <f>G435*H435</f>
        <v>0</v>
      </c>
      <c r="J435" s="80">
        <f>'Stavební rozpočet'!J435</f>
        <v>0.025</v>
      </c>
      <c r="K435" s="80">
        <f>G435*J435</f>
        <v>0.022250000000000002</v>
      </c>
      <c r="L435" s="82" t="s">
        <v>136</v>
      </c>
      <c r="Z435" s="38">
        <f>IF(AQ435="5",BJ435,0)</f>
        <v>0</v>
      </c>
      <c r="AB435" s="38">
        <f>IF(AQ435="1",BH435,0)</f>
        <v>0</v>
      </c>
      <c r="AC435" s="38">
        <f>IF(AQ435="1",BI435,0)</f>
        <v>0</v>
      </c>
      <c r="AD435" s="38">
        <f>IF(AQ435="7",BH435,0)</f>
        <v>0</v>
      </c>
      <c r="AE435" s="38">
        <f>IF(AQ435="7",BI435,0)</f>
        <v>0</v>
      </c>
      <c r="AF435" s="38">
        <f>IF(AQ435="2",BH435,0)</f>
        <v>0</v>
      </c>
      <c r="AG435" s="38">
        <f>IF(AQ435="2",BI435,0)</f>
        <v>0</v>
      </c>
      <c r="AH435" s="38">
        <f>IF(AQ435="0",BJ435,0)</f>
        <v>0</v>
      </c>
      <c r="AI435" s="50" t="s">
        <v>84</v>
      </c>
      <c r="AJ435" s="80">
        <f>IF(AN435=0,I435,0)</f>
        <v>0</v>
      </c>
      <c r="AK435" s="80">
        <f>IF(AN435=12,I435,0)</f>
        <v>0</v>
      </c>
      <c r="AL435" s="80">
        <f>IF(AN435=21,I435,0)</f>
        <v>0</v>
      </c>
      <c r="AN435" s="38">
        <v>21</v>
      </c>
      <c r="AO435" s="38">
        <f>H435*1</f>
        <v>0</v>
      </c>
      <c r="AP435" s="38">
        <f>H435*(1-1)</f>
        <v>0</v>
      </c>
      <c r="AQ435" s="83" t="s">
        <v>169</v>
      </c>
      <c r="AV435" s="38">
        <f>AW435+AX435</f>
        <v>0</v>
      </c>
      <c r="AW435" s="38">
        <f>G435*AO435</f>
        <v>0</v>
      </c>
      <c r="AX435" s="38">
        <f>G435*AP435</f>
        <v>0</v>
      </c>
      <c r="AY435" s="72" t="s">
        <v>895</v>
      </c>
      <c r="AZ435" s="72" t="s">
        <v>875</v>
      </c>
      <c r="BA435" s="50" t="s">
        <v>139</v>
      </c>
      <c r="BC435" s="38">
        <f>AW435+AX435</f>
        <v>0</v>
      </c>
      <c r="BD435" s="38">
        <f>H435/(100-BE435)*100</f>
        <v>0</v>
      </c>
      <c r="BE435" s="38">
        <v>0</v>
      </c>
      <c r="BF435" s="38">
        <f>K435</f>
        <v>0.022250000000000002</v>
      </c>
      <c r="BH435" s="80">
        <f>G435*AO435</f>
        <v>0</v>
      </c>
      <c r="BI435" s="80">
        <f>G435*AP435</f>
        <v>0</v>
      </c>
      <c r="BJ435" s="80">
        <f>G435*H435</f>
        <v>0</v>
      </c>
      <c r="BK435" s="80"/>
      <c r="BL435" s="38">
        <v>713</v>
      </c>
      <c r="BW435" s="38">
        <v>21</v>
      </c>
    </row>
    <row r="436" spans="1:12" ht="15">
      <c r="A436" s="74"/>
      <c r="D436" s="75" t="s">
        <v>902</v>
      </c>
      <c r="E436" s="75" t="s">
        <v>824</v>
      </c>
      <c r="G436" s="76">
        <v>0.89</v>
      </c>
      <c r="L436" s="77"/>
    </row>
    <row r="437" spans="1:75" ht="13.5" customHeight="1">
      <c r="A437" s="1" t="s">
        <v>903</v>
      </c>
      <c r="B437" s="2" t="s">
        <v>84</v>
      </c>
      <c r="C437" s="2" t="s">
        <v>904</v>
      </c>
      <c r="D437" s="108" t="s">
        <v>905</v>
      </c>
      <c r="E437" s="103"/>
      <c r="F437" s="2" t="s">
        <v>263</v>
      </c>
      <c r="G437" s="38">
        <f>'Stavební rozpočet'!G437</f>
        <v>7.4</v>
      </c>
      <c r="H437" s="38">
        <f>'Stavební rozpočet'!H437</f>
        <v>0</v>
      </c>
      <c r="I437" s="38">
        <f>G437*H437</f>
        <v>0</v>
      </c>
      <c r="J437" s="38">
        <f>'Stavební rozpočet'!J437</f>
        <v>1E-05</v>
      </c>
      <c r="K437" s="38">
        <f>G437*J437</f>
        <v>7.400000000000001E-05</v>
      </c>
      <c r="L437" s="71" t="s">
        <v>136</v>
      </c>
      <c r="Z437" s="38">
        <f>IF(AQ437="5",BJ437,0)</f>
        <v>0</v>
      </c>
      <c r="AB437" s="38">
        <f>IF(AQ437="1",BH437,0)</f>
        <v>0</v>
      </c>
      <c r="AC437" s="38">
        <f>IF(AQ437="1",BI437,0)</f>
        <v>0</v>
      </c>
      <c r="AD437" s="38">
        <f>IF(AQ437="7",BH437,0)</f>
        <v>0</v>
      </c>
      <c r="AE437" s="38">
        <f>IF(AQ437="7",BI437,0)</f>
        <v>0</v>
      </c>
      <c r="AF437" s="38">
        <f>IF(AQ437="2",BH437,0)</f>
        <v>0</v>
      </c>
      <c r="AG437" s="38">
        <f>IF(AQ437="2",BI437,0)</f>
        <v>0</v>
      </c>
      <c r="AH437" s="38">
        <f>IF(AQ437="0",BJ437,0)</f>
        <v>0</v>
      </c>
      <c r="AI437" s="50" t="s">
        <v>84</v>
      </c>
      <c r="AJ437" s="38">
        <f>IF(AN437=0,I437,0)</f>
        <v>0</v>
      </c>
      <c r="AK437" s="38">
        <f>IF(AN437=12,I437,0)</f>
        <v>0</v>
      </c>
      <c r="AL437" s="38">
        <f>IF(AN437=21,I437,0)</f>
        <v>0</v>
      </c>
      <c r="AN437" s="38">
        <v>21</v>
      </c>
      <c r="AO437" s="38">
        <f>H437*0.211428571</f>
        <v>0</v>
      </c>
      <c r="AP437" s="38">
        <f>H437*(1-0.211428571)</f>
        <v>0</v>
      </c>
      <c r="AQ437" s="72" t="s">
        <v>169</v>
      </c>
      <c r="AV437" s="38">
        <f>AW437+AX437</f>
        <v>0</v>
      </c>
      <c r="AW437" s="38">
        <f>G437*AO437</f>
        <v>0</v>
      </c>
      <c r="AX437" s="38">
        <f>G437*AP437</f>
        <v>0</v>
      </c>
      <c r="AY437" s="72" t="s">
        <v>895</v>
      </c>
      <c r="AZ437" s="72" t="s">
        <v>875</v>
      </c>
      <c r="BA437" s="50" t="s">
        <v>139</v>
      </c>
      <c r="BB437" s="73">
        <v>100021</v>
      </c>
      <c r="BC437" s="38">
        <f>AW437+AX437</f>
        <v>0</v>
      </c>
      <c r="BD437" s="38">
        <f>H437/(100-BE437)*100</f>
        <v>0</v>
      </c>
      <c r="BE437" s="38">
        <v>0</v>
      </c>
      <c r="BF437" s="38">
        <f>K437</f>
        <v>7.400000000000001E-05</v>
      </c>
      <c r="BH437" s="38">
        <f>G437*AO437</f>
        <v>0</v>
      </c>
      <c r="BI437" s="38">
        <f>G437*AP437</f>
        <v>0</v>
      </c>
      <c r="BJ437" s="38">
        <f>G437*H437</f>
        <v>0</v>
      </c>
      <c r="BK437" s="38"/>
      <c r="BL437" s="38">
        <v>713</v>
      </c>
      <c r="BW437" s="38">
        <v>21</v>
      </c>
    </row>
    <row r="438" spans="1:12" ht="13.5" customHeight="1">
      <c r="A438" s="74"/>
      <c r="D438" s="194" t="s">
        <v>906</v>
      </c>
      <c r="E438" s="195"/>
      <c r="F438" s="195"/>
      <c r="G438" s="195"/>
      <c r="H438" s="195"/>
      <c r="I438" s="195"/>
      <c r="J438" s="195"/>
      <c r="K438" s="195"/>
      <c r="L438" s="197"/>
    </row>
    <row r="439" spans="1:12" ht="15">
      <c r="A439" s="74"/>
      <c r="D439" s="75" t="s">
        <v>835</v>
      </c>
      <c r="E439" s="75" t="s">
        <v>824</v>
      </c>
      <c r="G439" s="76">
        <v>7.4</v>
      </c>
      <c r="L439" s="77"/>
    </row>
    <row r="440" spans="1:75" ht="13.5" customHeight="1">
      <c r="A440" s="1" t="s">
        <v>907</v>
      </c>
      <c r="B440" s="2" t="s">
        <v>84</v>
      </c>
      <c r="C440" s="2" t="s">
        <v>908</v>
      </c>
      <c r="D440" s="108" t="s">
        <v>909</v>
      </c>
      <c r="E440" s="103"/>
      <c r="F440" s="2" t="s">
        <v>263</v>
      </c>
      <c r="G440" s="38">
        <f>'Stavební rozpočet'!G440</f>
        <v>3.3</v>
      </c>
      <c r="H440" s="38">
        <f>'Stavební rozpočet'!H440</f>
        <v>0</v>
      </c>
      <c r="I440" s="38">
        <f>G440*H440</f>
        <v>0</v>
      </c>
      <c r="J440" s="38">
        <f>'Stavební rozpočet'!J440</f>
        <v>0.00313</v>
      </c>
      <c r="K440" s="38">
        <f>G440*J440</f>
        <v>0.010329</v>
      </c>
      <c r="L440" s="71" t="s">
        <v>136</v>
      </c>
      <c r="Z440" s="38">
        <f>IF(AQ440="5",BJ440,0)</f>
        <v>0</v>
      </c>
      <c r="AB440" s="38">
        <f>IF(AQ440="1",BH440,0)</f>
        <v>0</v>
      </c>
      <c r="AC440" s="38">
        <f>IF(AQ440="1",BI440,0)</f>
        <v>0</v>
      </c>
      <c r="AD440" s="38">
        <f>IF(AQ440="7",BH440,0)</f>
        <v>0</v>
      </c>
      <c r="AE440" s="38">
        <f>IF(AQ440="7",BI440,0)</f>
        <v>0</v>
      </c>
      <c r="AF440" s="38">
        <f>IF(AQ440="2",BH440,0)</f>
        <v>0</v>
      </c>
      <c r="AG440" s="38">
        <f>IF(AQ440="2",BI440,0)</f>
        <v>0</v>
      </c>
      <c r="AH440" s="38">
        <f>IF(AQ440="0",BJ440,0)</f>
        <v>0</v>
      </c>
      <c r="AI440" s="50" t="s">
        <v>84</v>
      </c>
      <c r="AJ440" s="38">
        <f>IF(AN440=0,I440,0)</f>
        <v>0</v>
      </c>
      <c r="AK440" s="38">
        <f>IF(AN440=12,I440,0)</f>
        <v>0</v>
      </c>
      <c r="AL440" s="38">
        <f>IF(AN440=21,I440,0)</f>
        <v>0</v>
      </c>
      <c r="AN440" s="38">
        <v>21</v>
      </c>
      <c r="AO440" s="38">
        <f>H440*0</f>
        <v>0</v>
      </c>
      <c r="AP440" s="38">
        <f>H440*(1-0)</f>
        <v>0</v>
      </c>
      <c r="AQ440" s="72" t="s">
        <v>169</v>
      </c>
      <c r="AV440" s="38">
        <f>AW440+AX440</f>
        <v>0</v>
      </c>
      <c r="AW440" s="38">
        <f>G440*AO440</f>
        <v>0</v>
      </c>
      <c r="AX440" s="38">
        <f>G440*AP440</f>
        <v>0</v>
      </c>
      <c r="AY440" s="72" t="s">
        <v>895</v>
      </c>
      <c r="AZ440" s="72" t="s">
        <v>875</v>
      </c>
      <c r="BA440" s="50" t="s">
        <v>139</v>
      </c>
      <c r="BB440" s="73">
        <v>100021</v>
      </c>
      <c r="BC440" s="38">
        <f>AW440+AX440</f>
        <v>0</v>
      </c>
      <c r="BD440" s="38">
        <f>H440/(100-BE440)*100</f>
        <v>0</v>
      </c>
      <c r="BE440" s="38">
        <v>0</v>
      </c>
      <c r="BF440" s="38">
        <f>K440</f>
        <v>0.010329</v>
      </c>
      <c r="BH440" s="38">
        <f>G440*AO440</f>
        <v>0</v>
      </c>
      <c r="BI440" s="38">
        <f>G440*AP440</f>
        <v>0</v>
      </c>
      <c r="BJ440" s="38">
        <f>G440*H440</f>
        <v>0</v>
      </c>
      <c r="BK440" s="38"/>
      <c r="BL440" s="38">
        <v>713</v>
      </c>
      <c r="BW440" s="38">
        <v>21</v>
      </c>
    </row>
    <row r="441" spans="1:12" ht="13.5" customHeight="1">
      <c r="A441" s="74"/>
      <c r="D441" s="194" t="s">
        <v>910</v>
      </c>
      <c r="E441" s="195"/>
      <c r="F441" s="195"/>
      <c r="G441" s="195"/>
      <c r="H441" s="195"/>
      <c r="I441" s="195"/>
      <c r="J441" s="195"/>
      <c r="K441" s="195"/>
      <c r="L441" s="197"/>
    </row>
    <row r="442" spans="1:12" ht="15">
      <c r="A442" s="74"/>
      <c r="D442" s="75" t="s">
        <v>911</v>
      </c>
      <c r="E442" s="75" t="s">
        <v>266</v>
      </c>
      <c r="G442" s="76">
        <v>3.3</v>
      </c>
      <c r="L442" s="77"/>
    </row>
    <row r="443" spans="1:75" ht="13.5" customHeight="1">
      <c r="A443" s="1" t="s">
        <v>912</v>
      </c>
      <c r="B443" s="2" t="s">
        <v>84</v>
      </c>
      <c r="C443" s="2" t="s">
        <v>913</v>
      </c>
      <c r="D443" s="108" t="s">
        <v>914</v>
      </c>
      <c r="E443" s="103"/>
      <c r="F443" s="2" t="s">
        <v>263</v>
      </c>
      <c r="G443" s="38">
        <f>'Stavební rozpočet'!G443</f>
        <v>2.63</v>
      </c>
      <c r="H443" s="38">
        <f>'Stavební rozpočet'!H443</f>
        <v>0</v>
      </c>
      <c r="I443" s="38">
        <f>G443*H443</f>
        <v>0</v>
      </c>
      <c r="J443" s="38">
        <f>'Stavební rozpočet'!J443</f>
        <v>0.003</v>
      </c>
      <c r="K443" s="38">
        <f>G443*J443</f>
        <v>0.00789</v>
      </c>
      <c r="L443" s="71" t="s">
        <v>136</v>
      </c>
      <c r="Z443" s="38">
        <f>IF(AQ443="5",BJ443,0)</f>
        <v>0</v>
      </c>
      <c r="AB443" s="38">
        <f>IF(AQ443="1",BH443,0)</f>
        <v>0</v>
      </c>
      <c r="AC443" s="38">
        <f>IF(AQ443="1",BI443,0)</f>
        <v>0</v>
      </c>
      <c r="AD443" s="38">
        <f>IF(AQ443="7",BH443,0)</f>
        <v>0</v>
      </c>
      <c r="AE443" s="38">
        <f>IF(AQ443="7",BI443,0)</f>
        <v>0</v>
      </c>
      <c r="AF443" s="38">
        <f>IF(AQ443="2",BH443,0)</f>
        <v>0</v>
      </c>
      <c r="AG443" s="38">
        <f>IF(AQ443="2",BI443,0)</f>
        <v>0</v>
      </c>
      <c r="AH443" s="38">
        <f>IF(AQ443="0",BJ443,0)</f>
        <v>0</v>
      </c>
      <c r="AI443" s="50" t="s">
        <v>84</v>
      </c>
      <c r="AJ443" s="38">
        <f>IF(AN443=0,I443,0)</f>
        <v>0</v>
      </c>
      <c r="AK443" s="38">
        <f>IF(AN443=12,I443,0)</f>
        <v>0</v>
      </c>
      <c r="AL443" s="38">
        <f>IF(AN443=21,I443,0)</f>
        <v>0</v>
      </c>
      <c r="AN443" s="38">
        <v>21</v>
      </c>
      <c r="AO443" s="38">
        <f>H443*0.241556124</f>
        <v>0</v>
      </c>
      <c r="AP443" s="38">
        <f>H443*(1-0.241556124)</f>
        <v>0</v>
      </c>
      <c r="AQ443" s="72" t="s">
        <v>169</v>
      </c>
      <c r="AV443" s="38">
        <f>AW443+AX443</f>
        <v>0</v>
      </c>
      <c r="AW443" s="38">
        <f>G443*AO443</f>
        <v>0</v>
      </c>
      <c r="AX443" s="38">
        <f>G443*AP443</f>
        <v>0</v>
      </c>
      <c r="AY443" s="72" t="s">
        <v>895</v>
      </c>
      <c r="AZ443" s="72" t="s">
        <v>875</v>
      </c>
      <c r="BA443" s="50" t="s">
        <v>139</v>
      </c>
      <c r="BB443" s="73">
        <v>100021</v>
      </c>
      <c r="BC443" s="38">
        <f>AW443+AX443</f>
        <v>0</v>
      </c>
      <c r="BD443" s="38">
        <f>H443/(100-BE443)*100</f>
        <v>0</v>
      </c>
      <c r="BE443" s="38">
        <v>0</v>
      </c>
      <c r="BF443" s="38">
        <f>K443</f>
        <v>0.00789</v>
      </c>
      <c r="BH443" s="38">
        <f>G443*AO443</f>
        <v>0</v>
      </c>
      <c r="BI443" s="38">
        <f>G443*AP443</f>
        <v>0</v>
      </c>
      <c r="BJ443" s="38">
        <f>G443*H443</f>
        <v>0</v>
      </c>
      <c r="BK443" s="38"/>
      <c r="BL443" s="38">
        <v>713</v>
      </c>
      <c r="BW443" s="38">
        <v>21</v>
      </c>
    </row>
    <row r="444" spans="1:12" ht="15">
      <c r="A444" s="74"/>
      <c r="D444" s="75" t="s">
        <v>915</v>
      </c>
      <c r="E444" s="75" t="s">
        <v>916</v>
      </c>
      <c r="G444" s="76">
        <v>2.63</v>
      </c>
      <c r="L444" s="77"/>
    </row>
    <row r="445" spans="1:75" ht="13.5" customHeight="1">
      <c r="A445" s="78" t="s">
        <v>917</v>
      </c>
      <c r="B445" s="79" t="s">
        <v>84</v>
      </c>
      <c r="C445" s="79" t="s">
        <v>918</v>
      </c>
      <c r="D445" s="198" t="s">
        <v>919</v>
      </c>
      <c r="E445" s="199"/>
      <c r="F445" s="79" t="s">
        <v>135</v>
      </c>
      <c r="G445" s="80">
        <f>'Stavební rozpočet'!G445</f>
        <v>0.22</v>
      </c>
      <c r="H445" s="80">
        <f>'Stavební rozpočet'!H445</f>
        <v>0</v>
      </c>
      <c r="I445" s="80">
        <f>G445*H445</f>
        <v>0</v>
      </c>
      <c r="J445" s="80">
        <f>'Stavební rozpočet'!J445</f>
        <v>0.03</v>
      </c>
      <c r="K445" s="80">
        <f>G445*J445</f>
        <v>0.0066</v>
      </c>
      <c r="L445" s="82" t="s">
        <v>136</v>
      </c>
      <c r="Z445" s="38">
        <f>IF(AQ445="5",BJ445,0)</f>
        <v>0</v>
      </c>
      <c r="AB445" s="38">
        <f>IF(AQ445="1",BH445,0)</f>
        <v>0</v>
      </c>
      <c r="AC445" s="38">
        <f>IF(AQ445="1",BI445,0)</f>
        <v>0</v>
      </c>
      <c r="AD445" s="38">
        <f>IF(AQ445="7",BH445,0)</f>
        <v>0</v>
      </c>
      <c r="AE445" s="38">
        <f>IF(AQ445="7",BI445,0)</f>
        <v>0</v>
      </c>
      <c r="AF445" s="38">
        <f>IF(AQ445="2",BH445,0)</f>
        <v>0</v>
      </c>
      <c r="AG445" s="38">
        <f>IF(AQ445="2",BI445,0)</f>
        <v>0</v>
      </c>
      <c r="AH445" s="38">
        <f>IF(AQ445="0",BJ445,0)</f>
        <v>0</v>
      </c>
      <c r="AI445" s="50" t="s">
        <v>84</v>
      </c>
      <c r="AJ445" s="80">
        <f>IF(AN445=0,I445,0)</f>
        <v>0</v>
      </c>
      <c r="AK445" s="80">
        <f>IF(AN445=12,I445,0)</f>
        <v>0</v>
      </c>
      <c r="AL445" s="80">
        <f>IF(AN445=21,I445,0)</f>
        <v>0</v>
      </c>
      <c r="AN445" s="38">
        <v>21</v>
      </c>
      <c r="AO445" s="38">
        <f>H445*1</f>
        <v>0</v>
      </c>
      <c r="AP445" s="38">
        <f>H445*(1-1)</f>
        <v>0</v>
      </c>
      <c r="AQ445" s="83" t="s">
        <v>169</v>
      </c>
      <c r="AV445" s="38">
        <f>AW445+AX445</f>
        <v>0</v>
      </c>
      <c r="AW445" s="38">
        <f>G445*AO445</f>
        <v>0</v>
      </c>
      <c r="AX445" s="38">
        <f>G445*AP445</f>
        <v>0</v>
      </c>
      <c r="AY445" s="72" t="s">
        <v>895</v>
      </c>
      <c r="AZ445" s="72" t="s">
        <v>875</v>
      </c>
      <c r="BA445" s="50" t="s">
        <v>139</v>
      </c>
      <c r="BC445" s="38">
        <f>AW445+AX445</f>
        <v>0</v>
      </c>
      <c r="BD445" s="38">
        <f>H445/(100-BE445)*100</f>
        <v>0</v>
      </c>
      <c r="BE445" s="38">
        <v>0</v>
      </c>
      <c r="BF445" s="38">
        <f>K445</f>
        <v>0.0066</v>
      </c>
      <c r="BH445" s="80">
        <f>G445*AO445</f>
        <v>0</v>
      </c>
      <c r="BI445" s="80">
        <f>G445*AP445</f>
        <v>0</v>
      </c>
      <c r="BJ445" s="80">
        <f>G445*H445</f>
        <v>0</v>
      </c>
      <c r="BK445" s="80"/>
      <c r="BL445" s="38">
        <v>713</v>
      </c>
      <c r="BW445" s="38">
        <v>21</v>
      </c>
    </row>
    <row r="446" spans="1:12" ht="15">
      <c r="A446" s="74"/>
      <c r="D446" s="75" t="s">
        <v>920</v>
      </c>
      <c r="E446" s="75" t="s">
        <v>4</v>
      </c>
      <c r="G446" s="76">
        <v>0.21</v>
      </c>
      <c r="L446" s="77"/>
    </row>
    <row r="447" spans="1:12" ht="15">
      <c r="A447" s="74"/>
      <c r="D447" s="75" t="s">
        <v>921</v>
      </c>
      <c r="E447" s="75" t="s">
        <v>4</v>
      </c>
      <c r="G447" s="76">
        <v>0.01</v>
      </c>
      <c r="L447" s="77"/>
    </row>
    <row r="448" spans="1:75" ht="13.5" customHeight="1">
      <c r="A448" s="1" t="s">
        <v>922</v>
      </c>
      <c r="B448" s="2" t="s">
        <v>84</v>
      </c>
      <c r="C448" s="2" t="s">
        <v>923</v>
      </c>
      <c r="D448" s="108" t="s">
        <v>924</v>
      </c>
      <c r="E448" s="103"/>
      <c r="F448" s="2" t="s">
        <v>263</v>
      </c>
      <c r="G448" s="38">
        <f>'Stavební rozpočet'!G448</f>
        <v>360.77</v>
      </c>
      <c r="H448" s="38">
        <f>'Stavební rozpočet'!H448</f>
        <v>0</v>
      </c>
      <c r="I448" s="38">
        <f>G448*H448</f>
        <v>0</v>
      </c>
      <c r="J448" s="38">
        <f>'Stavební rozpočet'!J448</f>
        <v>0</v>
      </c>
      <c r="K448" s="38">
        <f>G448*J448</f>
        <v>0</v>
      </c>
      <c r="L448" s="71" t="s">
        <v>136</v>
      </c>
      <c r="Z448" s="38">
        <f>IF(AQ448="5",BJ448,0)</f>
        <v>0</v>
      </c>
      <c r="AB448" s="38">
        <f>IF(AQ448="1",BH448,0)</f>
        <v>0</v>
      </c>
      <c r="AC448" s="38">
        <f>IF(AQ448="1",BI448,0)</f>
        <v>0</v>
      </c>
      <c r="AD448" s="38">
        <f>IF(AQ448="7",BH448,0)</f>
        <v>0</v>
      </c>
      <c r="AE448" s="38">
        <f>IF(AQ448="7",BI448,0)</f>
        <v>0</v>
      </c>
      <c r="AF448" s="38">
        <f>IF(AQ448="2",BH448,0)</f>
        <v>0</v>
      </c>
      <c r="AG448" s="38">
        <f>IF(AQ448="2",BI448,0)</f>
        <v>0</v>
      </c>
      <c r="AH448" s="38">
        <f>IF(AQ448="0",BJ448,0)</f>
        <v>0</v>
      </c>
      <c r="AI448" s="50" t="s">
        <v>84</v>
      </c>
      <c r="AJ448" s="38">
        <f>IF(AN448=0,I448,0)</f>
        <v>0</v>
      </c>
      <c r="AK448" s="38">
        <f>IF(AN448=12,I448,0)</f>
        <v>0</v>
      </c>
      <c r="AL448" s="38">
        <f>IF(AN448=21,I448,0)</f>
        <v>0</v>
      </c>
      <c r="AN448" s="38">
        <v>21</v>
      </c>
      <c r="AO448" s="38">
        <f>H448*0</f>
        <v>0</v>
      </c>
      <c r="AP448" s="38">
        <f>H448*(1-0)</f>
        <v>0</v>
      </c>
      <c r="AQ448" s="72" t="s">
        <v>169</v>
      </c>
      <c r="AV448" s="38">
        <f>AW448+AX448</f>
        <v>0</v>
      </c>
      <c r="AW448" s="38">
        <f>G448*AO448</f>
        <v>0</v>
      </c>
      <c r="AX448" s="38">
        <f>G448*AP448</f>
        <v>0</v>
      </c>
      <c r="AY448" s="72" t="s">
        <v>895</v>
      </c>
      <c r="AZ448" s="72" t="s">
        <v>875</v>
      </c>
      <c r="BA448" s="50" t="s">
        <v>139</v>
      </c>
      <c r="BB448" s="73">
        <v>100021</v>
      </c>
      <c r="BC448" s="38">
        <f>AW448+AX448</f>
        <v>0</v>
      </c>
      <c r="BD448" s="38">
        <f>H448/(100-BE448)*100</f>
        <v>0</v>
      </c>
      <c r="BE448" s="38">
        <v>0</v>
      </c>
      <c r="BF448" s="38">
        <f>K448</f>
        <v>0</v>
      </c>
      <c r="BH448" s="38">
        <f>G448*AO448</f>
        <v>0</v>
      </c>
      <c r="BI448" s="38">
        <f>G448*AP448</f>
        <v>0</v>
      </c>
      <c r="BJ448" s="38">
        <f>G448*H448</f>
        <v>0</v>
      </c>
      <c r="BK448" s="38"/>
      <c r="BL448" s="38">
        <v>713</v>
      </c>
      <c r="BW448" s="38">
        <v>21</v>
      </c>
    </row>
    <row r="449" spans="1:12" ht="13.5" customHeight="1">
      <c r="A449" s="74"/>
      <c r="D449" s="194" t="s">
        <v>925</v>
      </c>
      <c r="E449" s="195"/>
      <c r="F449" s="195"/>
      <c r="G449" s="195"/>
      <c r="H449" s="195"/>
      <c r="I449" s="195"/>
      <c r="J449" s="195"/>
      <c r="K449" s="195"/>
      <c r="L449" s="197"/>
    </row>
    <row r="450" spans="1:12" ht="15">
      <c r="A450" s="74"/>
      <c r="D450" s="75" t="s">
        <v>926</v>
      </c>
      <c r="E450" s="75" t="s">
        <v>927</v>
      </c>
      <c r="G450" s="76">
        <v>56.47</v>
      </c>
      <c r="L450" s="77"/>
    </row>
    <row r="451" spans="1:12" ht="15">
      <c r="A451" s="74"/>
      <c r="D451" s="75" t="s">
        <v>928</v>
      </c>
      <c r="E451" s="75" t="s">
        <v>929</v>
      </c>
      <c r="G451" s="76">
        <v>35.02</v>
      </c>
      <c r="L451" s="77"/>
    </row>
    <row r="452" spans="1:12" ht="15">
      <c r="A452" s="74"/>
      <c r="D452" s="75" t="s">
        <v>930</v>
      </c>
      <c r="E452" s="75" t="s">
        <v>931</v>
      </c>
      <c r="G452" s="76">
        <v>261.62</v>
      </c>
      <c r="L452" s="77"/>
    </row>
    <row r="453" spans="1:12" ht="15">
      <c r="A453" s="74"/>
      <c r="D453" s="75" t="s">
        <v>932</v>
      </c>
      <c r="E453" s="75" t="s">
        <v>933</v>
      </c>
      <c r="G453" s="76">
        <v>7.66</v>
      </c>
      <c r="L453" s="77"/>
    </row>
    <row r="454" spans="1:75" ht="13.5" customHeight="1">
      <c r="A454" s="78" t="s">
        <v>934</v>
      </c>
      <c r="B454" s="79" t="s">
        <v>84</v>
      </c>
      <c r="C454" s="79" t="s">
        <v>900</v>
      </c>
      <c r="D454" s="198" t="s">
        <v>935</v>
      </c>
      <c r="E454" s="199"/>
      <c r="F454" s="79" t="s">
        <v>135</v>
      </c>
      <c r="G454" s="80">
        <f>'Stavební rozpočet'!G454</f>
        <v>25.85</v>
      </c>
      <c r="H454" s="80">
        <f>'Stavební rozpočet'!H454</f>
        <v>0</v>
      </c>
      <c r="I454" s="80">
        <f>G454*H454</f>
        <v>0</v>
      </c>
      <c r="J454" s="80">
        <f>'Stavební rozpočet'!J454</f>
        <v>0.025</v>
      </c>
      <c r="K454" s="80">
        <f>G454*J454</f>
        <v>0.6462500000000001</v>
      </c>
      <c r="L454" s="82" t="s">
        <v>136</v>
      </c>
      <c r="Z454" s="38">
        <f>IF(AQ454="5",BJ454,0)</f>
        <v>0</v>
      </c>
      <c r="AB454" s="38">
        <f>IF(AQ454="1",BH454,0)</f>
        <v>0</v>
      </c>
      <c r="AC454" s="38">
        <f>IF(AQ454="1",BI454,0)</f>
        <v>0</v>
      </c>
      <c r="AD454" s="38">
        <f>IF(AQ454="7",BH454,0)</f>
        <v>0</v>
      </c>
      <c r="AE454" s="38">
        <f>IF(AQ454="7",BI454,0)</f>
        <v>0</v>
      </c>
      <c r="AF454" s="38">
        <f>IF(AQ454="2",BH454,0)</f>
        <v>0</v>
      </c>
      <c r="AG454" s="38">
        <f>IF(AQ454="2",BI454,0)</f>
        <v>0</v>
      </c>
      <c r="AH454" s="38">
        <f>IF(AQ454="0",BJ454,0)</f>
        <v>0</v>
      </c>
      <c r="AI454" s="50" t="s">
        <v>84</v>
      </c>
      <c r="AJ454" s="80">
        <f>IF(AN454=0,I454,0)</f>
        <v>0</v>
      </c>
      <c r="AK454" s="80">
        <f>IF(AN454=12,I454,0)</f>
        <v>0</v>
      </c>
      <c r="AL454" s="80">
        <f>IF(AN454=21,I454,0)</f>
        <v>0</v>
      </c>
      <c r="AN454" s="38">
        <v>21</v>
      </c>
      <c r="AO454" s="38">
        <f>H454*1</f>
        <v>0</v>
      </c>
      <c r="AP454" s="38">
        <f>H454*(1-1)</f>
        <v>0</v>
      </c>
      <c r="AQ454" s="83" t="s">
        <v>169</v>
      </c>
      <c r="AV454" s="38">
        <f>AW454+AX454</f>
        <v>0</v>
      </c>
      <c r="AW454" s="38">
        <f>G454*AO454</f>
        <v>0</v>
      </c>
      <c r="AX454" s="38">
        <f>G454*AP454</f>
        <v>0</v>
      </c>
      <c r="AY454" s="72" t="s">
        <v>895</v>
      </c>
      <c r="AZ454" s="72" t="s">
        <v>875</v>
      </c>
      <c r="BA454" s="50" t="s">
        <v>139</v>
      </c>
      <c r="BC454" s="38">
        <f>AW454+AX454</f>
        <v>0</v>
      </c>
      <c r="BD454" s="38">
        <f>H454/(100-BE454)*100</f>
        <v>0</v>
      </c>
      <c r="BE454" s="38">
        <v>0</v>
      </c>
      <c r="BF454" s="38">
        <f>K454</f>
        <v>0.6462500000000001</v>
      </c>
      <c r="BH454" s="80">
        <f>G454*AO454</f>
        <v>0</v>
      </c>
      <c r="BI454" s="80">
        <f>G454*AP454</f>
        <v>0</v>
      </c>
      <c r="BJ454" s="80">
        <f>G454*H454</f>
        <v>0</v>
      </c>
      <c r="BK454" s="80"/>
      <c r="BL454" s="38">
        <v>713</v>
      </c>
      <c r="BW454" s="38">
        <v>21</v>
      </c>
    </row>
    <row r="455" spans="1:12" ht="15">
      <c r="A455" s="74"/>
      <c r="D455" s="75" t="s">
        <v>936</v>
      </c>
      <c r="E455" s="75" t="s">
        <v>927</v>
      </c>
      <c r="G455" s="76">
        <v>2.82</v>
      </c>
      <c r="L455" s="77"/>
    </row>
    <row r="456" spans="1:12" ht="15">
      <c r="A456" s="74"/>
      <c r="D456" s="75" t="s">
        <v>937</v>
      </c>
      <c r="E456" s="75" t="s">
        <v>929</v>
      </c>
      <c r="G456" s="76">
        <v>2.1</v>
      </c>
      <c r="L456" s="77"/>
    </row>
    <row r="457" spans="1:12" ht="15">
      <c r="A457" s="74"/>
      <c r="D457" s="75" t="s">
        <v>938</v>
      </c>
      <c r="E457" s="75" t="s">
        <v>931</v>
      </c>
      <c r="G457" s="76">
        <v>20.93</v>
      </c>
      <c r="L457" s="77"/>
    </row>
    <row r="458" spans="1:75" ht="13.5" customHeight="1">
      <c r="A458" s="78" t="s">
        <v>939</v>
      </c>
      <c r="B458" s="79" t="s">
        <v>84</v>
      </c>
      <c r="C458" s="79" t="s">
        <v>918</v>
      </c>
      <c r="D458" s="198" t="s">
        <v>919</v>
      </c>
      <c r="E458" s="199"/>
      <c r="F458" s="79" t="s">
        <v>135</v>
      </c>
      <c r="G458" s="80">
        <f>'Stavební rozpočet'!G458</f>
        <v>0.63</v>
      </c>
      <c r="H458" s="80">
        <f>'Stavební rozpočet'!H458</f>
        <v>0</v>
      </c>
      <c r="I458" s="80">
        <f>G458*H458</f>
        <v>0</v>
      </c>
      <c r="J458" s="80">
        <f>'Stavební rozpočet'!J458</f>
        <v>0.03</v>
      </c>
      <c r="K458" s="80">
        <f>G458*J458</f>
        <v>0.0189</v>
      </c>
      <c r="L458" s="82" t="s">
        <v>136</v>
      </c>
      <c r="Z458" s="38">
        <f>IF(AQ458="5",BJ458,0)</f>
        <v>0</v>
      </c>
      <c r="AB458" s="38">
        <f>IF(AQ458="1",BH458,0)</f>
        <v>0</v>
      </c>
      <c r="AC458" s="38">
        <f>IF(AQ458="1",BI458,0)</f>
        <v>0</v>
      </c>
      <c r="AD458" s="38">
        <f>IF(AQ458="7",BH458,0)</f>
        <v>0</v>
      </c>
      <c r="AE458" s="38">
        <f>IF(AQ458="7",BI458,0)</f>
        <v>0</v>
      </c>
      <c r="AF458" s="38">
        <f>IF(AQ458="2",BH458,0)</f>
        <v>0</v>
      </c>
      <c r="AG458" s="38">
        <f>IF(AQ458="2",BI458,0)</f>
        <v>0</v>
      </c>
      <c r="AH458" s="38">
        <f>IF(AQ458="0",BJ458,0)</f>
        <v>0</v>
      </c>
      <c r="AI458" s="50" t="s">
        <v>84</v>
      </c>
      <c r="AJ458" s="80">
        <f>IF(AN458=0,I458,0)</f>
        <v>0</v>
      </c>
      <c r="AK458" s="80">
        <f>IF(AN458=12,I458,0)</f>
        <v>0</v>
      </c>
      <c r="AL458" s="80">
        <f>IF(AN458=21,I458,0)</f>
        <v>0</v>
      </c>
      <c r="AN458" s="38">
        <v>21</v>
      </c>
      <c r="AO458" s="38">
        <f>H458*1</f>
        <v>0</v>
      </c>
      <c r="AP458" s="38">
        <f>H458*(1-1)</f>
        <v>0</v>
      </c>
      <c r="AQ458" s="83" t="s">
        <v>169</v>
      </c>
      <c r="AV458" s="38">
        <f>AW458+AX458</f>
        <v>0</v>
      </c>
      <c r="AW458" s="38">
        <f>G458*AO458</f>
        <v>0</v>
      </c>
      <c r="AX458" s="38">
        <f>G458*AP458</f>
        <v>0</v>
      </c>
      <c r="AY458" s="72" t="s">
        <v>895</v>
      </c>
      <c r="AZ458" s="72" t="s">
        <v>875</v>
      </c>
      <c r="BA458" s="50" t="s">
        <v>139</v>
      </c>
      <c r="BC458" s="38">
        <f>AW458+AX458</f>
        <v>0</v>
      </c>
      <c r="BD458" s="38">
        <f>H458/(100-BE458)*100</f>
        <v>0</v>
      </c>
      <c r="BE458" s="38">
        <v>0</v>
      </c>
      <c r="BF458" s="38">
        <f>K458</f>
        <v>0.0189</v>
      </c>
      <c r="BH458" s="80">
        <f>G458*AO458</f>
        <v>0</v>
      </c>
      <c r="BI458" s="80">
        <f>G458*AP458</f>
        <v>0</v>
      </c>
      <c r="BJ458" s="80">
        <f>G458*H458</f>
        <v>0</v>
      </c>
      <c r="BK458" s="80"/>
      <c r="BL458" s="38">
        <v>713</v>
      </c>
      <c r="BW458" s="38">
        <v>21</v>
      </c>
    </row>
    <row r="459" spans="1:12" ht="15">
      <c r="A459" s="74"/>
      <c r="D459" s="75" t="s">
        <v>940</v>
      </c>
      <c r="E459" s="75" t="s">
        <v>941</v>
      </c>
      <c r="G459" s="76">
        <v>0.61</v>
      </c>
      <c r="L459" s="77"/>
    </row>
    <row r="460" spans="1:12" ht="15">
      <c r="A460" s="74"/>
      <c r="D460" s="75" t="s">
        <v>942</v>
      </c>
      <c r="E460" s="75" t="s">
        <v>4</v>
      </c>
      <c r="G460" s="76">
        <v>0.02</v>
      </c>
      <c r="L460" s="77"/>
    </row>
    <row r="461" spans="1:75" ht="13.5" customHeight="1">
      <c r="A461" s="1" t="s">
        <v>943</v>
      </c>
      <c r="B461" s="2" t="s">
        <v>84</v>
      </c>
      <c r="C461" s="2" t="s">
        <v>944</v>
      </c>
      <c r="D461" s="108" t="s">
        <v>898</v>
      </c>
      <c r="E461" s="103"/>
      <c r="F461" s="2" t="s">
        <v>263</v>
      </c>
      <c r="G461" s="38">
        <f>'Stavební rozpočet'!G461</f>
        <v>95.88</v>
      </c>
      <c r="H461" s="38">
        <f>'Stavební rozpočet'!H461</f>
        <v>0</v>
      </c>
      <c r="I461" s="38">
        <f>G461*H461</f>
        <v>0</v>
      </c>
      <c r="J461" s="38">
        <f>'Stavební rozpočet'!J461</f>
        <v>0</v>
      </c>
      <c r="K461" s="38">
        <f>G461*J461</f>
        <v>0</v>
      </c>
      <c r="L461" s="71" t="s">
        <v>136</v>
      </c>
      <c r="Z461" s="38">
        <f>IF(AQ461="5",BJ461,0)</f>
        <v>0</v>
      </c>
      <c r="AB461" s="38">
        <f>IF(AQ461="1",BH461,0)</f>
        <v>0</v>
      </c>
      <c r="AC461" s="38">
        <f>IF(AQ461="1",BI461,0)</f>
        <v>0</v>
      </c>
      <c r="AD461" s="38">
        <f>IF(AQ461="7",BH461,0)</f>
        <v>0</v>
      </c>
      <c r="AE461" s="38">
        <f>IF(AQ461="7",BI461,0)</f>
        <v>0</v>
      </c>
      <c r="AF461" s="38">
        <f>IF(AQ461="2",BH461,0)</f>
        <v>0</v>
      </c>
      <c r="AG461" s="38">
        <f>IF(AQ461="2",BI461,0)</f>
        <v>0</v>
      </c>
      <c r="AH461" s="38">
        <f>IF(AQ461="0",BJ461,0)</f>
        <v>0</v>
      </c>
      <c r="AI461" s="50" t="s">
        <v>84</v>
      </c>
      <c r="AJ461" s="38">
        <f>IF(AN461=0,I461,0)</f>
        <v>0</v>
      </c>
      <c r="AK461" s="38">
        <f>IF(AN461=12,I461,0)</f>
        <v>0</v>
      </c>
      <c r="AL461" s="38">
        <f>IF(AN461=21,I461,0)</f>
        <v>0</v>
      </c>
      <c r="AN461" s="38">
        <v>21</v>
      </c>
      <c r="AO461" s="38">
        <f>H461*0</f>
        <v>0</v>
      </c>
      <c r="AP461" s="38">
        <f>H461*(1-0)</f>
        <v>0</v>
      </c>
      <c r="AQ461" s="72" t="s">
        <v>169</v>
      </c>
      <c r="AV461" s="38">
        <f>AW461+AX461</f>
        <v>0</v>
      </c>
      <c r="AW461" s="38">
        <f>G461*AO461</f>
        <v>0</v>
      </c>
      <c r="AX461" s="38">
        <f>G461*AP461</f>
        <v>0</v>
      </c>
      <c r="AY461" s="72" t="s">
        <v>895</v>
      </c>
      <c r="AZ461" s="72" t="s">
        <v>875</v>
      </c>
      <c r="BA461" s="50" t="s">
        <v>139</v>
      </c>
      <c r="BB461" s="73">
        <v>100021</v>
      </c>
      <c r="BC461" s="38">
        <f>AW461+AX461</f>
        <v>0</v>
      </c>
      <c r="BD461" s="38">
        <f>H461/(100-BE461)*100</f>
        <v>0</v>
      </c>
      <c r="BE461" s="38">
        <v>0</v>
      </c>
      <c r="BF461" s="38">
        <f>K461</f>
        <v>0</v>
      </c>
      <c r="BH461" s="38">
        <f>G461*AO461</f>
        <v>0</v>
      </c>
      <c r="BI461" s="38">
        <f>G461*AP461</f>
        <v>0</v>
      </c>
      <c r="BJ461" s="38">
        <f>G461*H461</f>
        <v>0</v>
      </c>
      <c r="BK461" s="38"/>
      <c r="BL461" s="38">
        <v>713</v>
      </c>
      <c r="BW461" s="38">
        <v>21</v>
      </c>
    </row>
    <row r="462" spans="1:12" ht="13.5" customHeight="1">
      <c r="A462" s="74"/>
      <c r="D462" s="194" t="s">
        <v>925</v>
      </c>
      <c r="E462" s="195"/>
      <c r="F462" s="195"/>
      <c r="G462" s="195"/>
      <c r="H462" s="195"/>
      <c r="I462" s="195"/>
      <c r="J462" s="195"/>
      <c r="K462" s="195"/>
      <c r="L462" s="197"/>
    </row>
    <row r="463" spans="1:12" ht="15">
      <c r="A463" s="74"/>
      <c r="D463" s="75" t="s">
        <v>945</v>
      </c>
      <c r="E463" s="75" t="s">
        <v>927</v>
      </c>
      <c r="G463" s="76">
        <v>95.88</v>
      </c>
      <c r="L463" s="77"/>
    </row>
    <row r="464" spans="1:75" ht="13.5" customHeight="1">
      <c r="A464" s="78" t="s">
        <v>946</v>
      </c>
      <c r="B464" s="79" t="s">
        <v>84</v>
      </c>
      <c r="C464" s="79" t="s">
        <v>900</v>
      </c>
      <c r="D464" s="198" t="s">
        <v>935</v>
      </c>
      <c r="E464" s="199"/>
      <c r="F464" s="79" t="s">
        <v>135</v>
      </c>
      <c r="G464" s="80">
        <f>'Stavební rozpočet'!G464</f>
        <v>9.59</v>
      </c>
      <c r="H464" s="80">
        <f>'Stavební rozpočet'!H464</f>
        <v>0</v>
      </c>
      <c r="I464" s="80">
        <f>G464*H464</f>
        <v>0</v>
      </c>
      <c r="J464" s="80">
        <f>'Stavební rozpočet'!J464</f>
        <v>0.025</v>
      </c>
      <c r="K464" s="80">
        <f>G464*J464</f>
        <v>0.23975000000000002</v>
      </c>
      <c r="L464" s="82" t="s">
        <v>136</v>
      </c>
      <c r="Z464" s="38">
        <f>IF(AQ464="5",BJ464,0)</f>
        <v>0</v>
      </c>
      <c r="AB464" s="38">
        <f>IF(AQ464="1",BH464,0)</f>
        <v>0</v>
      </c>
      <c r="AC464" s="38">
        <f>IF(AQ464="1",BI464,0)</f>
        <v>0</v>
      </c>
      <c r="AD464" s="38">
        <f>IF(AQ464="7",BH464,0)</f>
        <v>0</v>
      </c>
      <c r="AE464" s="38">
        <f>IF(AQ464="7",BI464,0)</f>
        <v>0</v>
      </c>
      <c r="AF464" s="38">
        <f>IF(AQ464="2",BH464,0)</f>
        <v>0</v>
      </c>
      <c r="AG464" s="38">
        <f>IF(AQ464="2",BI464,0)</f>
        <v>0</v>
      </c>
      <c r="AH464" s="38">
        <f>IF(AQ464="0",BJ464,0)</f>
        <v>0</v>
      </c>
      <c r="AI464" s="50" t="s">
        <v>84</v>
      </c>
      <c r="AJ464" s="80">
        <f>IF(AN464=0,I464,0)</f>
        <v>0</v>
      </c>
      <c r="AK464" s="80">
        <f>IF(AN464=12,I464,0)</f>
        <v>0</v>
      </c>
      <c r="AL464" s="80">
        <f>IF(AN464=21,I464,0)</f>
        <v>0</v>
      </c>
      <c r="AN464" s="38">
        <v>21</v>
      </c>
      <c r="AO464" s="38">
        <f>H464*1</f>
        <v>0</v>
      </c>
      <c r="AP464" s="38">
        <f>H464*(1-1)</f>
        <v>0</v>
      </c>
      <c r="AQ464" s="83" t="s">
        <v>169</v>
      </c>
      <c r="AV464" s="38">
        <f>AW464+AX464</f>
        <v>0</v>
      </c>
      <c r="AW464" s="38">
        <f>G464*AO464</f>
        <v>0</v>
      </c>
      <c r="AX464" s="38">
        <f>G464*AP464</f>
        <v>0</v>
      </c>
      <c r="AY464" s="72" t="s">
        <v>895</v>
      </c>
      <c r="AZ464" s="72" t="s">
        <v>875</v>
      </c>
      <c r="BA464" s="50" t="s">
        <v>139</v>
      </c>
      <c r="BC464" s="38">
        <f>AW464+AX464</f>
        <v>0</v>
      </c>
      <c r="BD464" s="38">
        <f>H464/(100-BE464)*100</f>
        <v>0</v>
      </c>
      <c r="BE464" s="38">
        <v>0</v>
      </c>
      <c r="BF464" s="38">
        <f>K464</f>
        <v>0.23975000000000002</v>
      </c>
      <c r="BH464" s="80">
        <f>G464*AO464</f>
        <v>0</v>
      </c>
      <c r="BI464" s="80">
        <f>G464*AP464</f>
        <v>0</v>
      </c>
      <c r="BJ464" s="80">
        <f>G464*H464</f>
        <v>0</v>
      </c>
      <c r="BK464" s="80"/>
      <c r="BL464" s="38">
        <v>713</v>
      </c>
      <c r="BW464" s="38">
        <v>21</v>
      </c>
    </row>
    <row r="465" spans="1:12" ht="15">
      <c r="A465" s="74"/>
      <c r="D465" s="75" t="s">
        <v>947</v>
      </c>
      <c r="E465" s="75" t="s">
        <v>927</v>
      </c>
      <c r="G465" s="76">
        <v>9.59</v>
      </c>
      <c r="L465" s="77"/>
    </row>
    <row r="466" spans="1:75" ht="13.5" customHeight="1">
      <c r="A466" s="1" t="s">
        <v>948</v>
      </c>
      <c r="B466" s="2" t="s">
        <v>84</v>
      </c>
      <c r="C466" s="2" t="s">
        <v>949</v>
      </c>
      <c r="D466" s="108" t="s">
        <v>950</v>
      </c>
      <c r="E466" s="103"/>
      <c r="F466" s="2" t="s">
        <v>214</v>
      </c>
      <c r="G466" s="38">
        <f>'Stavební rozpočet'!G466</f>
        <v>354.5</v>
      </c>
      <c r="H466" s="38">
        <f>'Stavební rozpočet'!H466</f>
        <v>0</v>
      </c>
      <c r="I466" s="38">
        <f>G466*H466</f>
        <v>0</v>
      </c>
      <c r="J466" s="38">
        <f>'Stavební rozpočet'!J466</f>
        <v>0</v>
      </c>
      <c r="K466" s="38">
        <f>G466*J466</f>
        <v>0</v>
      </c>
      <c r="L466" s="71" t="s">
        <v>136</v>
      </c>
      <c r="Z466" s="38">
        <f>IF(AQ466="5",BJ466,0)</f>
        <v>0</v>
      </c>
      <c r="AB466" s="38">
        <f>IF(AQ466="1",BH466,0)</f>
        <v>0</v>
      </c>
      <c r="AC466" s="38">
        <f>IF(AQ466="1",BI466,0)</f>
        <v>0</v>
      </c>
      <c r="AD466" s="38">
        <f>IF(AQ466="7",BH466,0)</f>
        <v>0</v>
      </c>
      <c r="AE466" s="38">
        <f>IF(AQ466="7",BI466,0)</f>
        <v>0</v>
      </c>
      <c r="AF466" s="38">
        <f>IF(AQ466="2",BH466,0)</f>
        <v>0</v>
      </c>
      <c r="AG466" s="38">
        <f>IF(AQ466="2",BI466,0)</f>
        <v>0</v>
      </c>
      <c r="AH466" s="38">
        <f>IF(AQ466="0",BJ466,0)</f>
        <v>0</v>
      </c>
      <c r="AI466" s="50" t="s">
        <v>84</v>
      </c>
      <c r="AJ466" s="38">
        <f>IF(AN466=0,I466,0)</f>
        <v>0</v>
      </c>
      <c r="AK466" s="38">
        <f>IF(AN466=12,I466,0)</f>
        <v>0</v>
      </c>
      <c r="AL466" s="38">
        <f>IF(AN466=21,I466,0)</f>
        <v>0</v>
      </c>
      <c r="AN466" s="38">
        <v>21</v>
      </c>
      <c r="AO466" s="38">
        <f>H466*0</f>
        <v>0</v>
      </c>
      <c r="AP466" s="38">
        <f>H466*(1-0)</f>
        <v>0</v>
      </c>
      <c r="AQ466" s="72" t="s">
        <v>169</v>
      </c>
      <c r="AV466" s="38">
        <f>AW466+AX466</f>
        <v>0</v>
      </c>
      <c r="AW466" s="38">
        <f>G466*AO466</f>
        <v>0</v>
      </c>
      <c r="AX466" s="38">
        <f>G466*AP466</f>
        <v>0</v>
      </c>
      <c r="AY466" s="72" t="s">
        <v>895</v>
      </c>
      <c r="AZ466" s="72" t="s">
        <v>875</v>
      </c>
      <c r="BA466" s="50" t="s">
        <v>139</v>
      </c>
      <c r="BB466" s="73">
        <v>100021</v>
      </c>
      <c r="BC466" s="38">
        <f>AW466+AX466</f>
        <v>0</v>
      </c>
      <c r="BD466" s="38">
        <f>H466/(100-BE466)*100</f>
        <v>0</v>
      </c>
      <c r="BE466" s="38">
        <v>0</v>
      </c>
      <c r="BF466" s="38">
        <f>K466</f>
        <v>0</v>
      </c>
      <c r="BH466" s="38">
        <f>G466*AO466</f>
        <v>0</v>
      </c>
      <c r="BI466" s="38">
        <f>G466*AP466</f>
        <v>0</v>
      </c>
      <c r="BJ466" s="38">
        <f>G466*H466</f>
        <v>0</v>
      </c>
      <c r="BK466" s="38"/>
      <c r="BL466" s="38">
        <v>713</v>
      </c>
      <c r="BW466" s="38">
        <v>21</v>
      </c>
    </row>
    <row r="467" spans="1:12" ht="15">
      <c r="A467" s="74"/>
      <c r="D467" s="75" t="s">
        <v>951</v>
      </c>
      <c r="E467" s="75" t="s">
        <v>847</v>
      </c>
      <c r="G467" s="76">
        <v>159.8</v>
      </c>
      <c r="L467" s="77"/>
    </row>
    <row r="468" spans="1:12" ht="15">
      <c r="A468" s="74"/>
      <c r="D468" s="75" t="s">
        <v>952</v>
      </c>
      <c r="E468" s="75" t="s">
        <v>953</v>
      </c>
      <c r="G468" s="76">
        <v>112.7</v>
      </c>
      <c r="L468" s="77"/>
    </row>
    <row r="469" spans="1:12" ht="15">
      <c r="A469" s="74"/>
      <c r="D469" s="75" t="s">
        <v>648</v>
      </c>
      <c r="E469" s="75" t="s">
        <v>954</v>
      </c>
      <c r="G469" s="76">
        <v>82</v>
      </c>
      <c r="L469" s="77"/>
    </row>
    <row r="470" spans="1:75" ht="13.5" customHeight="1">
      <c r="A470" s="78" t="s">
        <v>955</v>
      </c>
      <c r="B470" s="79" t="s">
        <v>84</v>
      </c>
      <c r="C470" s="79" t="s">
        <v>956</v>
      </c>
      <c r="D470" s="198" t="s">
        <v>957</v>
      </c>
      <c r="E470" s="199"/>
      <c r="F470" s="79" t="s">
        <v>214</v>
      </c>
      <c r="G470" s="80">
        <f>'Stavební rozpočet'!G470</f>
        <v>365.13</v>
      </c>
      <c r="H470" s="80">
        <f>'Stavební rozpočet'!H470</f>
        <v>0</v>
      </c>
      <c r="I470" s="80">
        <f>G470*H470</f>
        <v>0</v>
      </c>
      <c r="J470" s="80">
        <f>'Stavební rozpočet'!J470</f>
        <v>0</v>
      </c>
      <c r="K470" s="80">
        <f>G470*J470</f>
        <v>0</v>
      </c>
      <c r="L470" s="82" t="s">
        <v>207</v>
      </c>
      <c r="Z470" s="38">
        <f>IF(AQ470="5",BJ470,0)</f>
        <v>0</v>
      </c>
      <c r="AB470" s="38">
        <f>IF(AQ470="1",BH470,0)</f>
        <v>0</v>
      </c>
      <c r="AC470" s="38">
        <f>IF(AQ470="1",BI470,0)</f>
        <v>0</v>
      </c>
      <c r="AD470" s="38">
        <f>IF(AQ470="7",BH470,0)</f>
        <v>0</v>
      </c>
      <c r="AE470" s="38">
        <f>IF(AQ470="7",BI470,0)</f>
        <v>0</v>
      </c>
      <c r="AF470" s="38">
        <f>IF(AQ470="2",BH470,0)</f>
        <v>0</v>
      </c>
      <c r="AG470" s="38">
        <f>IF(AQ470="2",BI470,0)</f>
        <v>0</v>
      </c>
      <c r="AH470" s="38">
        <f>IF(AQ470="0",BJ470,0)</f>
        <v>0</v>
      </c>
      <c r="AI470" s="50" t="s">
        <v>84</v>
      </c>
      <c r="AJ470" s="80">
        <f>IF(AN470=0,I470,0)</f>
        <v>0</v>
      </c>
      <c r="AK470" s="80">
        <f>IF(AN470=12,I470,0)</f>
        <v>0</v>
      </c>
      <c r="AL470" s="80">
        <f>IF(AN470=21,I470,0)</f>
        <v>0</v>
      </c>
      <c r="AN470" s="38">
        <v>21</v>
      </c>
      <c r="AO470" s="38">
        <f>H470*1</f>
        <v>0</v>
      </c>
      <c r="AP470" s="38">
        <f>H470*(1-1)</f>
        <v>0</v>
      </c>
      <c r="AQ470" s="83" t="s">
        <v>169</v>
      </c>
      <c r="AV470" s="38">
        <f>AW470+AX470</f>
        <v>0</v>
      </c>
      <c r="AW470" s="38">
        <f>G470*AO470</f>
        <v>0</v>
      </c>
      <c r="AX470" s="38">
        <f>G470*AP470</f>
        <v>0</v>
      </c>
      <c r="AY470" s="72" t="s">
        <v>895</v>
      </c>
      <c r="AZ470" s="72" t="s">
        <v>875</v>
      </c>
      <c r="BA470" s="50" t="s">
        <v>139</v>
      </c>
      <c r="BC470" s="38">
        <f>AW470+AX470</f>
        <v>0</v>
      </c>
      <c r="BD470" s="38">
        <f>H470/(100-BE470)*100</f>
        <v>0</v>
      </c>
      <c r="BE470" s="38">
        <v>0</v>
      </c>
      <c r="BF470" s="38">
        <f>K470</f>
        <v>0</v>
      </c>
      <c r="BH470" s="80">
        <f>G470*AO470</f>
        <v>0</v>
      </c>
      <c r="BI470" s="80">
        <f>G470*AP470</f>
        <v>0</v>
      </c>
      <c r="BJ470" s="80">
        <f>G470*H470</f>
        <v>0</v>
      </c>
      <c r="BK470" s="80"/>
      <c r="BL470" s="38">
        <v>713</v>
      </c>
      <c r="BW470" s="38">
        <v>21</v>
      </c>
    </row>
    <row r="471" spans="1:12" ht="15">
      <c r="A471" s="74"/>
      <c r="D471" s="75" t="s">
        <v>958</v>
      </c>
      <c r="E471" s="75" t="s">
        <v>4</v>
      </c>
      <c r="G471" s="76">
        <v>354.5</v>
      </c>
      <c r="L471" s="77"/>
    </row>
    <row r="472" spans="1:12" ht="15">
      <c r="A472" s="74"/>
      <c r="D472" s="75" t="s">
        <v>959</v>
      </c>
      <c r="E472" s="75" t="s">
        <v>4</v>
      </c>
      <c r="G472" s="76">
        <v>10.63</v>
      </c>
      <c r="L472" s="77"/>
    </row>
    <row r="473" spans="1:75" ht="13.5" customHeight="1">
      <c r="A473" s="1" t="s">
        <v>960</v>
      </c>
      <c r="B473" s="2" t="s">
        <v>84</v>
      </c>
      <c r="C473" s="2" t="s">
        <v>961</v>
      </c>
      <c r="D473" s="108" t="s">
        <v>962</v>
      </c>
      <c r="E473" s="103"/>
      <c r="F473" s="2" t="s">
        <v>263</v>
      </c>
      <c r="G473" s="38">
        <f>'Stavební rozpočet'!G473</f>
        <v>10.48</v>
      </c>
      <c r="H473" s="38">
        <f>'Stavební rozpočet'!H473</f>
        <v>0</v>
      </c>
      <c r="I473" s="38">
        <f>G473*H473</f>
        <v>0</v>
      </c>
      <c r="J473" s="38">
        <f>'Stavební rozpočet'!J473</f>
        <v>0.0005</v>
      </c>
      <c r="K473" s="38">
        <f>G473*J473</f>
        <v>0.005240000000000001</v>
      </c>
      <c r="L473" s="71" t="s">
        <v>136</v>
      </c>
      <c r="Z473" s="38">
        <f>IF(AQ473="5",BJ473,0)</f>
        <v>0</v>
      </c>
      <c r="AB473" s="38">
        <f>IF(AQ473="1",BH473,0)</f>
        <v>0</v>
      </c>
      <c r="AC473" s="38">
        <f>IF(AQ473="1",BI473,0)</f>
        <v>0</v>
      </c>
      <c r="AD473" s="38">
        <f>IF(AQ473="7",BH473,0)</f>
        <v>0</v>
      </c>
      <c r="AE473" s="38">
        <f>IF(AQ473="7",BI473,0)</f>
        <v>0</v>
      </c>
      <c r="AF473" s="38">
        <f>IF(AQ473="2",BH473,0)</f>
        <v>0</v>
      </c>
      <c r="AG473" s="38">
        <f>IF(AQ473="2",BI473,0)</f>
        <v>0</v>
      </c>
      <c r="AH473" s="38">
        <f>IF(AQ473="0",BJ473,0)</f>
        <v>0</v>
      </c>
      <c r="AI473" s="50" t="s">
        <v>84</v>
      </c>
      <c r="AJ473" s="38">
        <f>IF(AN473=0,I473,0)</f>
        <v>0</v>
      </c>
      <c r="AK473" s="38">
        <f>IF(AN473=12,I473,0)</f>
        <v>0</v>
      </c>
      <c r="AL473" s="38">
        <f>IF(AN473=21,I473,0)</f>
        <v>0</v>
      </c>
      <c r="AN473" s="38">
        <v>21</v>
      </c>
      <c r="AO473" s="38">
        <f>H473*0.288512561</f>
        <v>0</v>
      </c>
      <c r="AP473" s="38">
        <f>H473*(1-0.288512561)</f>
        <v>0</v>
      </c>
      <c r="AQ473" s="72" t="s">
        <v>169</v>
      </c>
      <c r="AV473" s="38">
        <f>AW473+AX473</f>
        <v>0</v>
      </c>
      <c r="AW473" s="38">
        <f>G473*AO473</f>
        <v>0</v>
      </c>
      <c r="AX473" s="38">
        <f>G473*AP473</f>
        <v>0</v>
      </c>
      <c r="AY473" s="72" t="s">
        <v>895</v>
      </c>
      <c r="AZ473" s="72" t="s">
        <v>875</v>
      </c>
      <c r="BA473" s="50" t="s">
        <v>139</v>
      </c>
      <c r="BB473" s="73">
        <v>100021</v>
      </c>
      <c r="BC473" s="38">
        <f>AW473+AX473</f>
        <v>0</v>
      </c>
      <c r="BD473" s="38">
        <f>H473/(100-BE473)*100</f>
        <v>0</v>
      </c>
      <c r="BE473" s="38">
        <v>0</v>
      </c>
      <c r="BF473" s="38">
        <f>K473</f>
        <v>0.005240000000000001</v>
      </c>
      <c r="BH473" s="38">
        <f>G473*AO473</f>
        <v>0</v>
      </c>
      <c r="BI473" s="38">
        <f>G473*AP473</f>
        <v>0</v>
      </c>
      <c r="BJ473" s="38">
        <f>G473*H473</f>
        <v>0</v>
      </c>
      <c r="BK473" s="38"/>
      <c r="BL473" s="38">
        <v>713</v>
      </c>
      <c r="BW473" s="38">
        <v>21</v>
      </c>
    </row>
    <row r="474" spans="1:12" ht="15">
      <c r="A474" s="74"/>
      <c r="D474" s="75" t="s">
        <v>963</v>
      </c>
      <c r="E474" s="75" t="s">
        <v>852</v>
      </c>
      <c r="G474" s="76">
        <v>7.66</v>
      </c>
      <c r="L474" s="77"/>
    </row>
    <row r="475" spans="1:12" ht="15">
      <c r="A475" s="74"/>
      <c r="D475" s="75" t="s">
        <v>964</v>
      </c>
      <c r="E475" s="75" t="s">
        <v>965</v>
      </c>
      <c r="G475" s="76">
        <v>2.82</v>
      </c>
      <c r="L475" s="77"/>
    </row>
    <row r="476" spans="1:75" ht="13.5" customHeight="1">
      <c r="A476" s="1" t="s">
        <v>966</v>
      </c>
      <c r="B476" s="2" t="s">
        <v>84</v>
      </c>
      <c r="C476" s="2" t="s">
        <v>904</v>
      </c>
      <c r="D476" s="108" t="s">
        <v>905</v>
      </c>
      <c r="E476" s="103"/>
      <c r="F476" s="2" t="s">
        <v>263</v>
      </c>
      <c r="G476" s="38">
        <f>'Stavební rozpočet'!G476</f>
        <v>188.6</v>
      </c>
      <c r="H476" s="38">
        <f>'Stavební rozpočet'!H476</f>
        <v>0</v>
      </c>
      <c r="I476" s="38">
        <f>G476*H476</f>
        <v>0</v>
      </c>
      <c r="J476" s="38">
        <f>'Stavební rozpočet'!J476</f>
        <v>1E-05</v>
      </c>
      <c r="K476" s="38">
        <f>G476*J476</f>
        <v>0.001886</v>
      </c>
      <c r="L476" s="71" t="s">
        <v>136</v>
      </c>
      <c r="Z476" s="38">
        <f>IF(AQ476="5",BJ476,0)</f>
        <v>0</v>
      </c>
      <c r="AB476" s="38">
        <f>IF(AQ476="1",BH476,0)</f>
        <v>0</v>
      </c>
      <c r="AC476" s="38">
        <f>IF(AQ476="1",BI476,0)</f>
        <v>0</v>
      </c>
      <c r="AD476" s="38">
        <f>IF(AQ476="7",BH476,0)</f>
        <v>0</v>
      </c>
      <c r="AE476" s="38">
        <f>IF(AQ476="7",BI476,0)</f>
        <v>0</v>
      </c>
      <c r="AF476" s="38">
        <f>IF(AQ476="2",BH476,0)</f>
        <v>0</v>
      </c>
      <c r="AG476" s="38">
        <f>IF(AQ476="2",BI476,0)</f>
        <v>0</v>
      </c>
      <c r="AH476" s="38">
        <f>IF(AQ476="0",BJ476,0)</f>
        <v>0</v>
      </c>
      <c r="AI476" s="50" t="s">
        <v>84</v>
      </c>
      <c r="AJ476" s="38">
        <f>IF(AN476=0,I476,0)</f>
        <v>0</v>
      </c>
      <c r="AK476" s="38">
        <f>IF(AN476=12,I476,0)</f>
        <v>0</v>
      </c>
      <c r="AL476" s="38">
        <f>IF(AN476=21,I476,0)</f>
        <v>0</v>
      </c>
      <c r="AN476" s="38">
        <v>21</v>
      </c>
      <c r="AO476" s="38">
        <f>H476*0.211573712</f>
        <v>0</v>
      </c>
      <c r="AP476" s="38">
        <f>H476*(1-0.211573712)</f>
        <v>0</v>
      </c>
      <c r="AQ476" s="72" t="s">
        <v>169</v>
      </c>
      <c r="AV476" s="38">
        <f>AW476+AX476</f>
        <v>0</v>
      </c>
      <c r="AW476" s="38">
        <f>G476*AO476</f>
        <v>0</v>
      </c>
      <c r="AX476" s="38">
        <f>G476*AP476</f>
        <v>0</v>
      </c>
      <c r="AY476" s="72" t="s">
        <v>895</v>
      </c>
      <c r="AZ476" s="72" t="s">
        <v>875</v>
      </c>
      <c r="BA476" s="50" t="s">
        <v>139</v>
      </c>
      <c r="BB476" s="73">
        <v>100021</v>
      </c>
      <c r="BC476" s="38">
        <f>AW476+AX476</f>
        <v>0</v>
      </c>
      <c r="BD476" s="38">
        <f>H476/(100-BE476)*100</f>
        <v>0</v>
      </c>
      <c r="BE476" s="38">
        <v>0</v>
      </c>
      <c r="BF476" s="38">
        <f>K476</f>
        <v>0.001886</v>
      </c>
      <c r="BH476" s="38">
        <f>G476*AO476</f>
        <v>0</v>
      </c>
      <c r="BI476" s="38">
        <f>G476*AP476</f>
        <v>0</v>
      </c>
      <c r="BJ476" s="38">
        <f>G476*H476</f>
        <v>0</v>
      </c>
      <c r="BK476" s="38"/>
      <c r="BL476" s="38">
        <v>713</v>
      </c>
      <c r="BW476" s="38">
        <v>21</v>
      </c>
    </row>
    <row r="477" spans="1:12" ht="13.5" customHeight="1">
      <c r="A477" s="74"/>
      <c r="D477" s="194" t="s">
        <v>906</v>
      </c>
      <c r="E477" s="195"/>
      <c r="F477" s="195"/>
      <c r="G477" s="195"/>
      <c r="H477" s="195"/>
      <c r="I477" s="195"/>
      <c r="J477" s="195"/>
      <c r="K477" s="195"/>
      <c r="L477" s="197"/>
    </row>
    <row r="478" spans="1:12" ht="15">
      <c r="A478" s="74"/>
      <c r="D478" s="75" t="s">
        <v>967</v>
      </c>
      <c r="E478" s="75" t="s">
        <v>847</v>
      </c>
      <c r="G478" s="76">
        <v>188.6</v>
      </c>
      <c r="L478" s="77"/>
    </row>
    <row r="479" spans="1:75" ht="13.5" customHeight="1">
      <c r="A479" s="1" t="s">
        <v>968</v>
      </c>
      <c r="B479" s="2" t="s">
        <v>84</v>
      </c>
      <c r="C479" s="2" t="s">
        <v>969</v>
      </c>
      <c r="D479" s="108" t="s">
        <v>970</v>
      </c>
      <c r="E479" s="103"/>
      <c r="F479" s="2" t="s">
        <v>263</v>
      </c>
      <c r="G479" s="38">
        <f>'Stavební rozpočet'!G479</f>
        <v>76.4</v>
      </c>
      <c r="H479" s="38">
        <f>'Stavební rozpočet'!H479</f>
        <v>0</v>
      </c>
      <c r="I479" s="38">
        <f>G479*H479</f>
        <v>0</v>
      </c>
      <c r="J479" s="38">
        <f>'Stavební rozpočet'!J479</f>
        <v>0.1575</v>
      </c>
      <c r="K479" s="38">
        <f>G479*J479</f>
        <v>12.033000000000001</v>
      </c>
      <c r="L479" s="71" t="s">
        <v>136</v>
      </c>
      <c r="Z479" s="38">
        <f>IF(AQ479="5",BJ479,0)</f>
        <v>0</v>
      </c>
      <c r="AB479" s="38">
        <f>IF(AQ479="1",BH479,0)</f>
        <v>0</v>
      </c>
      <c r="AC479" s="38">
        <f>IF(AQ479="1",BI479,0)</f>
        <v>0</v>
      </c>
      <c r="AD479" s="38">
        <f>IF(AQ479="7",BH479,0)</f>
        <v>0</v>
      </c>
      <c r="AE479" s="38">
        <f>IF(AQ479="7",BI479,0)</f>
        <v>0</v>
      </c>
      <c r="AF479" s="38">
        <f>IF(AQ479="2",BH479,0)</f>
        <v>0</v>
      </c>
      <c r="AG479" s="38">
        <f>IF(AQ479="2",BI479,0)</f>
        <v>0</v>
      </c>
      <c r="AH479" s="38">
        <f>IF(AQ479="0",BJ479,0)</f>
        <v>0</v>
      </c>
      <c r="AI479" s="50" t="s">
        <v>84</v>
      </c>
      <c r="AJ479" s="38">
        <f>IF(AN479=0,I479,0)</f>
        <v>0</v>
      </c>
      <c r="AK479" s="38">
        <f>IF(AN479=12,I479,0)</f>
        <v>0</v>
      </c>
      <c r="AL479" s="38">
        <f>IF(AN479=21,I479,0)</f>
        <v>0</v>
      </c>
      <c r="AN479" s="38">
        <v>21</v>
      </c>
      <c r="AO479" s="38">
        <f>H479*0</f>
        <v>0</v>
      </c>
      <c r="AP479" s="38">
        <f>H479*(1-0)</f>
        <v>0</v>
      </c>
      <c r="AQ479" s="72" t="s">
        <v>169</v>
      </c>
      <c r="AV479" s="38">
        <f>AW479+AX479</f>
        <v>0</v>
      </c>
      <c r="AW479" s="38">
        <f>G479*AO479</f>
        <v>0</v>
      </c>
      <c r="AX479" s="38">
        <f>G479*AP479</f>
        <v>0</v>
      </c>
      <c r="AY479" s="72" t="s">
        <v>895</v>
      </c>
      <c r="AZ479" s="72" t="s">
        <v>875</v>
      </c>
      <c r="BA479" s="50" t="s">
        <v>139</v>
      </c>
      <c r="BB479" s="73">
        <v>100021</v>
      </c>
      <c r="BC479" s="38">
        <f>AW479+AX479</f>
        <v>0</v>
      </c>
      <c r="BD479" s="38">
        <f>H479/(100-BE479)*100</f>
        <v>0</v>
      </c>
      <c r="BE479" s="38">
        <v>0</v>
      </c>
      <c r="BF479" s="38">
        <f>K479</f>
        <v>12.033000000000001</v>
      </c>
      <c r="BH479" s="38">
        <f>G479*AO479</f>
        <v>0</v>
      </c>
      <c r="BI479" s="38">
        <f>G479*AP479</f>
        <v>0</v>
      </c>
      <c r="BJ479" s="38">
        <f>G479*H479</f>
        <v>0</v>
      </c>
      <c r="BK479" s="38"/>
      <c r="BL479" s="38">
        <v>713</v>
      </c>
      <c r="BW479" s="38">
        <v>21</v>
      </c>
    </row>
    <row r="480" spans="1:12" ht="15">
      <c r="A480" s="74"/>
      <c r="D480" s="75" t="s">
        <v>971</v>
      </c>
      <c r="E480" s="75" t="s">
        <v>972</v>
      </c>
      <c r="G480" s="76">
        <v>41.6</v>
      </c>
      <c r="L480" s="77"/>
    </row>
    <row r="481" spans="1:12" ht="15">
      <c r="A481" s="74"/>
      <c r="D481" s="75" t="s">
        <v>973</v>
      </c>
      <c r="E481" s="75" t="s">
        <v>974</v>
      </c>
      <c r="G481" s="76">
        <v>34.8</v>
      </c>
      <c r="L481" s="77"/>
    </row>
    <row r="482" spans="1:75" ht="13.5" customHeight="1">
      <c r="A482" s="1" t="s">
        <v>975</v>
      </c>
      <c r="B482" s="2" t="s">
        <v>84</v>
      </c>
      <c r="C482" s="2" t="s">
        <v>976</v>
      </c>
      <c r="D482" s="108" t="s">
        <v>977</v>
      </c>
      <c r="E482" s="103"/>
      <c r="F482" s="2" t="s">
        <v>263</v>
      </c>
      <c r="G482" s="38">
        <f>'Stavební rozpočet'!G482</f>
        <v>4.9</v>
      </c>
      <c r="H482" s="38">
        <f>'Stavební rozpočet'!H482</f>
        <v>0</v>
      </c>
      <c r="I482" s="38">
        <f>G482*H482</f>
        <v>0</v>
      </c>
      <c r="J482" s="38">
        <f>'Stavební rozpočet'!J482</f>
        <v>0.002</v>
      </c>
      <c r="K482" s="38">
        <f>G482*J482</f>
        <v>0.009800000000000001</v>
      </c>
      <c r="L482" s="71" t="s">
        <v>136</v>
      </c>
      <c r="Z482" s="38">
        <f>IF(AQ482="5",BJ482,0)</f>
        <v>0</v>
      </c>
      <c r="AB482" s="38">
        <f>IF(AQ482="1",BH482,0)</f>
        <v>0</v>
      </c>
      <c r="AC482" s="38">
        <f>IF(AQ482="1",BI482,0)</f>
        <v>0</v>
      </c>
      <c r="AD482" s="38">
        <f>IF(AQ482="7",BH482,0)</f>
        <v>0</v>
      </c>
      <c r="AE482" s="38">
        <f>IF(AQ482="7",BI482,0)</f>
        <v>0</v>
      </c>
      <c r="AF482" s="38">
        <f>IF(AQ482="2",BH482,0)</f>
        <v>0</v>
      </c>
      <c r="AG482" s="38">
        <f>IF(AQ482="2",BI482,0)</f>
        <v>0</v>
      </c>
      <c r="AH482" s="38">
        <f>IF(AQ482="0",BJ482,0)</f>
        <v>0</v>
      </c>
      <c r="AI482" s="50" t="s">
        <v>84</v>
      </c>
      <c r="AJ482" s="38">
        <f>IF(AN482=0,I482,0)</f>
        <v>0</v>
      </c>
      <c r="AK482" s="38">
        <f>IF(AN482=12,I482,0)</f>
        <v>0</v>
      </c>
      <c r="AL482" s="38">
        <f>IF(AN482=21,I482,0)</f>
        <v>0</v>
      </c>
      <c r="AN482" s="38">
        <v>21</v>
      </c>
      <c r="AO482" s="38">
        <f>H482*0</f>
        <v>0</v>
      </c>
      <c r="AP482" s="38">
        <f>H482*(1-0)</f>
        <v>0</v>
      </c>
      <c r="AQ482" s="72" t="s">
        <v>169</v>
      </c>
      <c r="AV482" s="38">
        <f>AW482+AX482</f>
        <v>0</v>
      </c>
      <c r="AW482" s="38">
        <f>G482*AO482</f>
        <v>0</v>
      </c>
      <c r="AX482" s="38">
        <f>G482*AP482</f>
        <v>0</v>
      </c>
      <c r="AY482" s="72" t="s">
        <v>895</v>
      </c>
      <c r="AZ482" s="72" t="s">
        <v>875</v>
      </c>
      <c r="BA482" s="50" t="s">
        <v>139</v>
      </c>
      <c r="BB482" s="73">
        <v>100021</v>
      </c>
      <c r="BC482" s="38">
        <f>AW482+AX482</f>
        <v>0</v>
      </c>
      <c r="BD482" s="38">
        <f>H482/(100-BE482)*100</f>
        <v>0</v>
      </c>
      <c r="BE482" s="38">
        <v>0</v>
      </c>
      <c r="BF482" s="38">
        <f>K482</f>
        <v>0.009800000000000001</v>
      </c>
      <c r="BH482" s="38">
        <f>G482*AO482</f>
        <v>0</v>
      </c>
      <c r="BI482" s="38">
        <f>G482*AP482</f>
        <v>0</v>
      </c>
      <c r="BJ482" s="38">
        <f>G482*H482</f>
        <v>0</v>
      </c>
      <c r="BK482" s="38"/>
      <c r="BL482" s="38">
        <v>713</v>
      </c>
      <c r="BW482" s="38">
        <v>21</v>
      </c>
    </row>
    <row r="483" spans="1:12" ht="15">
      <c r="A483" s="74"/>
      <c r="D483" s="75" t="s">
        <v>978</v>
      </c>
      <c r="E483" s="75" t="s">
        <v>979</v>
      </c>
      <c r="G483" s="76">
        <v>4.9</v>
      </c>
      <c r="L483" s="77"/>
    </row>
    <row r="484" spans="1:75" ht="13.5" customHeight="1">
      <c r="A484" s="1" t="s">
        <v>980</v>
      </c>
      <c r="B484" s="2" t="s">
        <v>84</v>
      </c>
      <c r="C484" s="2" t="s">
        <v>981</v>
      </c>
      <c r="D484" s="108" t="s">
        <v>982</v>
      </c>
      <c r="E484" s="103"/>
      <c r="F484" s="2" t="s">
        <v>189</v>
      </c>
      <c r="G484" s="38">
        <f>'Stavební rozpočet'!G484</f>
        <v>1</v>
      </c>
      <c r="H484" s="38">
        <f>'Stavební rozpočet'!H484</f>
        <v>0</v>
      </c>
      <c r="I484" s="38">
        <f>G484*H484</f>
        <v>0</v>
      </c>
      <c r="J484" s="38">
        <f>'Stavební rozpočet'!J484</f>
        <v>0</v>
      </c>
      <c r="K484" s="38">
        <f>G484*J484</f>
        <v>0</v>
      </c>
      <c r="L484" s="71" t="s">
        <v>136</v>
      </c>
      <c r="Z484" s="38">
        <f>IF(AQ484="5",BJ484,0)</f>
        <v>0</v>
      </c>
      <c r="AB484" s="38">
        <f>IF(AQ484="1",BH484,0)</f>
        <v>0</v>
      </c>
      <c r="AC484" s="38">
        <f>IF(AQ484="1",BI484,0)</f>
        <v>0</v>
      </c>
      <c r="AD484" s="38">
        <f>IF(AQ484="7",BH484,0)</f>
        <v>0</v>
      </c>
      <c r="AE484" s="38">
        <f>IF(AQ484="7",BI484,0)</f>
        <v>0</v>
      </c>
      <c r="AF484" s="38">
        <f>IF(AQ484="2",BH484,0)</f>
        <v>0</v>
      </c>
      <c r="AG484" s="38">
        <f>IF(AQ484="2",BI484,0)</f>
        <v>0</v>
      </c>
      <c r="AH484" s="38">
        <f>IF(AQ484="0",BJ484,0)</f>
        <v>0</v>
      </c>
      <c r="AI484" s="50" t="s">
        <v>84</v>
      </c>
      <c r="AJ484" s="38">
        <f>IF(AN484=0,I484,0)</f>
        <v>0</v>
      </c>
      <c r="AK484" s="38">
        <f>IF(AN484=12,I484,0)</f>
        <v>0</v>
      </c>
      <c r="AL484" s="38">
        <f>IF(AN484=21,I484,0)</f>
        <v>0</v>
      </c>
      <c r="AN484" s="38">
        <v>21</v>
      </c>
      <c r="AO484" s="38">
        <f>H484*0</f>
        <v>0</v>
      </c>
      <c r="AP484" s="38">
        <f>H484*(1-0)</f>
        <v>0</v>
      </c>
      <c r="AQ484" s="72" t="s">
        <v>162</v>
      </c>
      <c r="AV484" s="38">
        <f>AW484+AX484</f>
        <v>0</v>
      </c>
      <c r="AW484" s="38">
        <f>G484*AO484</f>
        <v>0</v>
      </c>
      <c r="AX484" s="38">
        <f>G484*AP484</f>
        <v>0</v>
      </c>
      <c r="AY484" s="72" t="s">
        <v>895</v>
      </c>
      <c r="AZ484" s="72" t="s">
        <v>875</v>
      </c>
      <c r="BA484" s="50" t="s">
        <v>139</v>
      </c>
      <c r="BC484" s="38">
        <f>AW484+AX484</f>
        <v>0</v>
      </c>
      <c r="BD484" s="38">
        <f>H484/(100-BE484)*100</f>
        <v>0</v>
      </c>
      <c r="BE484" s="38">
        <v>0</v>
      </c>
      <c r="BF484" s="38">
        <f>K484</f>
        <v>0</v>
      </c>
      <c r="BH484" s="38">
        <f>G484*AO484</f>
        <v>0</v>
      </c>
      <c r="BI484" s="38">
        <f>G484*AP484</f>
        <v>0</v>
      </c>
      <c r="BJ484" s="38">
        <f>G484*H484</f>
        <v>0</v>
      </c>
      <c r="BK484" s="38"/>
      <c r="BL484" s="38">
        <v>713</v>
      </c>
      <c r="BW484" s="38">
        <v>21</v>
      </c>
    </row>
    <row r="485" spans="1:12" ht="15">
      <c r="A485" s="74"/>
      <c r="D485" s="75" t="s">
        <v>983</v>
      </c>
      <c r="E485" s="75" t="s">
        <v>4</v>
      </c>
      <c r="G485" s="76">
        <v>1</v>
      </c>
      <c r="L485" s="77"/>
    </row>
    <row r="486" spans="1:47" ht="15">
      <c r="A486" s="65" t="s">
        <v>4</v>
      </c>
      <c r="B486" s="66" t="s">
        <v>84</v>
      </c>
      <c r="C486" s="66" t="s">
        <v>984</v>
      </c>
      <c r="D486" s="192" t="s">
        <v>985</v>
      </c>
      <c r="E486" s="193"/>
      <c r="F486" s="67" t="s">
        <v>78</v>
      </c>
      <c r="G486" s="67" t="s">
        <v>78</v>
      </c>
      <c r="H486" s="67" t="s">
        <v>78</v>
      </c>
      <c r="I486" s="44">
        <f>SUM(I487:I499)</f>
        <v>0</v>
      </c>
      <c r="J486" s="50" t="s">
        <v>4</v>
      </c>
      <c r="K486" s="44">
        <f>SUM(K487:K499)</f>
        <v>0.9775365</v>
      </c>
      <c r="L486" s="69" t="s">
        <v>4</v>
      </c>
      <c r="AI486" s="50" t="s">
        <v>84</v>
      </c>
      <c r="AS486" s="44">
        <f>SUM(AJ487:AJ499)</f>
        <v>0</v>
      </c>
      <c r="AT486" s="44">
        <f>SUM(AK487:AK499)</f>
        <v>0</v>
      </c>
      <c r="AU486" s="44">
        <f>SUM(AL487:AL499)</f>
        <v>0</v>
      </c>
    </row>
    <row r="487" spans="1:75" ht="13.5" customHeight="1">
      <c r="A487" s="1" t="s">
        <v>986</v>
      </c>
      <c r="B487" s="2" t="s">
        <v>84</v>
      </c>
      <c r="C487" s="2" t="s">
        <v>987</v>
      </c>
      <c r="D487" s="108" t="s">
        <v>988</v>
      </c>
      <c r="E487" s="103"/>
      <c r="F487" s="2" t="s">
        <v>214</v>
      </c>
      <c r="G487" s="38">
        <f>'Stavební rozpočet'!G487</f>
        <v>81.2</v>
      </c>
      <c r="H487" s="38">
        <f>'Stavební rozpočet'!H487</f>
        <v>0</v>
      </c>
      <c r="I487" s="38">
        <f>G487*H487</f>
        <v>0</v>
      </c>
      <c r="J487" s="38">
        <f>'Stavební rozpočet'!J487</f>
        <v>0.00099</v>
      </c>
      <c r="K487" s="38">
        <f>G487*J487</f>
        <v>0.080388</v>
      </c>
      <c r="L487" s="71" t="s">
        <v>136</v>
      </c>
      <c r="Z487" s="38">
        <f>IF(AQ487="5",BJ487,0)</f>
        <v>0</v>
      </c>
      <c r="AB487" s="38">
        <f>IF(AQ487="1",BH487,0)</f>
        <v>0</v>
      </c>
      <c r="AC487" s="38">
        <f>IF(AQ487="1",BI487,0)</f>
        <v>0</v>
      </c>
      <c r="AD487" s="38">
        <f>IF(AQ487="7",BH487,0)</f>
        <v>0</v>
      </c>
      <c r="AE487" s="38">
        <f>IF(AQ487="7",BI487,0)</f>
        <v>0</v>
      </c>
      <c r="AF487" s="38">
        <f>IF(AQ487="2",BH487,0)</f>
        <v>0</v>
      </c>
      <c r="AG487" s="38">
        <f>IF(AQ487="2",BI487,0)</f>
        <v>0</v>
      </c>
      <c r="AH487" s="38">
        <f>IF(AQ487="0",BJ487,0)</f>
        <v>0</v>
      </c>
      <c r="AI487" s="50" t="s">
        <v>84</v>
      </c>
      <c r="AJ487" s="38">
        <f>IF(AN487=0,I487,0)</f>
        <v>0</v>
      </c>
      <c r="AK487" s="38">
        <f>IF(AN487=12,I487,0)</f>
        <v>0</v>
      </c>
      <c r="AL487" s="38">
        <f>IF(AN487=21,I487,0)</f>
        <v>0</v>
      </c>
      <c r="AN487" s="38">
        <v>21</v>
      </c>
      <c r="AO487" s="38">
        <f>H487*0.05145679</f>
        <v>0</v>
      </c>
      <c r="AP487" s="38">
        <f>H487*(1-0.05145679)</f>
        <v>0</v>
      </c>
      <c r="AQ487" s="72" t="s">
        <v>169</v>
      </c>
      <c r="AV487" s="38">
        <f>AW487+AX487</f>
        <v>0</v>
      </c>
      <c r="AW487" s="38">
        <f>G487*AO487</f>
        <v>0</v>
      </c>
      <c r="AX487" s="38">
        <f>G487*AP487</f>
        <v>0</v>
      </c>
      <c r="AY487" s="72" t="s">
        <v>989</v>
      </c>
      <c r="AZ487" s="72" t="s">
        <v>990</v>
      </c>
      <c r="BA487" s="50" t="s">
        <v>139</v>
      </c>
      <c r="BB487" s="73">
        <v>100012</v>
      </c>
      <c r="BC487" s="38">
        <f>AW487+AX487</f>
        <v>0</v>
      </c>
      <c r="BD487" s="38">
        <f>H487/(100-BE487)*100</f>
        <v>0</v>
      </c>
      <c r="BE487" s="38">
        <v>0</v>
      </c>
      <c r="BF487" s="38">
        <f>K487</f>
        <v>0.080388</v>
      </c>
      <c r="BH487" s="38">
        <f>G487*AO487</f>
        <v>0</v>
      </c>
      <c r="BI487" s="38">
        <f>G487*AP487</f>
        <v>0</v>
      </c>
      <c r="BJ487" s="38">
        <f>G487*H487</f>
        <v>0</v>
      </c>
      <c r="BK487" s="38"/>
      <c r="BL487" s="38">
        <v>762</v>
      </c>
      <c r="BW487" s="38">
        <v>21</v>
      </c>
    </row>
    <row r="488" spans="1:12" ht="15">
      <c r="A488" s="74"/>
      <c r="D488" s="75" t="s">
        <v>991</v>
      </c>
      <c r="E488" s="75" t="s">
        <v>992</v>
      </c>
      <c r="G488" s="76">
        <v>30.1</v>
      </c>
      <c r="L488" s="77"/>
    </row>
    <row r="489" spans="1:12" ht="15">
      <c r="A489" s="74"/>
      <c r="D489" s="75" t="s">
        <v>993</v>
      </c>
      <c r="E489" s="75" t="s">
        <v>994</v>
      </c>
      <c r="G489" s="76">
        <v>51.1</v>
      </c>
      <c r="L489" s="77"/>
    </row>
    <row r="490" spans="1:75" ht="13.5" customHeight="1">
      <c r="A490" s="78" t="s">
        <v>995</v>
      </c>
      <c r="B490" s="79" t="s">
        <v>84</v>
      </c>
      <c r="C490" s="79" t="s">
        <v>996</v>
      </c>
      <c r="D490" s="198" t="s">
        <v>997</v>
      </c>
      <c r="E490" s="199"/>
      <c r="F490" s="79" t="s">
        <v>135</v>
      </c>
      <c r="G490" s="80">
        <f>'Stavební rozpočet'!G490</f>
        <v>0.88</v>
      </c>
      <c r="H490" s="80">
        <f>'Stavební rozpočet'!H490</f>
        <v>0</v>
      </c>
      <c r="I490" s="80">
        <f>G490*H490</f>
        <v>0</v>
      </c>
      <c r="J490" s="80">
        <f>'Stavební rozpočet'!J490</f>
        <v>0.55</v>
      </c>
      <c r="K490" s="80">
        <f>G490*J490</f>
        <v>0.48400000000000004</v>
      </c>
      <c r="L490" s="82" t="s">
        <v>136</v>
      </c>
      <c r="Z490" s="38">
        <f>IF(AQ490="5",BJ490,0)</f>
        <v>0</v>
      </c>
      <c r="AB490" s="38">
        <f>IF(AQ490="1",BH490,0)</f>
        <v>0</v>
      </c>
      <c r="AC490" s="38">
        <f>IF(AQ490="1",BI490,0)</f>
        <v>0</v>
      </c>
      <c r="AD490" s="38">
        <f>IF(AQ490="7",BH490,0)</f>
        <v>0</v>
      </c>
      <c r="AE490" s="38">
        <f>IF(AQ490="7",BI490,0)</f>
        <v>0</v>
      </c>
      <c r="AF490" s="38">
        <f>IF(AQ490="2",BH490,0)</f>
        <v>0</v>
      </c>
      <c r="AG490" s="38">
        <f>IF(AQ490="2",BI490,0)</f>
        <v>0</v>
      </c>
      <c r="AH490" s="38">
        <f>IF(AQ490="0",BJ490,0)</f>
        <v>0</v>
      </c>
      <c r="AI490" s="50" t="s">
        <v>84</v>
      </c>
      <c r="AJ490" s="80">
        <f>IF(AN490=0,I490,0)</f>
        <v>0</v>
      </c>
      <c r="AK490" s="80">
        <f>IF(AN490=12,I490,0)</f>
        <v>0</v>
      </c>
      <c r="AL490" s="80">
        <f>IF(AN490=21,I490,0)</f>
        <v>0</v>
      </c>
      <c r="AN490" s="38">
        <v>21</v>
      </c>
      <c r="AO490" s="38">
        <f>H490*1</f>
        <v>0</v>
      </c>
      <c r="AP490" s="38">
        <f>H490*(1-1)</f>
        <v>0</v>
      </c>
      <c r="AQ490" s="83" t="s">
        <v>169</v>
      </c>
      <c r="AV490" s="38">
        <f>AW490+AX490</f>
        <v>0</v>
      </c>
      <c r="AW490" s="38">
        <f>G490*AO490</f>
        <v>0</v>
      </c>
      <c r="AX490" s="38">
        <f>G490*AP490</f>
        <v>0</v>
      </c>
      <c r="AY490" s="72" t="s">
        <v>989</v>
      </c>
      <c r="AZ490" s="72" t="s">
        <v>990</v>
      </c>
      <c r="BA490" s="50" t="s">
        <v>139</v>
      </c>
      <c r="BC490" s="38">
        <f>AW490+AX490</f>
        <v>0</v>
      </c>
      <c r="BD490" s="38">
        <f>H490/(100-BE490)*100</f>
        <v>0</v>
      </c>
      <c r="BE490" s="38">
        <v>0</v>
      </c>
      <c r="BF490" s="38">
        <f>K490</f>
        <v>0.48400000000000004</v>
      </c>
      <c r="BH490" s="80">
        <f>G490*AO490</f>
        <v>0</v>
      </c>
      <c r="BI490" s="80">
        <f>G490*AP490</f>
        <v>0</v>
      </c>
      <c r="BJ490" s="80">
        <f>G490*H490</f>
        <v>0</v>
      </c>
      <c r="BK490" s="80"/>
      <c r="BL490" s="38">
        <v>762</v>
      </c>
      <c r="BW490" s="38">
        <v>21</v>
      </c>
    </row>
    <row r="491" spans="1:12" ht="15">
      <c r="A491" s="74"/>
      <c r="D491" s="75" t="s">
        <v>998</v>
      </c>
      <c r="E491" s="75" t="s">
        <v>4</v>
      </c>
      <c r="G491" s="76">
        <v>0.8</v>
      </c>
      <c r="L491" s="77"/>
    </row>
    <row r="492" spans="1:12" ht="15">
      <c r="A492" s="74"/>
      <c r="D492" s="75" t="s">
        <v>999</v>
      </c>
      <c r="E492" s="75" t="s">
        <v>4</v>
      </c>
      <c r="G492" s="76">
        <v>0.08</v>
      </c>
      <c r="L492" s="77"/>
    </row>
    <row r="493" spans="1:75" ht="13.5" customHeight="1">
      <c r="A493" s="1" t="s">
        <v>1000</v>
      </c>
      <c r="B493" s="2" t="s">
        <v>84</v>
      </c>
      <c r="C493" s="2" t="s">
        <v>1001</v>
      </c>
      <c r="D493" s="108" t="s">
        <v>1002</v>
      </c>
      <c r="E493" s="103"/>
      <c r="F493" s="2" t="s">
        <v>263</v>
      </c>
      <c r="G493" s="38">
        <f>'Stavební rozpočet'!G493</f>
        <v>26.1</v>
      </c>
      <c r="H493" s="38">
        <f>'Stavební rozpočet'!H493</f>
        <v>0</v>
      </c>
      <c r="I493" s="38">
        <f>G493*H493</f>
        <v>0</v>
      </c>
      <c r="J493" s="38">
        <f>'Stavební rozpočet'!J493</f>
        <v>0.01452</v>
      </c>
      <c r="K493" s="38">
        <f>G493*J493</f>
        <v>0.37897200000000003</v>
      </c>
      <c r="L493" s="71" t="s">
        <v>136</v>
      </c>
      <c r="Z493" s="38">
        <f>IF(AQ493="5",BJ493,0)</f>
        <v>0</v>
      </c>
      <c r="AB493" s="38">
        <f>IF(AQ493="1",BH493,0)</f>
        <v>0</v>
      </c>
      <c r="AC493" s="38">
        <f>IF(AQ493="1",BI493,0)</f>
        <v>0</v>
      </c>
      <c r="AD493" s="38">
        <f>IF(AQ493="7",BH493,0)</f>
        <v>0</v>
      </c>
      <c r="AE493" s="38">
        <f>IF(AQ493="7",BI493,0)</f>
        <v>0</v>
      </c>
      <c r="AF493" s="38">
        <f>IF(AQ493="2",BH493,0)</f>
        <v>0</v>
      </c>
      <c r="AG493" s="38">
        <f>IF(AQ493="2",BI493,0)</f>
        <v>0</v>
      </c>
      <c r="AH493" s="38">
        <f>IF(AQ493="0",BJ493,0)</f>
        <v>0</v>
      </c>
      <c r="AI493" s="50" t="s">
        <v>84</v>
      </c>
      <c r="AJ493" s="38">
        <f>IF(AN493=0,I493,0)</f>
        <v>0</v>
      </c>
      <c r="AK493" s="38">
        <f>IF(AN493=12,I493,0)</f>
        <v>0</v>
      </c>
      <c r="AL493" s="38">
        <f>IF(AN493=21,I493,0)</f>
        <v>0</v>
      </c>
      <c r="AN493" s="38">
        <v>21</v>
      </c>
      <c r="AO493" s="38">
        <f>H493*0.5754086</f>
        <v>0</v>
      </c>
      <c r="AP493" s="38">
        <f>H493*(1-0.5754086)</f>
        <v>0</v>
      </c>
      <c r="AQ493" s="72" t="s">
        <v>169</v>
      </c>
      <c r="AV493" s="38">
        <f>AW493+AX493</f>
        <v>0</v>
      </c>
      <c r="AW493" s="38">
        <f>G493*AO493</f>
        <v>0</v>
      </c>
      <c r="AX493" s="38">
        <f>G493*AP493</f>
        <v>0</v>
      </c>
      <c r="AY493" s="72" t="s">
        <v>989</v>
      </c>
      <c r="AZ493" s="72" t="s">
        <v>990</v>
      </c>
      <c r="BA493" s="50" t="s">
        <v>139</v>
      </c>
      <c r="BB493" s="73">
        <v>100012</v>
      </c>
      <c r="BC493" s="38">
        <f>AW493+AX493</f>
        <v>0</v>
      </c>
      <c r="BD493" s="38">
        <f>H493/(100-BE493)*100</f>
        <v>0</v>
      </c>
      <c r="BE493" s="38">
        <v>0</v>
      </c>
      <c r="BF493" s="38">
        <f>K493</f>
        <v>0.37897200000000003</v>
      </c>
      <c r="BH493" s="38">
        <f>G493*AO493</f>
        <v>0</v>
      </c>
      <c r="BI493" s="38">
        <f>G493*AP493</f>
        <v>0</v>
      </c>
      <c r="BJ493" s="38">
        <f>G493*H493</f>
        <v>0</v>
      </c>
      <c r="BK493" s="38"/>
      <c r="BL493" s="38">
        <v>762</v>
      </c>
      <c r="BW493" s="38">
        <v>21</v>
      </c>
    </row>
    <row r="494" spans="1:12" ht="13.5" customHeight="1">
      <c r="A494" s="74"/>
      <c r="D494" s="194" t="s">
        <v>1003</v>
      </c>
      <c r="E494" s="195"/>
      <c r="F494" s="195"/>
      <c r="G494" s="195"/>
      <c r="H494" s="195"/>
      <c r="I494" s="195"/>
      <c r="J494" s="195"/>
      <c r="K494" s="195"/>
      <c r="L494" s="197"/>
    </row>
    <row r="495" spans="1:12" ht="15">
      <c r="A495" s="74"/>
      <c r="D495" s="75" t="s">
        <v>877</v>
      </c>
      <c r="E495" s="75" t="s">
        <v>266</v>
      </c>
      <c r="G495" s="76">
        <v>26.1</v>
      </c>
      <c r="L495" s="77"/>
    </row>
    <row r="496" spans="1:75" ht="13.5" customHeight="1">
      <c r="A496" s="1" t="s">
        <v>1004</v>
      </c>
      <c r="B496" s="2" t="s">
        <v>84</v>
      </c>
      <c r="C496" s="2" t="s">
        <v>1005</v>
      </c>
      <c r="D496" s="108" t="s">
        <v>1006</v>
      </c>
      <c r="E496" s="103"/>
      <c r="F496" s="2" t="s">
        <v>135</v>
      </c>
      <c r="G496" s="38">
        <f>'Stavební rozpočet'!G496</f>
        <v>1.45</v>
      </c>
      <c r="H496" s="38">
        <f>'Stavební rozpočet'!H496</f>
        <v>0</v>
      </c>
      <c r="I496" s="38">
        <f>G496*H496</f>
        <v>0</v>
      </c>
      <c r="J496" s="38">
        <f>'Stavební rozpočet'!J496</f>
        <v>0.02357</v>
      </c>
      <c r="K496" s="38">
        <f>G496*J496</f>
        <v>0.0341765</v>
      </c>
      <c r="L496" s="71" t="s">
        <v>136</v>
      </c>
      <c r="Z496" s="38">
        <f>IF(AQ496="5",BJ496,0)</f>
        <v>0</v>
      </c>
      <c r="AB496" s="38">
        <f>IF(AQ496="1",BH496,0)</f>
        <v>0</v>
      </c>
      <c r="AC496" s="38">
        <f>IF(AQ496="1",BI496,0)</f>
        <v>0</v>
      </c>
      <c r="AD496" s="38">
        <f>IF(AQ496="7",BH496,0)</f>
        <v>0</v>
      </c>
      <c r="AE496" s="38">
        <f>IF(AQ496="7",BI496,0)</f>
        <v>0</v>
      </c>
      <c r="AF496" s="38">
        <f>IF(AQ496="2",BH496,0)</f>
        <v>0</v>
      </c>
      <c r="AG496" s="38">
        <f>IF(AQ496="2",BI496,0)</f>
        <v>0</v>
      </c>
      <c r="AH496" s="38">
        <f>IF(AQ496="0",BJ496,0)</f>
        <v>0</v>
      </c>
      <c r="AI496" s="50" t="s">
        <v>84</v>
      </c>
      <c r="AJ496" s="38">
        <f>IF(AN496=0,I496,0)</f>
        <v>0</v>
      </c>
      <c r="AK496" s="38">
        <f>IF(AN496=12,I496,0)</f>
        <v>0</v>
      </c>
      <c r="AL496" s="38">
        <f>IF(AN496=21,I496,0)</f>
        <v>0</v>
      </c>
      <c r="AN496" s="38">
        <v>21</v>
      </c>
      <c r="AO496" s="38">
        <f>H496*0.999876674</f>
        <v>0</v>
      </c>
      <c r="AP496" s="38">
        <f>H496*(1-0.999876674)</f>
        <v>0</v>
      </c>
      <c r="AQ496" s="72" t="s">
        <v>169</v>
      </c>
      <c r="AV496" s="38">
        <f>AW496+AX496</f>
        <v>0</v>
      </c>
      <c r="AW496" s="38">
        <f>G496*AO496</f>
        <v>0</v>
      </c>
      <c r="AX496" s="38">
        <f>G496*AP496</f>
        <v>0</v>
      </c>
      <c r="AY496" s="72" t="s">
        <v>989</v>
      </c>
      <c r="AZ496" s="72" t="s">
        <v>990</v>
      </c>
      <c r="BA496" s="50" t="s">
        <v>139</v>
      </c>
      <c r="BB496" s="73">
        <v>100012</v>
      </c>
      <c r="BC496" s="38">
        <f>AW496+AX496</f>
        <v>0</v>
      </c>
      <c r="BD496" s="38">
        <f>H496/(100-BE496)*100</f>
        <v>0</v>
      </c>
      <c r="BE496" s="38">
        <v>0</v>
      </c>
      <c r="BF496" s="38">
        <f>K496</f>
        <v>0.0341765</v>
      </c>
      <c r="BH496" s="38">
        <f>G496*AO496</f>
        <v>0</v>
      </c>
      <c r="BI496" s="38">
        <f>G496*AP496</f>
        <v>0</v>
      </c>
      <c r="BJ496" s="38">
        <f>G496*H496</f>
        <v>0</v>
      </c>
      <c r="BK496" s="38"/>
      <c r="BL496" s="38">
        <v>762</v>
      </c>
      <c r="BW496" s="38">
        <v>21</v>
      </c>
    </row>
    <row r="497" spans="1:12" ht="15">
      <c r="A497" s="74"/>
      <c r="D497" s="75" t="s">
        <v>998</v>
      </c>
      <c r="E497" s="75" t="s">
        <v>1007</v>
      </c>
      <c r="G497" s="76">
        <v>0.8</v>
      </c>
      <c r="L497" s="77"/>
    </row>
    <row r="498" spans="1:12" ht="15">
      <c r="A498" s="74"/>
      <c r="D498" s="75" t="s">
        <v>1008</v>
      </c>
      <c r="E498" s="75" t="s">
        <v>1009</v>
      </c>
      <c r="G498" s="76">
        <v>0.65</v>
      </c>
      <c r="L498" s="77"/>
    </row>
    <row r="499" spans="1:75" ht="13.5" customHeight="1">
      <c r="A499" s="1" t="s">
        <v>1010</v>
      </c>
      <c r="B499" s="2" t="s">
        <v>84</v>
      </c>
      <c r="C499" s="2" t="s">
        <v>1011</v>
      </c>
      <c r="D499" s="108" t="s">
        <v>1012</v>
      </c>
      <c r="E499" s="103"/>
      <c r="F499" s="2" t="s">
        <v>189</v>
      </c>
      <c r="G499" s="38">
        <f>'Stavební rozpočet'!G499</f>
        <v>0.98</v>
      </c>
      <c r="H499" s="38">
        <f>'Stavební rozpočet'!H499</f>
        <v>0</v>
      </c>
      <c r="I499" s="38">
        <f>G499*H499</f>
        <v>0</v>
      </c>
      <c r="J499" s="38">
        <f>'Stavební rozpočet'!J499</f>
        <v>0</v>
      </c>
      <c r="K499" s="38">
        <f>G499*J499</f>
        <v>0</v>
      </c>
      <c r="L499" s="71" t="s">
        <v>136</v>
      </c>
      <c r="Z499" s="38">
        <f>IF(AQ499="5",BJ499,0)</f>
        <v>0</v>
      </c>
      <c r="AB499" s="38">
        <f>IF(AQ499="1",BH499,0)</f>
        <v>0</v>
      </c>
      <c r="AC499" s="38">
        <f>IF(AQ499="1",BI499,0)</f>
        <v>0</v>
      </c>
      <c r="AD499" s="38">
        <f>IF(AQ499="7",BH499,0)</f>
        <v>0</v>
      </c>
      <c r="AE499" s="38">
        <f>IF(AQ499="7",BI499,0)</f>
        <v>0</v>
      </c>
      <c r="AF499" s="38">
        <f>IF(AQ499="2",BH499,0)</f>
        <v>0</v>
      </c>
      <c r="AG499" s="38">
        <f>IF(AQ499="2",BI499,0)</f>
        <v>0</v>
      </c>
      <c r="AH499" s="38">
        <f>IF(AQ499="0",BJ499,0)</f>
        <v>0</v>
      </c>
      <c r="AI499" s="50" t="s">
        <v>84</v>
      </c>
      <c r="AJ499" s="38">
        <f>IF(AN499=0,I499,0)</f>
        <v>0</v>
      </c>
      <c r="AK499" s="38">
        <f>IF(AN499=12,I499,0)</f>
        <v>0</v>
      </c>
      <c r="AL499" s="38">
        <f>IF(AN499=21,I499,0)</f>
        <v>0</v>
      </c>
      <c r="AN499" s="38">
        <v>21</v>
      </c>
      <c r="AO499" s="38">
        <f>H499*0</f>
        <v>0</v>
      </c>
      <c r="AP499" s="38">
        <f>H499*(1-0)</f>
        <v>0</v>
      </c>
      <c r="AQ499" s="72" t="s">
        <v>162</v>
      </c>
      <c r="AV499" s="38">
        <f>AW499+AX499</f>
        <v>0</v>
      </c>
      <c r="AW499" s="38">
        <f>G499*AO499</f>
        <v>0</v>
      </c>
      <c r="AX499" s="38">
        <f>G499*AP499</f>
        <v>0</v>
      </c>
      <c r="AY499" s="72" t="s">
        <v>989</v>
      </c>
      <c r="AZ499" s="72" t="s">
        <v>990</v>
      </c>
      <c r="BA499" s="50" t="s">
        <v>139</v>
      </c>
      <c r="BC499" s="38">
        <f>AW499+AX499</f>
        <v>0</v>
      </c>
      <c r="BD499" s="38">
        <f>H499/(100-BE499)*100</f>
        <v>0</v>
      </c>
      <c r="BE499" s="38">
        <v>0</v>
      </c>
      <c r="BF499" s="38">
        <f>K499</f>
        <v>0</v>
      </c>
      <c r="BH499" s="38">
        <f>G499*AO499</f>
        <v>0</v>
      </c>
      <c r="BI499" s="38">
        <f>G499*AP499</f>
        <v>0</v>
      </c>
      <c r="BJ499" s="38">
        <f>G499*H499</f>
        <v>0</v>
      </c>
      <c r="BK499" s="38"/>
      <c r="BL499" s="38">
        <v>762</v>
      </c>
      <c r="BW499" s="38">
        <v>21</v>
      </c>
    </row>
    <row r="500" spans="1:12" ht="15">
      <c r="A500" s="74"/>
      <c r="D500" s="75" t="s">
        <v>1013</v>
      </c>
      <c r="E500" s="75" t="s">
        <v>4</v>
      </c>
      <c r="G500" s="76">
        <v>0.98</v>
      </c>
      <c r="L500" s="77"/>
    </row>
    <row r="501" spans="1:47" ht="15">
      <c r="A501" s="65" t="s">
        <v>4</v>
      </c>
      <c r="B501" s="66" t="s">
        <v>84</v>
      </c>
      <c r="C501" s="66" t="s">
        <v>1014</v>
      </c>
      <c r="D501" s="192" t="s">
        <v>1015</v>
      </c>
      <c r="E501" s="193"/>
      <c r="F501" s="67" t="s">
        <v>78</v>
      </c>
      <c r="G501" s="67" t="s">
        <v>78</v>
      </c>
      <c r="H501" s="67" t="s">
        <v>78</v>
      </c>
      <c r="I501" s="44">
        <f>SUM(I502:I541)</f>
        <v>0</v>
      </c>
      <c r="J501" s="50" t="s">
        <v>4</v>
      </c>
      <c r="K501" s="44">
        <f>SUM(K502:K541)</f>
        <v>0.123746</v>
      </c>
      <c r="L501" s="69" t="s">
        <v>4</v>
      </c>
      <c r="AI501" s="50" t="s">
        <v>84</v>
      </c>
      <c r="AS501" s="44">
        <f>SUM(AJ502:AJ541)</f>
        <v>0</v>
      </c>
      <c r="AT501" s="44">
        <f>SUM(AK502:AK541)</f>
        <v>0</v>
      </c>
      <c r="AU501" s="44">
        <f>SUM(AL502:AL541)</f>
        <v>0</v>
      </c>
    </row>
    <row r="502" spans="1:75" ht="13.5" customHeight="1">
      <c r="A502" s="1" t="s">
        <v>1016</v>
      </c>
      <c r="B502" s="2" t="s">
        <v>84</v>
      </c>
      <c r="C502" s="2" t="s">
        <v>1017</v>
      </c>
      <c r="D502" s="108" t="s">
        <v>1018</v>
      </c>
      <c r="E502" s="103"/>
      <c r="F502" s="2" t="s">
        <v>263</v>
      </c>
      <c r="G502" s="38">
        <f>'Stavební rozpočet'!G502</f>
        <v>28.15</v>
      </c>
      <c r="H502" s="38">
        <f>'Stavební rozpočet'!H502</f>
        <v>0</v>
      </c>
      <c r="I502" s="38">
        <f>G502*H502</f>
        <v>0</v>
      </c>
      <c r="J502" s="38">
        <f>'Stavební rozpočet'!J502</f>
        <v>0.00225</v>
      </c>
      <c r="K502" s="38">
        <f>G502*J502</f>
        <v>0.06333749999999999</v>
      </c>
      <c r="L502" s="71" t="s">
        <v>136</v>
      </c>
      <c r="Z502" s="38">
        <f>IF(AQ502="5",BJ502,0)</f>
        <v>0</v>
      </c>
      <c r="AB502" s="38">
        <f>IF(AQ502="1",BH502,0)</f>
        <v>0</v>
      </c>
      <c r="AC502" s="38">
        <f>IF(AQ502="1",BI502,0)</f>
        <v>0</v>
      </c>
      <c r="AD502" s="38">
        <f>IF(AQ502="7",BH502,0)</f>
        <v>0</v>
      </c>
      <c r="AE502" s="38">
        <f>IF(AQ502="7",BI502,0)</f>
        <v>0</v>
      </c>
      <c r="AF502" s="38">
        <f>IF(AQ502="2",BH502,0)</f>
        <v>0</v>
      </c>
      <c r="AG502" s="38">
        <f>IF(AQ502="2",BI502,0)</f>
        <v>0</v>
      </c>
      <c r="AH502" s="38">
        <f>IF(AQ502="0",BJ502,0)</f>
        <v>0</v>
      </c>
      <c r="AI502" s="50" t="s">
        <v>84</v>
      </c>
      <c r="AJ502" s="38">
        <f>IF(AN502=0,I502,0)</f>
        <v>0</v>
      </c>
      <c r="AK502" s="38">
        <f>IF(AN502=12,I502,0)</f>
        <v>0</v>
      </c>
      <c r="AL502" s="38">
        <f>IF(AN502=21,I502,0)</f>
        <v>0</v>
      </c>
      <c r="AN502" s="38">
        <v>21</v>
      </c>
      <c r="AO502" s="38">
        <f>H502*0.465606365</f>
        <v>0</v>
      </c>
      <c r="AP502" s="38">
        <f>H502*(1-0.465606365)</f>
        <v>0</v>
      </c>
      <c r="AQ502" s="72" t="s">
        <v>169</v>
      </c>
      <c r="AV502" s="38">
        <f>AW502+AX502</f>
        <v>0</v>
      </c>
      <c r="AW502" s="38">
        <f>G502*AO502</f>
        <v>0</v>
      </c>
      <c r="AX502" s="38">
        <f>G502*AP502</f>
        <v>0</v>
      </c>
      <c r="AY502" s="72" t="s">
        <v>1019</v>
      </c>
      <c r="AZ502" s="72" t="s">
        <v>990</v>
      </c>
      <c r="BA502" s="50" t="s">
        <v>139</v>
      </c>
      <c r="BB502" s="73">
        <v>100035</v>
      </c>
      <c r="BC502" s="38">
        <f>AW502+AX502</f>
        <v>0</v>
      </c>
      <c r="BD502" s="38">
        <f>H502/(100-BE502)*100</f>
        <v>0</v>
      </c>
      <c r="BE502" s="38">
        <v>0</v>
      </c>
      <c r="BF502" s="38">
        <f>K502</f>
        <v>0.06333749999999999</v>
      </c>
      <c r="BH502" s="38">
        <f>G502*AO502</f>
        <v>0</v>
      </c>
      <c r="BI502" s="38">
        <f>G502*AP502</f>
        <v>0</v>
      </c>
      <c r="BJ502" s="38">
        <f>G502*H502</f>
        <v>0</v>
      </c>
      <c r="BK502" s="38"/>
      <c r="BL502" s="38">
        <v>764</v>
      </c>
      <c r="BW502" s="38">
        <v>21</v>
      </c>
    </row>
    <row r="503" spans="1:12" ht="15">
      <c r="A503" s="74"/>
      <c r="D503" s="75" t="s">
        <v>877</v>
      </c>
      <c r="E503" s="75" t="s">
        <v>1020</v>
      </c>
      <c r="G503" s="76">
        <v>26.1</v>
      </c>
      <c r="L503" s="77"/>
    </row>
    <row r="504" spans="1:12" ht="15">
      <c r="A504" s="74"/>
      <c r="D504" s="75" t="s">
        <v>879</v>
      </c>
      <c r="E504" s="75" t="s">
        <v>1021</v>
      </c>
      <c r="G504" s="76">
        <v>2.05</v>
      </c>
      <c r="L504" s="77"/>
    </row>
    <row r="505" spans="1:75" ht="13.5" customHeight="1">
      <c r="A505" s="1" t="s">
        <v>1022</v>
      </c>
      <c r="B505" s="2" t="s">
        <v>84</v>
      </c>
      <c r="C505" s="2" t="s">
        <v>1023</v>
      </c>
      <c r="D505" s="108" t="s">
        <v>1024</v>
      </c>
      <c r="E505" s="103"/>
      <c r="F505" s="2" t="s">
        <v>214</v>
      </c>
      <c r="G505" s="38">
        <f>'Stavební rozpočet'!G505</f>
        <v>2.3</v>
      </c>
      <c r="H505" s="38">
        <f>'Stavební rozpočet'!H505</f>
        <v>0</v>
      </c>
      <c r="I505" s="38">
        <f>G505*H505</f>
        <v>0</v>
      </c>
      <c r="J505" s="38">
        <f>'Stavební rozpočet'!J505</f>
        <v>0.00073</v>
      </c>
      <c r="K505" s="38">
        <f>G505*J505</f>
        <v>0.0016789999999999997</v>
      </c>
      <c r="L505" s="71" t="s">
        <v>136</v>
      </c>
      <c r="Z505" s="38">
        <f>IF(AQ505="5",BJ505,0)</f>
        <v>0</v>
      </c>
      <c r="AB505" s="38">
        <f>IF(AQ505="1",BH505,0)</f>
        <v>0</v>
      </c>
      <c r="AC505" s="38">
        <f>IF(AQ505="1",BI505,0)</f>
        <v>0</v>
      </c>
      <c r="AD505" s="38">
        <f>IF(AQ505="7",BH505,0)</f>
        <v>0</v>
      </c>
      <c r="AE505" s="38">
        <f>IF(AQ505="7",BI505,0)</f>
        <v>0</v>
      </c>
      <c r="AF505" s="38">
        <f>IF(AQ505="2",BH505,0)</f>
        <v>0</v>
      </c>
      <c r="AG505" s="38">
        <f>IF(AQ505="2",BI505,0)</f>
        <v>0</v>
      </c>
      <c r="AH505" s="38">
        <f>IF(AQ505="0",BJ505,0)</f>
        <v>0</v>
      </c>
      <c r="AI505" s="50" t="s">
        <v>84</v>
      </c>
      <c r="AJ505" s="38">
        <f>IF(AN505=0,I505,0)</f>
        <v>0</v>
      </c>
      <c r="AK505" s="38">
        <f>IF(AN505=12,I505,0)</f>
        <v>0</v>
      </c>
      <c r="AL505" s="38">
        <f>IF(AN505=21,I505,0)</f>
        <v>0</v>
      </c>
      <c r="AN505" s="38">
        <v>21</v>
      </c>
      <c r="AO505" s="38">
        <f>H505*0.638843049</f>
        <v>0</v>
      </c>
      <c r="AP505" s="38">
        <f>H505*(1-0.638843049)</f>
        <v>0</v>
      </c>
      <c r="AQ505" s="72" t="s">
        <v>169</v>
      </c>
      <c r="AV505" s="38">
        <f>AW505+AX505</f>
        <v>0</v>
      </c>
      <c r="AW505" s="38">
        <f>G505*AO505</f>
        <v>0</v>
      </c>
      <c r="AX505" s="38">
        <f>G505*AP505</f>
        <v>0</v>
      </c>
      <c r="AY505" s="72" t="s">
        <v>1019</v>
      </c>
      <c r="AZ505" s="72" t="s">
        <v>990</v>
      </c>
      <c r="BA505" s="50" t="s">
        <v>139</v>
      </c>
      <c r="BB505" s="73">
        <v>100035</v>
      </c>
      <c r="BC505" s="38">
        <f>AW505+AX505</f>
        <v>0</v>
      </c>
      <c r="BD505" s="38">
        <f>H505/(100-BE505)*100</f>
        <v>0</v>
      </c>
      <c r="BE505" s="38">
        <v>0</v>
      </c>
      <c r="BF505" s="38">
        <f>K505</f>
        <v>0.0016789999999999997</v>
      </c>
      <c r="BH505" s="38">
        <f>G505*AO505</f>
        <v>0</v>
      </c>
      <c r="BI505" s="38">
        <f>G505*AP505</f>
        <v>0</v>
      </c>
      <c r="BJ505" s="38">
        <f>G505*H505</f>
        <v>0</v>
      </c>
      <c r="BK505" s="38"/>
      <c r="BL505" s="38">
        <v>764</v>
      </c>
      <c r="BW505" s="38">
        <v>21</v>
      </c>
    </row>
    <row r="506" spans="1:12" ht="13.5" customHeight="1">
      <c r="A506" s="74"/>
      <c r="D506" s="194" t="s">
        <v>1025</v>
      </c>
      <c r="E506" s="195"/>
      <c r="F506" s="195"/>
      <c r="G506" s="195"/>
      <c r="H506" s="195"/>
      <c r="I506" s="195"/>
      <c r="J506" s="195"/>
      <c r="K506" s="195"/>
      <c r="L506" s="197"/>
    </row>
    <row r="507" spans="1:12" ht="15">
      <c r="A507" s="74"/>
      <c r="D507" s="75" t="s">
        <v>1026</v>
      </c>
      <c r="E507" s="75" t="s">
        <v>4</v>
      </c>
      <c r="G507" s="76">
        <v>2.3</v>
      </c>
      <c r="L507" s="77"/>
    </row>
    <row r="508" spans="1:75" ht="27" customHeight="1">
      <c r="A508" s="1" t="s">
        <v>1027</v>
      </c>
      <c r="B508" s="2" t="s">
        <v>84</v>
      </c>
      <c r="C508" s="2" t="s">
        <v>1028</v>
      </c>
      <c r="D508" s="108" t="s">
        <v>1029</v>
      </c>
      <c r="E508" s="103"/>
      <c r="F508" s="2" t="s">
        <v>214</v>
      </c>
      <c r="G508" s="38">
        <f>'Stavební rozpočet'!G508</f>
        <v>15.1</v>
      </c>
      <c r="H508" s="38">
        <f>'Stavební rozpočet'!H508</f>
        <v>0</v>
      </c>
      <c r="I508" s="38">
        <f>G508*H508</f>
        <v>0</v>
      </c>
      <c r="J508" s="38">
        <f>'Stavební rozpočet'!J508</f>
        <v>0.00088</v>
      </c>
      <c r="K508" s="38">
        <f>G508*J508</f>
        <v>0.013288</v>
      </c>
      <c r="L508" s="71" t="s">
        <v>1030</v>
      </c>
      <c r="Z508" s="38">
        <f>IF(AQ508="5",BJ508,0)</f>
        <v>0</v>
      </c>
      <c r="AB508" s="38">
        <f>IF(AQ508="1",BH508,0)</f>
        <v>0</v>
      </c>
      <c r="AC508" s="38">
        <f>IF(AQ508="1",BI508,0)</f>
        <v>0</v>
      </c>
      <c r="AD508" s="38">
        <f>IF(AQ508="7",BH508,0)</f>
        <v>0</v>
      </c>
      <c r="AE508" s="38">
        <f>IF(AQ508="7",BI508,0)</f>
        <v>0</v>
      </c>
      <c r="AF508" s="38">
        <f>IF(AQ508="2",BH508,0)</f>
        <v>0</v>
      </c>
      <c r="AG508" s="38">
        <f>IF(AQ508="2",BI508,0)</f>
        <v>0</v>
      </c>
      <c r="AH508" s="38">
        <f>IF(AQ508="0",BJ508,0)</f>
        <v>0</v>
      </c>
      <c r="AI508" s="50" t="s">
        <v>84</v>
      </c>
      <c r="AJ508" s="38">
        <f>IF(AN508=0,I508,0)</f>
        <v>0</v>
      </c>
      <c r="AK508" s="38">
        <f>IF(AN508=12,I508,0)</f>
        <v>0</v>
      </c>
      <c r="AL508" s="38">
        <f>IF(AN508=21,I508,0)</f>
        <v>0</v>
      </c>
      <c r="AN508" s="38">
        <v>21</v>
      </c>
      <c r="AO508" s="38">
        <f>H508*0.6191</f>
        <v>0</v>
      </c>
      <c r="AP508" s="38">
        <f>H508*(1-0.6191)</f>
        <v>0</v>
      </c>
      <c r="AQ508" s="72" t="s">
        <v>169</v>
      </c>
      <c r="AV508" s="38">
        <f>AW508+AX508</f>
        <v>0</v>
      </c>
      <c r="AW508" s="38">
        <f>G508*AO508</f>
        <v>0</v>
      </c>
      <c r="AX508" s="38">
        <f>G508*AP508</f>
        <v>0</v>
      </c>
      <c r="AY508" s="72" t="s">
        <v>1019</v>
      </c>
      <c r="AZ508" s="72" t="s">
        <v>990</v>
      </c>
      <c r="BA508" s="50" t="s">
        <v>139</v>
      </c>
      <c r="BB508" s="73">
        <v>100035</v>
      </c>
      <c r="BC508" s="38">
        <f>AW508+AX508</f>
        <v>0</v>
      </c>
      <c r="BD508" s="38">
        <f>H508/(100-BE508)*100</f>
        <v>0</v>
      </c>
      <c r="BE508" s="38">
        <v>0</v>
      </c>
      <c r="BF508" s="38">
        <f>K508</f>
        <v>0.013288</v>
      </c>
      <c r="BH508" s="38">
        <f>G508*AO508</f>
        <v>0</v>
      </c>
      <c r="BI508" s="38">
        <f>G508*AP508</f>
        <v>0</v>
      </c>
      <c r="BJ508" s="38">
        <f>G508*H508</f>
        <v>0</v>
      </c>
      <c r="BK508" s="38"/>
      <c r="BL508" s="38">
        <v>764</v>
      </c>
      <c r="BW508" s="38">
        <v>21</v>
      </c>
    </row>
    <row r="509" spans="1:12" ht="13.5" customHeight="1">
      <c r="A509" s="74"/>
      <c r="D509" s="194" t="s">
        <v>1031</v>
      </c>
      <c r="E509" s="195"/>
      <c r="F509" s="195"/>
      <c r="G509" s="195"/>
      <c r="H509" s="195"/>
      <c r="I509" s="195"/>
      <c r="J509" s="195"/>
      <c r="K509" s="195"/>
      <c r="L509" s="197"/>
    </row>
    <row r="510" spans="1:12" ht="15">
      <c r="A510" s="74"/>
      <c r="D510" s="75" t="s">
        <v>1032</v>
      </c>
      <c r="E510" s="75" t="s">
        <v>4</v>
      </c>
      <c r="G510" s="76">
        <v>15.1</v>
      </c>
      <c r="L510" s="77"/>
    </row>
    <row r="511" spans="1:75" ht="13.5" customHeight="1">
      <c r="A511" s="1" t="s">
        <v>1033</v>
      </c>
      <c r="B511" s="2" t="s">
        <v>84</v>
      </c>
      <c r="C511" s="2" t="s">
        <v>1034</v>
      </c>
      <c r="D511" s="108" t="s">
        <v>1035</v>
      </c>
      <c r="E511" s="103"/>
      <c r="F511" s="2" t="s">
        <v>214</v>
      </c>
      <c r="G511" s="38">
        <f>'Stavební rozpočet'!G511</f>
        <v>17.4</v>
      </c>
      <c r="H511" s="38">
        <f>'Stavební rozpočet'!H511</f>
        <v>0</v>
      </c>
      <c r="I511" s="38">
        <f>G511*H511</f>
        <v>0</v>
      </c>
      <c r="J511" s="38">
        <f>'Stavební rozpočet'!J511</f>
        <v>0.00043</v>
      </c>
      <c r="K511" s="38">
        <f>G511*J511</f>
        <v>0.007481999999999999</v>
      </c>
      <c r="L511" s="71" t="s">
        <v>1030</v>
      </c>
      <c r="Z511" s="38">
        <f>IF(AQ511="5",BJ511,0)</f>
        <v>0</v>
      </c>
      <c r="AB511" s="38">
        <f>IF(AQ511="1",BH511,0)</f>
        <v>0</v>
      </c>
      <c r="AC511" s="38">
        <f>IF(AQ511="1",BI511,0)</f>
        <v>0</v>
      </c>
      <c r="AD511" s="38">
        <f>IF(AQ511="7",BH511,0)</f>
        <v>0</v>
      </c>
      <c r="AE511" s="38">
        <f>IF(AQ511="7",BI511,0)</f>
        <v>0</v>
      </c>
      <c r="AF511" s="38">
        <f>IF(AQ511="2",BH511,0)</f>
        <v>0</v>
      </c>
      <c r="AG511" s="38">
        <f>IF(AQ511="2",BI511,0)</f>
        <v>0</v>
      </c>
      <c r="AH511" s="38">
        <f>IF(AQ511="0",BJ511,0)</f>
        <v>0</v>
      </c>
      <c r="AI511" s="50" t="s">
        <v>84</v>
      </c>
      <c r="AJ511" s="38">
        <f>IF(AN511=0,I511,0)</f>
        <v>0</v>
      </c>
      <c r="AK511" s="38">
        <f>IF(AN511=12,I511,0)</f>
        <v>0</v>
      </c>
      <c r="AL511" s="38">
        <f>IF(AN511=21,I511,0)</f>
        <v>0</v>
      </c>
      <c r="AN511" s="38">
        <v>21</v>
      </c>
      <c r="AO511" s="38">
        <f>H511*0.701535146</f>
        <v>0</v>
      </c>
      <c r="AP511" s="38">
        <f>H511*(1-0.701535146)</f>
        <v>0</v>
      </c>
      <c r="AQ511" s="72" t="s">
        <v>169</v>
      </c>
      <c r="AV511" s="38">
        <f>AW511+AX511</f>
        <v>0</v>
      </c>
      <c r="AW511" s="38">
        <f>G511*AO511</f>
        <v>0</v>
      </c>
      <c r="AX511" s="38">
        <f>G511*AP511</f>
        <v>0</v>
      </c>
      <c r="AY511" s="72" t="s">
        <v>1019</v>
      </c>
      <c r="AZ511" s="72" t="s">
        <v>990</v>
      </c>
      <c r="BA511" s="50" t="s">
        <v>139</v>
      </c>
      <c r="BB511" s="73">
        <v>100035</v>
      </c>
      <c r="BC511" s="38">
        <f>AW511+AX511</f>
        <v>0</v>
      </c>
      <c r="BD511" s="38">
        <f>H511/(100-BE511)*100</f>
        <v>0</v>
      </c>
      <c r="BE511" s="38">
        <v>0</v>
      </c>
      <c r="BF511" s="38">
        <f>K511</f>
        <v>0.007481999999999999</v>
      </c>
      <c r="BH511" s="38">
        <f>G511*AO511</f>
        <v>0</v>
      </c>
      <c r="BI511" s="38">
        <f>G511*AP511</f>
        <v>0</v>
      </c>
      <c r="BJ511" s="38">
        <f>G511*H511</f>
        <v>0</v>
      </c>
      <c r="BK511" s="38"/>
      <c r="BL511" s="38">
        <v>764</v>
      </c>
      <c r="BW511" s="38">
        <v>21</v>
      </c>
    </row>
    <row r="512" spans="1:12" ht="13.5" customHeight="1">
      <c r="A512" s="74"/>
      <c r="D512" s="194" t="s">
        <v>1036</v>
      </c>
      <c r="E512" s="195"/>
      <c r="F512" s="195"/>
      <c r="G512" s="195"/>
      <c r="H512" s="195"/>
      <c r="I512" s="195"/>
      <c r="J512" s="195"/>
      <c r="K512" s="195"/>
      <c r="L512" s="197"/>
    </row>
    <row r="513" spans="1:12" ht="15">
      <c r="A513" s="74"/>
      <c r="D513" s="75" t="s">
        <v>1037</v>
      </c>
      <c r="E513" s="75" t="s">
        <v>4</v>
      </c>
      <c r="G513" s="76">
        <v>17.4</v>
      </c>
      <c r="L513" s="77"/>
    </row>
    <row r="514" spans="1:75" ht="27" customHeight="1">
      <c r="A514" s="1" t="s">
        <v>1038</v>
      </c>
      <c r="B514" s="2" t="s">
        <v>84</v>
      </c>
      <c r="C514" s="2" t="s">
        <v>1039</v>
      </c>
      <c r="D514" s="108" t="s">
        <v>1040</v>
      </c>
      <c r="E514" s="103"/>
      <c r="F514" s="2" t="s">
        <v>214</v>
      </c>
      <c r="G514" s="38">
        <f>'Stavební rozpočet'!G514</f>
        <v>1.8</v>
      </c>
      <c r="H514" s="38">
        <f>'Stavební rozpočet'!H514</f>
        <v>0</v>
      </c>
      <c r="I514" s="38">
        <f>G514*H514</f>
        <v>0</v>
      </c>
      <c r="J514" s="38">
        <f>'Stavební rozpočet'!J514</f>
        <v>0.00021</v>
      </c>
      <c r="K514" s="38">
        <f>G514*J514</f>
        <v>0.000378</v>
      </c>
      <c r="L514" s="71" t="s">
        <v>136</v>
      </c>
      <c r="Z514" s="38">
        <f>IF(AQ514="5",BJ514,0)</f>
        <v>0</v>
      </c>
      <c r="AB514" s="38">
        <f>IF(AQ514="1",BH514,0)</f>
        <v>0</v>
      </c>
      <c r="AC514" s="38">
        <f>IF(AQ514="1",BI514,0)</f>
        <v>0</v>
      </c>
      <c r="AD514" s="38">
        <f>IF(AQ514="7",BH514,0)</f>
        <v>0</v>
      </c>
      <c r="AE514" s="38">
        <f>IF(AQ514="7",BI514,0)</f>
        <v>0</v>
      </c>
      <c r="AF514" s="38">
        <f>IF(AQ514="2",BH514,0)</f>
        <v>0</v>
      </c>
      <c r="AG514" s="38">
        <f>IF(AQ514="2",BI514,0)</f>
        <v>0</v>
      </c>
      <c r="AH514" s="38">
        <f>IF(AQ514="0",BJ514,0)</f>
        <v>0</v>
      </c>
      <c r="AI514" s="50" t="s">
        <v>84</v>
      </c>
      <c r="AJ514" s="38">
        <f>IF(AN514=0,I514,0)</f>
        <v>0</v>
      </c>
      <c r="AK514" s="38">
        <f>IF(AN514=12,I514,0)</f>
        <v>0</v>
      </c>
      <c r="AL514" s="38">
        <f>IF(AN514=21,I514,0)</f>
        <v>0</v>
      </c>
      <c r="AN514" s="38">
        <v>21</v>
      </c>
      <c r="AO514" s="38">
        <f>H514*0.619834711</f>
        <v>0</v>
      </c>
      <c r="AP514" s="38">
        <f>H514*(1-0.619834711)</f>
        <v>0</v>
      </c>
      <c r="AQ514" s="72" t="s">
        <v>169</v>
      </c>
      <c r="AV514" s="38">
        <f>AW514+AX514</f>
        <v>0</v>
      </c>
      <c r="AW514" s="38">
        <f>G514*AO514</f>
        <v>0</v>
      </c>
      <c r="AX514" s="38">
        <f>G514*AP514</f>
        <v>0</v>
      </c>
      <c r="AY514" s="72" t="s">
        <v>1019</v>
      </c>
      <c r="AZ514" s="72" t="s">
        <v>990</v>
      </c>
      <c r="BA514" s="50" t="s">
        <v>139</v>
      </c>
      <c r="BB514" s="73">
        <v>100035</v>
      </c>
      <c r="BC514" s="38">
        <f>AW514+AX514</f>
        <v>0</v>
      </c>
      <c r="BD514" s="38">
        <f>H514/(100-BE514)*100</f>
        <v>0</v>
      </c>
      <c r="BE514" s="38">
        <v>0</v>
      </c>
      <c r="BF514" s="38">
        <f>K514</f>
        <v>0.000378</v>
      </c>
      <c r="BH514" s="38">
        <f>G514*AO514</f>
        <v>0</v>
      </c>
      <c r="BI514" s="38">
        <f>G514*AP514</f>
        <v>0</v>
      </c>
      <c r="BJ514" s="38">
        <f>G514*H514</f>
        <v>0</v>
      </c>
      <c r="BK514" s="38"/>
      <c r="BL514" s="38">
        <v>764</v>
      </c>
      <c r="BW514" s="38">
        <v>21</v>
      </c>
    </row>
    <row r="515" spans="1:12" ht="13.5" customHeight="1">
      <c r="A515" s="74"/>
      <c r="D515" s="194" t="s">
        <v>1041</v>
      </c>
      <c r="E515" s="195"/>
      <c r="F515" s="195"/>
      <c r="G515" s="195"/>
      <c r="H515" s="195"/>
      <c r="I515" s="195"/>
      <c r="J515" s="195"/>
      <c r="K515" s="195"/>
      <c r="L515" s="197"/>
    </row>
    <row r="516" spans="1:12" ht="15">
      <c r="A516" s="74"/>
      <c r="D516" s="75" t="s">
        <v>467</v>
      </c>
      <c r="E516" s="75" t="s">
        <v>4</v>
      </c>
      <c r="G516" s="76">
        <v>1.8</v>
      </c>
      <c r="L516" s="77"/>
    </row>
    <row r="517" spans="1:75" ht="27" customHeight="1">
      <c r="A517" s="1" t="s">
        <v>1042</v>
      </c>
      <c r="B517" s="2" t="s">
        <v>84</v>
      </c>
      <c r="C517" s="2" t="s">
        <v>1043</v>
      </c>
      <c r="D517" s="108" t="s">
        <v>1044</v>
      </c>
      <c r="E517" s="103"/>
      <c r="F517" s="2" t="s">
        <v>214</v>
      </c>
      <c r="G517" s="38">
        <f>'Stavební rozpočet'!G517</f>
        <v>11.4</v>
      </c>
      <c r="H517" s="38">
        <f>'Stavební rozpočet'!H517</f>
        <v>0</v>
      </c>
      <c r="I517" s="38">
        <f>G517*H517</f>
        <v>0</v>
      </c>
      <c r="J517" s="38">
        <f>'Stavební rozpočet'!J517</f>
        <v>0.00059</v>
      </c>
      <c r="K517" s="38">
        <f>G517*J517</f>
        <v>0.006726</v>
      </c>
      <c r="L517" s="71" t="s">
        <v>207</v>
      </c>
      <c r="Z517" s="38">
        <f>IF(AQ517="5",BJ517,0)</f>
        <v>0</v>
      </c>
      <c r="AB517" s="38">
        <f>IF(AQ517="1",BH517,0)</f>
        <v>0</v>
      </c>
      <c r="AC517" s="38">
        <f>IF(AQ517="1",BI517,0)</f>
        <v>0</v>
      </c>
      <c r="AD517" s="38">
        <f>IF(AQ517="7",BH517,0)</f>
        <v>0</v>
      </c>
      <c r="AE517" s="38">
        <f>IF(AQ517="7",BI517,0)</f>
        <v>0</v>
      </c>
      <c r="AF517" s="38">
        <f>IF(AQ517="2",BH517,0)</f>
        <v>0</v>
      </c>
      <c r="AG517" s="38">
        <f>IF(AQ517="2",BI517,0)</f>
        <v>0</v>
      </c>
      <c r="AH517" s="38">
        <f>IF(AQ517="0",BJ517,0)</f>
        <v>0</v>
      </c>
      <c r="AI517" s="50" t="s">
        <v>84</v>
      </c>
      <c r="AJ517" s="38">
        <f>IF(AN517=0,I517,0)</f>
        <v>0</v>
      </c>
      <c r="AK517" s="38">
        <f>IF(AN517=12,I517,0)</f>
        <v>0</v>
      </c>
      <c r="AL517" s="38">
        <f>IF(AN517=21,I517,0)</f>
        <v>0</v>
      </c>
      <c r="AN517" s="38">
        <v>21</v>
      </c>
      <c r="AO517" s="38">
        <f>H517*0.543513772</f>
        <v>0</v>
      </c>
      <c r="AP517" s="38">
        <f>H517*(1-0.543513772)</f>
        <v>0</v>
      </c>
      <c r="AQ517" s="72" t="s">
        <v>169</v>
      </c>
      <c r="AV517" s="38">
        <f>AW517+AX517</f>
        <v>0</v>
      </c>
      <c r="AW517" s="38">
        <f>G517*AO517</f>
        <v>0</v>
      </c>
      <c r="AX517" s="38">
        <f>G517*AP517</f>
        <v>0</v>
      </c>
      <c r="AY517" s="72" t="s">
        <v>1019</v>
      </c>
      <c r="AZ517" s="72" t="s">
        <v>990</v>
      </c>
      <c r="BA517" s="50" t="s">
        <v>139</v>
      </c>
      <c r="BB517" s="73">
        <v>100035</v>
      </c>
      <c r="BC517" s="38">
        <f>AW517+AX517</f>
        <v>0</v>
      </c>
      <c r="BD517" s="38">
        <f>H517/(100-BE517)*100</f>
        <v>0</v>
      </c>
      <c r="BE517" s="38">
        <v>0</v>
      </c>
      <c r="BF517" s="38">
        <f>K517</f>
        <v>0.006726</v>
      </c>
      <c r="BH517" s="38">
        <f>G517*AO517</f>
        <v>0</v>
      </c>
      <c r="BI517" s="38">
        <f>G517*AP517</f>
        <v>0</v>
      </c>
      <c r="BJ517" s="38">
        <f>G517*H517</f>
        <v>0</v>
      </c>
      <c r="BK517" s="38"/>
      <c r="BL517" s="38">
        <v>764</v>
      </c>
      <c r="BW517" s="38">
        <v>21</v>
      </c>
    </row>
    <row r="518" spans="1:12" ht="13.5" customHeight="1">
      <c r="A518" s="74"/>
      <c r="D518" s="194" t="s">
        <v>1045</v>
      </c>
      <c r="E518" s="195"/>
      <c r="F518" s="195"/>
      <c r="G518" s="195"/>
      <c r="H518" s="195"/>
      <c r="I518" s="195"/>
      <c r="J518" s="195"/>
      <c r="K518" s="195"/>
      <c r="L518" s="197"/>
    </row>
    <row r="519" spans="1:12" ht="15">
      <c r="A519" s="74"/>
      <c r="D519" s="75" t="s">
        <v>1046</v>
      </c>
      <c r="E519" s="75" t="s">
        <v>4</v>
      </c>
      <c r="G519" s="76">
        <v>11.4</v>
      </c>
      <c r="L519" s="77"/>
    </row>
    <row r="520" spans="1:75" ht="13.5" customHeight="1">
      <c r="A520" s="1" t="s">
        <v>1047</v>
      </c>
      <c r="B520" s="2" t="s">
        <v>84</v>
      </c>
      <c r="C520" s="2" t="s">
        <v>1048</v>
      </c>
      <c r="D520" s="108" t="s">
        <v>1049</v>
      </c>
      <c r="E520" s="103"/>
      <c r="F520" s="2" t="s">
        <v>214</v>
      </c>
      <c r="G520" s="38">
        <f>'Stavební rozpočet'!G520</f>
        <v>2.5</v>
      </c>
      <c r="H520" s="38">
        <f>'Stavební rozpočet'!H520</f>
        <v>0</v>
      </c>
      <c r="I520" s="38">
        <f>G520*H520</f>
        <v>0</v>
      </c>
      <c r="J520" s="38">
        <f>'Stavební rozpočet'!J520</f>
        <v>0.00226</v>
      </c>
      <c r="K520" s="38">
        <f>G520*J520</f>
        <v>0.00565</v>
      </c>
      <c r="L520" s="71" t="s">
        <v>136</v>
      </c>
      <c r="Z520" s="38">
        <f>IF(AQ520="5",BJ520,0)</f>
        <v>0</v>
      </c>
      <c r="AB520" s="38">
        <f>IF(AQ520="1",BH520,0)</f>
        <v>0</v>
      </c>
      <c r="AC520" s="38">
        <f>IF(AQ520="1",BI520,0)</f>
        <v>0</v>
      </c>
      <c r="AD520" s="38">
        <f>IF(AQ520="7",BH520,0)</f>
        <v>0</v>
      </c>
      <c r="AE520" s="38">
        <f>IF(AQ520="7",BI520,0)</f>
        <v>0</v>
      </c>
      <c r="AF520" s="38">
        <f>IF(AQ520="2",BH520,0)</f>
        <v>0</v>
      </c>
      <c r="AG520" s="38">
        <f>IF(AQ520="2",BI520,0)</f>
        <v>0</v>
      </c>
      <c r="AH520" s="38">
        <f>IF(AQ520="0",BJ520,0)</f>
        <v>0</v>
      </c>
      <c r="AI520" s="50" t="s">
        <v>84</v>
      </c>
      <c r="AJ520" s="38">
        <f>IF(AN520=0,I520,0)</f>
        <v>0</v>
      </c>
      <c r="AK520" s="38">
        <f>IF(AN520=12,I520,0)</f>
        <v>0</v>
      </c>
      <c r="AL520" s="38">
        <f>IF(AN520=21,I520,0)</f>
        <v>0</v>
      </c>
      <c r="AN520" s="38">
        <v>21</v>
      </c>
      <c r="AO520" s="38">
        <f>H520*0.81356453</f>
        <v>0</v>
      </c>
      <c r="AP520" s="38">
        <f>H520*(1-0.81356453)</f>
        <v>0</v>
      </c>
      <c r="AQ520" s="72" t="s">
        <v>169</v>
      </c>
      <c r="AV520" s="38">
        <f>AW520+AX520</f>
        <v>0</v>
      </c>
      <c r="AW520" s="38">
        <f>G520*AO520</f>
        <v>0</v>
      </c>
      <c r="AX520" s="38">
        <f>G520*AP520</f>
        <v>0</v>
      </c>
      <c r="AY520" s="72" t="s">
        <v>1019</v>
      </c>
      <c r="AZ520" s="72" t="s">
        <v>990</v>
      </c>
      <c r="BA520" s="50" t="s">
        <v>139</v>
      </c>
      <c r="BB520" s="73">
        <v>100035</v>
      </c>
      <c r="BC520" s="38">
        <f>AW520+AX520</f>
        <v>0</v>
      </c>
      <c r="BD520" s="38">
        <f>H520/(100-BE520)*100</f>
        <v>0</v>
      </c>
      <c r="BE520" s="38">
        <v>0</v>
      </c>
      <c r="BF520" s="38">
        <f>K520</f>
        <v>0.00565</v>
      </c>
      <c r="BH520" s="38">
        <f>G520*AO520</f>
        <v>0</v>
      </c>
      <c r="BI520" s="38">
        <f>G520*AP520</f>
        <v>0</v>
      </c>
      <c r="BJ520" s="38">
        <f>G520*H520</f>
        <v>0</v>
      </c>
      <c r="BK520" s="38"/>
      <c r="BL520" s="38">
        <v>764</v>
      </c>
      <c r="BW520" s="38">
        <v>21</v>
      </c>
    </row>
    <row r="521" spans="1:12" ht="13.5" customHeight="1">
      <c r="A521" s="74"/>
      <c r="D521" s="194" t="s">
        <v>1050</v>
      </c>
      <c r="E521" s="195"/>
      <c r="F521" s="195"/>
      <c r="G521" s="195"/>
      <c r="H521" s="195"/>
      <c r="I521" s="195"/>
      <c r="J521" s="195"/>
      <c r="K521" s="195"/>
      <c r="L521" s="197"/>
    </row>
    <row r="522" spans="1:12" ht="15">
      <c r="A522" s="74"/>
      <c r="D522" s="75" t="s">
        <v>1051</v>
      </c>
      <c r="E522" s="75" t="s">
        <v>4</v>
      </c>
      <c r="G522" s="76">
        <v>2.5</v>
      </c>
      <c r="L522" s="77"/>
    </row>
    <row r="523" spans="1:75" ht="13.5" customHeight="1">
      <c r="A523" s="1" t="s">
        <v>1052</v>
      </c>
      <c r="B523" s="2" t="s">
        <v>84</v>
      </c>
      <c r="C523" s="2" t="s">
        <v>1053</v>
      </c>
      <c r="D523" s="108" t="s">
        <v>1054</v>
      </c>
      <c r="E523" s="103"/>
      <c r="F523" s="2" t="s">
        <v>199</v>
      </c>
      <c r="G523" s="38">
        <f>'Stavební rozpočet'!G523</f>
        <v>2</v>
      </c>
      <c r="H523" s="38">
        <f>'Stavební rozpočet'!H523</f>
        <v>0</v>
      </c>
      <c r="I523" s="38">
        <f>G523*H523</f>
        <v>0</v>
      </c>
      <c r="J523" s="38">
        <f>'Stavební rozpočet'!J523</f>
        <v>0.00166</v>
      </c>
      <c r="K523" s="38">
        <f>G523*J523</f>
        <v>0.00332</v>
      </c>
      <c r="L523" s="71" t="s">
        <v>207</v>
      </c>
      <c r="Z523" s="38">
        <f>IF(AQ523="5",BJ523,0)</f>
        <v>0</v>
      </c>
      <c r="AB523" s="38">
        <f>IF(AQ523="1",BH523,0)</f>
        <v>0</v>
      </c>
      <c r="AC523" s="38">
        <f>IF(AQ523="1",BI523,0)</f>
        <v>0</v>
      </c>
      <c r="AD523" s="38">
        <f>IF(AQ523="7",BH523,0)</f>
        <v>0</v>
      </c>
      <c r="AE523" s="38">
        <f>IF(AQ523="7",BI523,0)</f>
        <v>0</v>
      </c>
      <c r="AF523" s="38">
        <f>IF(AQ523="2",BH523,0)</f>
        <v>0</v>
      </c>
      <c r="AG523" s="38">
        <f>IF(AQ523="2",BI523,0)</f>
        <v>0</v>
      </c>
      <c r="AH523" s="38">
        <f>IF(AQ523="0",BJ523,0)</f>
        <v>0</v>
      </c>
      <c r="AI523" s="50" t="s">
        <v>84</v>
      </c>
      <c r="AJ523" s="38">
        <f>IF(AN523=0,I523,0)</f>
        <v>0</v>
      </c>
      <c r="AK523" s="38">
        <f>IF(AN523=12,I523,0)</f>
        <v>0</v>
      </c>
      <c r="AL523" s="38">
        <f>IF(AN523=21,I523,0)</f>
        <v>0</v>
      </c>
      <c r="AN523" s="38">
        <v>21</v>
      </c>
      <c r="AO523" s="38">
        <f>H523*0.7</f>
        <v>0</v>
      </c>
      <c r="AP523" s="38">
        <f>H523*(1-0.7)</f>
        <v>0</v>
      </c>
      <c r="AQ523" s="72" t="s">
        <v>169</v>
      </c>
      <c r="AV523" s="38">
        <f>AW523+AX523</f>
        <v>0</v>
      </c>
      <c r="AW523" s="38">
        <f>G523*AO523</f>
        <v>0</v>
      </c>
      <c r="AX523" s="38">
        <f>G523*AP523</f>
        <v>0</v>
      </c>
      <c r="AY523" s="72" t="s">
        <v>1019</v>
      </c>
      <c r="AZ523" s="72" t="s">
        <v>990</v>
      </c>
      <c r="BA523" s="50" t="s">
        <v>139</v>
      </c>
      <c r="BB523" s="73">
        <v>100035</v>
      </c>
      <c r="BC523" s="38">
        <f>AW523+AX523</f>
        <v>0</v>
      </c>
      <c r="BD523" s="38">
        <f>H523/(100-BE523)*100</f>
        <v>0</v>
      </c>
      <c r="BE523" s="38">
        <v>0</v>
      </c>
      <c r="BF523" s="38">
        <f>K523</f>
        <v>0.00332</v>
      </c>
      <c r="BH523" s="38">
        <f>G523*AO523</f>
        <v>0</v>
      </c>
      <c r="BI523" s="38">
        <f>G523*AP523</f>
        <v>0</v>
      </c>
      <c r="BJ523" s="38">
        <f>G523*H523</f>
        <v>0</v>
      </c>
      <c r="BK523" s="38"/>
      <c r="BL523" s="38">
        <v>764</v>
      </c>
      <c r="BW523" s="38">
        <v>21</v>
      </c>
    </row>
    <row r="524" spans="1:12" ht="13.5" customHeight="1">
      <c r="A524" s="74"/>
      <c r="D524" s="194" t="s">
        <v>1050</v>
      </c>
      <c r="E524" s="195"/>
      <c r="F524" s="195"/>
      <c r="G524" s="195"/>
      <c r="H524" s="195"/>
      <c r="I524" s="195"/>
      <c r="J524" s="195"/>
      <c r="K524" s="195"/>
      <c r="L524" s="197"/>
    </row>
    <row r="525" spans="1:12" ht="15">
      <c r="A525" s="74"/>
      <c r="D525" s="75" t="s">
        <v>143</v>
      </c>
      <c r="E525" s="75" t="s">
        <v>4</v>
      </c>
      <c r="G525" s="76">
        <v>2</v>
      </c>
      <c r="L525" s="77"/>
    </row>
    <row r="526" spans="1:75" ht="13.5" customHeight="1">
      <c r="A526" s="1" t="s">
        <v>1055</v>
      </c>
      <c r="B526" s="2" t="s">
        <v>84</v>
      </c>
      <c r="C526" s="2" t="s">
        <v>1056</v>
      </c>
      <c r="D526" s="108" t="s">
        <v>1057</v>
      </c>
      <c r="E526" s="103"/>
      <c r="F526" s="2" t="s">
        <v>199</v>
      </c>
      <c r="G526" s="38">
        <f>'Stavební rozpočet'!G526</f>
        <v>18</v>
      </c>
      <c r="H526" s="38">
        <f>'Stavební rozpočet'!H526</f>
        <v>0</v>
      </c>
      <c r="I526" s="38">
        <f>G526*H526</f>
        <v>0</v>
      </c>
      <c r="J526" s="38">
        <f>'Stavební rozpočet'!J526</f>
        <v>5E-05</v>
      </c>
      <c r="K526" s="38">
        <f>G526*J526</f>
        <v>0.0009000000000000001</v>
      </c>
      <c r="L526" s="71" t="s">
        <v>207</v>
      </c>
      <c r="Z526" s="38">
        <f>IF(AQ526="5",BJ526,0)</f>
        <v>0</v>
      </c>
      <c r="AB526" s="38">
        <f>IF(AQ526="1",BH526,0)</f>
        <v>0</v>
      </c>
      <c r="AC526" s="38">
        <f>IF(AQ526="1",BI526,0)</f>
        <v>0</v>
      </c>
      <c r="AD526" s="38">
        <f>IF(AQ526="7",BH526,0)</f>
        <v>0</v>
      </c>
      <c r="AE526" s="38">
        <f>IF(AQ526="7",BI526,0)</f>
        <v>0</v>
      </c>
      <c r="AF526" s="38">
        <f>IF(AQ526="2",BH526,0)</f>
        <v>0</v>
      </c>
      <c r="AG526" s="38">
        <f>IF(AQ526="2",BI526,0)</f>
        <v>0</v>
      </c>
      <c r="AH526" s="38">
        <f>IF(AQ526="0",BJ526,0)</f>
        <v>0</v>
      </c>
      <c r="AI526" s="50" t="s">
        <v>84</v>
      </c>
      <c r="AJ526" s="38">
        <f>IF(AN526=0,I526,0)</f>
        <v>0</v>
      </c>
      <c r="AK526" s="38">
        <f>IF(AN526=12,I526,0)</f>
        <v>0</v>
      </c>
      <c r="AL526" s="38">
        <f>IF(AN526=21,I526,0)</f>
        <v>0</v>
      </c>
      <c r="AN526" s="38">
        <v>21</v>
      </c>
      <c r="AO526" s="38">
        <f>H526*0.656603774</f>
        <v>0</v>
      </c>
      <c r="AP526" s="38">
        <f>H526*(1-0.656603774)</f>
        <v>0</v>
      </c>
      <c r="AQ526" s="72" t="s">
        <v>169</v>
      </c>
      <c r="AV526" s="38">
        <f>AW526+AX526</f>
        <v>0</v>
      </c>
      <c r="AW526" s="38">
        <f>G526*AO526</f>
        <v>0</v>
      </c>
      <c r="AX526" s="38">
        <f>G526*AP526</f>
        <v>0</v>
      </c>
      <c r="AY526" s="72" t="s">
        <v>1019</v>
      </c>
      <c r="AZ526" s="72" t="s">
        <v>990</v>
      </c>
      <c r="BA526" s="50" t="s">
        <v>139</v>
      </c>
      <c r="BB526" s="73">
        <v>100035</v>
      </c>
      <c r="BC526" s="38">
        <f>AW526+AX526</f>
        <v>0</v>
      </c>
      <c r="BD526" s="38">
        <f>H526/(100-BE526)*100</f>
        <v>0</v>
      </c>
      <c r="BE526" s="38">
        <v>0</v>
      </c>
      <c r="BF526" s="38">
        <f>K526</f>
        <v>0.0009000000000000001</v>
      </c>
      <c r="BH526" s="38">
        <f>G526*AO526</f>
        <v>0</v>
      </c>
      <c r="BI526" s="38">
        <f>G526*AP526</f>
        <v>0</v>
      </c>
      <c r="BJ526" s="38">
        <f>G526*H526</f>
        <v>0</v>
      </c>
      <c r="BK526" s="38"/>
      <c r="BL526" s="38">
        <v>764</v>
      </c>
      <c r="BW526" s="38">
        <v>21</v>
      </c>
    </row>
    <row r="527" spans="1:12" ht="13.5" customHeight="1">
      <c r="A527" s="74"/>
      <c r="D527" s="194" t="s">
        <v>1058</v>
      </c>
      <c r="E527" s="195"/>
      <c r="F527" s="195"/>
      <c r="G527" s="195"/>
      <c r="H527" s="195"/>
      <c r="I527" s="195"/>
      <c r="J527" s="195"/>
      <c r="K527" s="195"/>
      <c r="L527" s="197"/>
    </row>
    <row r="528" spans="1:12" ht="15">
      <c r="A528" s="74"/>
      <c r="D528" s="75" t="s">
        <v>241</v>
      </c>
      <c r="E528" s="75" t="s">
        <v>4</v>
      </c>
      <c r="G528" s="76">
        <v>18</v>
      </c>
      <c r="L528" s="77"/>
    </row>
    <row r="529" spans="1:75" ht="27" customHeight="1">
      <c r="A529" s="1" t="s">
        <v>1059</v>
      </c>
      <c r="B529" s="2" t="s">
        <v>84</v>
      </c>
      <c r="C529" s="2" t="s">
        <v>1060</v>
      </c>
      <c r="D529" s="108" t="s">
        <v>1061</v>
      </c>
      <c r="E529" s="103"/>
      <c r="F529" s="2" t="s">
        <v>214</v>
      </c>
      <c r="G529" s="38">
        <f>'Stavební rozpočet'!G529</f>
        <v>15.75</v>
      </c>
      <c r="H529" s="38">
        <f>'Stavební rozpočet'!H529</f>
        <v>0</v>
      </c>
      <c r="I529" s="38">
        <f>G529*H529</f>
        <v>0</v>
      </c>
      <c r="J529" s="38">
        <f>'Stavební rozpočet'!J529</f>
        <v>0.00069</v>
      </c>
      <c r="K529" s="38">
        <f>G529*J529</f>
        <v>0.010867499999999999</v>
      </c>
      <c r="L529" s="71" t="s">
        <v>136</v>
      </c>
      <c r="Z529" s="38">
        <f>IF(AQ529="5",BJ529,0)</f>
        <v>0</v>
      </c>
      <c r="AB529" s="38">
        <f>IF(AQ529="1",BH529,0)</f>
        <v>0</v>
      </c>
      <c r="AC529" s="38">
        <f>IF(AQ529="1",BI529,0)</f>
        <v>0</v>
      </c>
      <c r="AD529" s="38">
        <f>IF(AQ529="7",BH529,0)</f>
        <v>0</v>
      </c>
      <c r="AE529" s="38">
        <f>IF(AQ529="7",BI529,0)</f>
        <v>0</v>
      </c>
      <c r="AF529" s="38">
        <f>IF(AQ529="2",BH529,0)</f>
        <v>0</v>
      </c>
      <c r="AG529" s="38">
        <f>IF(AQ529="2",BI529,0)</f>
        <v>0</v>
      </c>
      <c r="AH529" s="38">
        <f>IF(AQ529="0",BJ529,0)</f>
        <v>0</v>
      </c>
      <c r="AI529" s="50" t="s">
        <v>84</v>
      </c>
      <c r="AJ529" s="38">
        <f>IF(AN529=0,I529,0)</f>
        <v>0</v>
      </c>
      <c r="AK529" s="38">
        <f>IF(AN529=12,I529,0)</f>
        <v>0</v>
      </c>
      <c r="AL529" s="38">
        <f>IF(AN529=21,I529,0)</f>
        <v>0</v>
      </c>
      <c r="AN529" s="38">
        <v>21</v>
      </c>
      <c r="AO529" s="38">
        <f>H529*0.740807522</f>
        <v>0</v>
      </c>
      <c r="AP529" s="38">
        <f>H529*(1-0.740807522)</f>
        <v>0</v>
      </c>
      <c r="AQ529" s="72" t="s">
        <v>169</v>
      </c>
      <c r="AV529" s="38">
        <f>AW529+AX529</f>
        <v>0</v>
      </c>
      <c r="AW529" s="38">
        <f>G529*AO529</f>
        <v>0</v>
      </c>
      <c r="AX529" s="38">
        <f>G529*AP529</f>
        <v>0</v>
      </c>
      <c r="AY529" s="72" t="s">
        <v>1019</v>
      </c>
      <c r="AZ529" s="72" t="s">
        <v>990</v>
      </c>
      <c r="BA529" s="50" t="s">
        <v>139</v>
      </c>
      <c r="BB529" s="73">
        <v>100035</v>
      </c>
      <c r="BC529" s="38">
        <f>AW529+AX529</f>
        <v>0</v>
      </c>
      <c r="BD529" s="38">
        <f>H529/(100-BE529)*100</f>
        <v>0</v>
      </c>
      <c r="BE529" s="38">
        <v>0</v>
      </c>
      <c r="BF529" s="38">
        <f>K529</f>
        <v>0.010867499999999999</v>
      </c>
      <c r="BH529" s="38">
        <f>G529*AO529</f>
        <v>0</v>
      </c>
      <c r="BI529" s="38">
        <f>G529*AP529</f>
        <v>0</v>
      </c>
      <c r="BJ529" s="38">
        <f>G529*H529</f>
        <v>0</v>
      </c>
      <c r="BK529" s="38"/>
      <c r="BL529" s="38">
        <v>764</v>
      </c>
      <c r="BW529" s="38">
        <v>21</v>
      </c>
    </row>
    <row r="530" spans="1:12" ht="13.5" customHeight="1">
      <c r="A530" s="74"/>
      <c r="D530" s="194" t="s">
        <v>1062</v>
      </c>
      <c r="E530" s="195"/>
      <c r="F530" s="195"/>
      <c r="G530" s="195"/>
      <c r="H530" s="195"/>
      <c r="I530" s="195"/>
      <c r="J530" s="195"/>
      <c r="K530" s="195"/>
      <c r="L530" s="197"/>
    </row>
    <row r="531" spans="1:12" ht="15">
      <c r="A531" s="74"/>
      <c r="D531" s="75" t="s">
        <v>1063</v>
      </c>
      <c r="E531" s="75" t="s">
        <v>4</v>
      </c>
      <c r="G531" s="76">
        <v>15.75</v>
      </c>
      <c r="L531" s="77"/>
    </row>
    <row r="532" spans="1:75" ht="27" customHeight="1">
      <c r="A532" s="1" t="s">
        <v>1064</v>
      </c>
      <c r="B532" s="2" t="s">
        <v>84</v>
      </c>
      <c r="C532" s="2" t="s">
        <v>1065</v>
      </c>
      <c r="D532" s="108" t="s">
        <v>1066</v>
      </c>
      <c r="E532" s="103"/>
      <c r="F532" s="2" t="s">
        <v>199</v>
      </c>
      <c r="G532" s="38">
        <f>'Stavební rozpočet'!G532</f>
        <v>1</v>
      </c>
      <c r="H532" s="38">
        <f>'Stavební rozpočet'!H532</f>
        <v>0</v>
      </c>
      <c r="I532" s="38">
        <f>G532*H532</f>
        <v>0</v>
      </c>
      <c r="J532" s="38">
        <f>'Stavební rozpočet'!J532</f>
        <v>0.00031</v>
      </c>
      <c r="K532" s="38">
        <f>G532*J532</f>
        <v>0.00031</v>
      </c>
      <c r="L532" s="71" t="s">
        <v>136</v>
      </c>
      <c r="Z532" s="38">
        <f>IF(AQ532="5",BJ532,0)</f>
        <v>0</v>
      </c>
      <c r="AB532" s="38">
        <f>IF(AQ532="1",BH532,0)</f>
        <v>0</v>
      </c>
      <c r="AC532" s="38">
        <f>IF(AQ532="1",BI532,0)</f>
        <v>0</v>
      </c>
      <c r="AD532" s="38">
        <f>IF(AQ532="7",BH532,0)</f>
        <v>0</v>
      </c>
      <c r="AE532" s="38">
        <f>IF(AQ532="7",BI532,0)</f>
        <v>0</v>
      </c>
      <c r="AF532" s="38">
        <f>IF(AQ532="2",BH532,0)</f>
        <v>0</v>
      </c>
      <c r="AG532" s="38">
        <f>IF(AQ532="2",BI532,0)</f>
        <v>0</v>
      </c>
      <c r="AH532" s="38">
        <f>IF(AQ532="0",BJ532,0)</f>
        <v>0</v>
      </c>
      <c r="AI532" s="50" t="s">
        <v>84</v>
      </c>
      <c r="AJ532" s="38">
        <f>IF(AN532=0,I532,0)</f>
        <v>0</v>
      </c>
      <c r="AK532" s="38">
        <f>IF(AN532=12,I532,0)</f>
        <v>0</v>
      </c>
      <c r="AL532" s="38">
        <f>IF(AN532=21,I532,0)</f>
        <v>0</v>
      </c>
      <c r="AN532" s="38">
        <v>21</v>
      </c>
      <c r="AO532" s="38">
        <f>H532*0.653128492</f>
        <v>0</v>
      </c>
      <c r="AP532" s="38">
        <f>H532*(1-0.653128492)</f>
        <v>0</v>
      </c>
      <c r="AQ532" s="72" t="s">
        <v>169</v>
      </c>
      <c r="AV532" s="38">
        <f>AW532+AX532</f>
        <v>0</v>
      </c>
      <c r="AW532" s="38">
        <f>G532*AO532</f>
        <v>0</v>
      </c>
      <c r="AX532" s="38">
        <f>G532*AP532</f>
        <v>0</v>
      </c>
      <c r="AY532" s="72" t="s">
        <v>1019</v>
      </c>
      <c r="AZ532" s="72" t="s">
        <v>990</v>
      </c>
      <c r="BA532" s="50" t="s">
        <v>139</v>
      </c>
      <c r="BB532" s="73">
        <v>100035</v>
      </c>
      <c r="BC532" s="38">
        <f>AW532+AX532</f>
        <v>0</v>
      </c>
      <c r="BD532" s="38">
        <f>H532/(100-BE532)*100</f>
        <v>0</v>
      </c>
      <c r="BE532" s="38">
        <v>0</v>
      </c>
      <c r="BF532" s="38">
        <f>K532</f>
        <v>0.00031</v>
      </c>
      <c r="BH532" s="38">
        <f>G532*AO532</f>
        <v>0</v>
      </c>
      <c r="BI532" s="38">
        <f>G532*AP532</f>
        <v>0</v>
      </c>
      <c r="BJ532" s="38">
        <f>G532*H532</f>
        <v>0</v>
      </c>
      <c r="BK532" s="38"/>
      <c r="BL532" s="38">
        <v>764</v>
      </c>
      <c r="BW532" s="38">
        <v>21</v>
      </c>
    </row>
    <row r="533" spans="1:12" ht="13.5" customHeight="1">
      <c r="A533" s="74"/>
      <c r="D533" s="194" t="s">
        <v>1067</v>
      </c>
      <c r="E533" s="195"/>
      <c r="F533" s="195"/>
      <c r="G533" s="195"/>
      <c r="H533" s="195"/>
      <c r="I533" s="195"/>
      <c r="J533" s="195"/>
      <c r="K533" s="195"/>
      <c r="L533" s="197"/>
    </row>
    <row r="534" spans="1:12" ht="15">
      <c r="A534" s="74"/>
      <c r="D534" s="75" t="s">
        <v>132</v>
      </c>
      <c r="E534" s="75" t="s">
        <v>4</v>
      </c>
      <c r="G534" s="76">
        <v>1</v>
      </c>
      <c r="L534" s="77"/>
    </row>
    <row r="535" spans="1:75" ht="13.5" customHeight="1">
      <c r="A535" s="1" t="s">
        <v>1068</v>
      </c>
      <c r="B535" s="2" t="s">
        <v>84</v>
      </c>
      <c r="C535" s="2" t="s">
        <v>1069</v>
      </c>
      <c r="D535" s="108" t="s">
        <v>1070</v>
      </c>
      <c r="E535" s="103"/>
      <c r="F535" s="2" t="s">
        <v>214</v>
      </c>
      <c r="G535" s="38">
        <f>'Stavební rozpočet'!G535</f>
        <v>4</v>
      </c>
      <c r="H535" s="38">
        <f>'Stavební rozpočet'!H535</f>
        <v>0</v>
      </c>
      <c r="I535" s="38">
        <f>G535*H535</f>
        <v>0</v>
      </c>
      <c r="J535" s="38">
        <f>'Stavební rozpočet'!J535</f>
        <v>0.00211</v>
      </c>
      <c r="K535" s="38">
        <f>G535*J535</f>
        <v>0.00844</v>
      </c>
      <c r="L535" s="71" t="s">
        <v>136</v>
      </c>
      <c r="Z535" s="38">
        <f>IF(AQ535="5",BJ535,0)</f>
        <v>0</v>
      </c>
      <c r="AB535" s="38">
        <f>IF(AQ535="1",BH535,0)</f>
        <v>0</v>
      </c>
      <c r="AC535" s="38">
        <f>IF(AQ535="1",BI535,0)</f>
        <v>0</v>
      </c>
      <c r="AD535" s="38">
        <f>IF(AQ535="7",BH535,0)</f>
        <v>0</v>
      </c>
      <c r="AE535" s="38">
        <f>IF(AQ535="7",BI535,0)</f>
        <v>0</v>
      </c>
      <c r="AF535" s="38">
        <f>IF(AQ535="2",BH535,0)</f>
        <v>0</v>
      </c>
      <c r="AG535" s="38">
        <f>IF(AQ535="2",BI535,0)</f>
        <v>0</v>
      </c>
      <c r="AH535" s="38">
        <f>IF(AQ535="0",BJ535,0)</f>
        <v>0</v>
      </c>
      <c r="AI535" s="50" t="s">
        <v>84</v>
      </c>
      <c r="AJ535" s="38">
        <f>IF(AN535=0,I535,0)</f>
        <v>0</v>
      </c>
      <c r="AK535" s="38">
        <f>IF(AN535=12,I535,0)</f>
        <v>0</v>
      </c>
      <c r="AL535" s="38">
        <f>IF(AN535=21,I535,0)</f>
        <v>0</v>
      </c>
      <c r="AN535" s="38">
        <v>21</v>
      </c>
      <c r="AO535" s="38">
        <f>H535*0.245793758</f>
        <v>0</v>
      </c>
      <c r="AP535" s="38">
        <f>H535*(1-0.245793758)</f>
        <v>0</v>
      </c>
      <c r="AQ535" s="72" t="s">
        <v>169</v>
      </c>
      <c r="AV535" s="38">
        <f>AW535+AX535</f>
        <v>0</v>
      </c>
      <c r="AW535" s="38">
        <f>G535*AO535</f>
        <v>0</v>
      </c>
      <c r="AX535" s="38">
        <f>G535*AP535</f>
        <v>0</v>
      </c>
      <c r="AY535" s="72" t="s">
        <v>1019</v>
      </c>
      <c r="AZ535" s="72" t="s">
        <v>990</v>
      </c>
      <c r="BA535" s="50" t="s">
        <v>139</v>
      </c>
      <c r="BB535" s="73">
        <v>100035</v>
      </c>
      <c r="BC535" s="38">
        <f>AW535+AX535</f>
        <v>0</v>
      </c>
      <c r="BD535" s="38">
        <f>H535/(100-BE535)*100</f>
        <v>0</v>
      </c>
      <c r="BE535" s="38">
        <v>0</v>
      </c>
      <c r="BF535" s="38">
        <f>K535</f>
        <v>0.00844</v>
      </c>
      <c r="BH535" s="38">
        <f>G535*AO535</f>
        <v>0</v>
      </c>
      <c r="BI535" s="38">
        <f>G535*AP535</f>
        <v>0</v>
      </c>
      <c r="BJ535" s="38">
        <f>G535*H535</f>
        <v>0</v>
      </c>
      <c r="BK535" s="38"/>
      <c r="BL535" s="38">
        <v>764</v>
      </c>
      <c r="BW535" s="38">
        <v>21</v>
      </c>
    </row>
    <row r="536" spans="1:12" ht="13.5" customHeight="1">
      <c r="A536" s="74"/>
      <c r="D536" s="194" t="s">
        <v>1071</v>
      </c>
      <c r="E536" s="195"/>
      <c r="F536" s="195"/>
      <c r="G536" s="195"/>
      <c r="H536" s="195"/>
      <c r="I536" s="195"/>
      <c r="J536" s="195"/>
      <c r="K536" s="195"/>
      <c r="L536" s="197"/>
    </row>
    <row r="537" spans="1:12" ht="15">
      <c r="A537" s="74"/>
      <c r="D537" s="75" t="s">
        <v>1072</v>
      </c>
      <c r="E537" s="75" t="s">
        <v>4</v>
      </c>
      <c r="G537" s="76">
        <v>4</v>
      </c>
      <c r="L537" s="77"/>
    </row>
    <row r="538" spans="1:75" ht="27" customHeight="1">
      <c r="A538" s="1" t="s">
        <v>1073</v>
      </c>
      <c r="B538" s="2" t="s">
        <v>84</v>
      </c>
      <c r="C538" s="2" t="s">
        <v>1074</v>
      </c>
      <c r="D538" s="108" t="s">
        <v>1075</v>
      </c>
      <c r="E538" s="103"/>
      <c r="F538" s="2" t="s">
        <v>214</v>
      </c>
      <c r="G538" s="38">
        <f>'Stavební rozpočet'!G538</f>
        <v>0.6</v>
      </c>
      <c r="H538" s="38">
        <f>'Stavební rozpočet'!H538</f>
        <v>0</v>
      </c>
      <c r="I538" s="38">
        <f>G538*H538</f>
        <v>0</v>
      </c>
      <c r="J538" s="38">
        <f>'Stavební rozpočet'!J538</f>
        <v>0.00228</v>
      </c>
      <c r="K538" s="38">
        <f>G538*J538</f>
        <v>0.0013679999999999999</v>
      </c>
      <c r="L538" s="71" t="s">
        <v>136</v>
      </c>
      <c r="Z538" s="38">
        <f>IF(AQ538="5",BJ538,0)</f>
        <v>0</v>
      </c>
      <c r="AB538" s="38">
        <f>IF(AQ538="1",BH538,0)</f>
        <v>0</v>
      </c>
      <c r="AC538" s="38">
        <f>IF(AQ538="1",BI538,0)</f>
        <v>0</v>
      </c>
      <c r="AD538" s="38">
        <f>IF(AQ538="7",BH538,0)</f>
        <v>0</v>
      </c>
      <c r="AE538" s="38">
        <f>IF(AQ538="7",BI538,0)</f>
        <v>0</v>
      </c>
      <c r="AF538" s="38">
        <f>IF(AQ538="2",BH538,0)</f>
        <v>0</v>
      </c>
      <c r="AG538" s="38">
        <f>IF(AQ538="2",BI538,0)</f>
        <v>0</v>
      </c>
      <c r="AH538" s="38">
        <f>IF(AQ538="0",BJ538,0)</f>
        <v>0</v>
      </c>
      <c r="AI538" s="50" t="s">
        <v>84</v>
      </c>
      <c r="AJ538" s="38">
        <f>IF(AN538=0,I538,0)</f>
        <v>0</v>
      </c>
      <c r="AK538" s="38">
        <f>IF(AN538=12,I538,0)</f>
        <v>0</v>
      </c>
      <c r="AL538" s="38">
        <f>IF(AN538=21,I538,0)</f>
        <v>0</v>
      </c>
      <c r="AN538" s="38">
        <v>21</v>
      </c>
      <c r="AO538" s="38">
        <f>H538*0.287610879</f>
        <v>0</v>
      </c>
      <c r="AP538" s="38">
        <f>H538*(1-0.287610879)</f>
        <v>0</v>
      </c>
      <c r="AQ538" s="72" t="s">
        <v>169</v>
      </c>
      <c r="AV538" s="38">
        <f>AW538+AX538</f>
        <v>0</v>
      </c>
      <c r="AW538" s="38">
        <f>G538*AO538</f>
        <v>0</v>
      </c>
      <c r="AX538" s="38">
        <f>G538*AP538</f>
        <v>0</v>
      </c>
      <c r="AY538" s="72" t="s">
        <v>1019</v>
      </c>
      <c r="AZ538" s="72" t="s">
        <v>990</v>
      </c>
      <c r="BA538" s="50" t="s">
        <v>139</v>
      </c>
      <c r="BB538" s="73">
        <v>100035</v>
      </c>
      <c r="BC538" s="38">
        <f>AW538+AX538</f>
        <v>0</v>
      </c>
      <c r="BD538" s="38">
        <f>H538/(100-BE538)*100</f>
        <v>0</v>
      </c>
      <c r="BE538" s="38">
        <v>0</v>
      </c>
      <c r="BF538" s="38">
        <f>K538</f>
        <v>0.0013679999999999999</v>
      </c>
      <c r="BH538" s="38">
        <f>G538*AO538</f>
        <v>0</v>
      </c>
      <c r="BI538" s="38">
        <f>G538*AP538</f>
        <v>0</v>
      </c>
      <c r="BJ538" s="38">
        <f>G538*H538</f>
        <v>0</v>
      </c>
      <c r="BK538" s="38"/>
      <c r="BL538" s="38">
        <v>764</v>
      </c>
      <c r="BW538" s="38">
        <v>21</v>
      </c>
    </row>
    <row r="539" spans="1:12" ht="13.5" customHeight="1">
      <c r="A539" s="74"/>
      <c r="D539" s="194" t="s">
        <v>1076</v>
      </c>
      <c r="E539" s="195"/>
      <c r="F539" s="195"/>
      <c r="G539" s="195"/>
      <c r="H539" s="195"/>
      <c r="I539" s="195"/>
      <c r="J539" s="195"/>
      <c r="K539" s="195"/>
      <c r="L539" s="197"/>
    </row>
    <row r="540" spans="1:12" ht="15">
      <c r="A540" s="74"/>
      <c r="D540" s="75" t="s">
        <v>1077</v>
      </c>
      <c r="E540" s="75" t="s">
        <v>4</v>
      </c>
      <c r="G540" s="76">
        <v>0.6</v>
      </c>
      <c r="L540" s="77"/>
    </row>
    <row r="541" spans="1:75" ht="13.5" customHeight="1">
      <c r="A541" s="1" t="s">
        <v>1078</v>
      </c>
      <c r="B541" s="2" t="s">
        <v>84</v>
      </c>
      <c r="C541" s="2" t="s">
        <v>1079</v>
      </c>
      <c r="D541" s="108" t="s">
        <v>1080</v>
      </c>
      <c r="E541" s="103"/>
      <c r="F541" s="2" t="s">
        <v>189</v>
      </c>
      <c r="G541" s="38">
        <f>'Stavební rozpočet'!G541</f>
        <v>0.12</v>
      </c>
      <c r="H541" s="38">
        <f>'Stavební rozpočet'!H541</f>
        <v>0</v>
      </c>
      <c r="I541" s="38">
        <f>G541*H541</f>
        <v>0</v>
      </c>
      <c r="J541" s="38">
        <f>'Stavební rozpočet'!J541</f>
        <v>0</v>
      </c>
      <c r="K541" s="38">
        <f>G541*J541</f>
        <v>0</v>
      </c>
      <c r="L541" s="71" t="s">
        <v>136</v>
      </c>
      <c r="Z541" s="38">
        <f>IF(AQ541="5",BJ541,0)</f>
        <v>0</v>
      </c>
      <c r="AB541" s="38">
        <f>IF(AQ541="1",BH541,0)</f>
        <v>0</v>
      </c>
      <c r="AC541" s="38">
        <f>IF(AQ541="1",BI541,0)</f>
        <v>0</v>
      </c>
      <c r="AD541" s="38">
        <f>IF(AQ541="7",BH541,0)</f>
        <v>0</v>
      </c>
      <c r="AE541" s="38">
        <f>IF(AQ541="7",BI541,0)</f>
        <v>0</v>
      </c>
      <c r="AF541" s="38">
        <f>IF(AQ541="2",BH541,0)</f>
        <v>0</v>
      </c>
      <c r="AG541" s="38">
        <f>IF(AQ541="2",BI541,0)</f>
        <v>0</v>
      </c>
      <c r="AH541" s="38">
        <f>IF(AQ541="0",BJ541,0)</f>
        <v>0</v>
      </c>
      <c r="AI541" s="50" t="s">
        <v>84</v>
      </c>
      <c r="AJ541" s="38">
        <f>IF(AN541=0,I541,0)</f>
        <v>0</v>
      </c>
      <c r="AK541" s="38">
        <f>IF(AN541=12,I541,0)</f>
        <v>0</v>
      </c>
      <c r="AL541" s="38">
        <f>IF(AN541=21,I541,0)</f>
        <v>0</v>
      </c>
      <c r="AN541" s="38">
        <v>21</v>
      </c>
      <c r="AO541" s="38">
        <f>H541*0</f>
        <v>0</v>
      </c>
      <c r="AP541" s="38">
        <f>H541*(1-0)</f>
        <v>0</v>
      </c>
      <c r="AQ541" s="72" t="s">
        <v>162</v>
      </c>
      <c r="AV541" s="38">
        <f>AW541+AX541</f>
        <v>0</v>
      </c>
      <c r="AW541" s="38">
        <f>G541*AO541</f>
        <v>0</v>
      </c>
      <c r="AX541" s="38">
        <f>G541*AP541</f>
        <v>0</v>
      </c>
      <c r="AY541" s="72" t="s">
        <v>1019</v>
      </c>
      <c r="AZ541" s="72" t="s">
        <v>990</v>
      </c>
      <c r="BA541" s="50" t="s">
        <v>139</v>
      </c>
      <c r="BC541" s="38">
        <f>AW541+AX541</f>
        <v>0</v>
      </c>
      <c r="BD541" s="38">
        <f>H541/(100-BE541)*100</f>
        <v>0</v>
      </c>
      <c r="BE541" s="38">
        <v>0</v>
      </c>
      <c r="BF541" s="38">
        <f>K541</f>
        <v>0</v>
      </c>
      <c r="BH541" s="38">
        <f>G541*AO541</f>
        <v>0</v>
      </c>
      <c r="BI541" s="38">
        <f>G541*AP541</f>
        <v>0</v>
      </c>
      <c r="BJ541" s="38">
        <f>G541*H541</f>
        <v>0</v>
      </c>
      <c r="BK541" s="38"/>
      <c r="BL541" s="38">
        <v>764</v>
      </c>
      <c r="BW541" s="38">
        <v>21</v>
      </c>
    </row>
    <row r="542" spans="1:12" ht="15">
      <c r="A542" s="74"/>
      <c r="D542" s="75" t="s">
        <v>1081</v>
      </c>
      <c r="E542" s="75" t="s">
        <v>4</v>
      </c>
      <c r="G542" s="76">
        <v>0.12</v>
      </c>
      <c r="L542" s="77"/>
    </row>
    <row r="543" spans="1:47" ht="15">
      <c r="A543" s="65" t="s">
        <v>4</v>
      </c>
      <c r="B543" s="66" t="s">
        <v>84</v>
      </c>
      <c r="C543" s="66" t="s">
        <v>1082</v>
      </c>
      <c r="D543" s="192" t="s">
        <v>1083</v>
      </c>
      <c r="E543" s="193"/>
      <c r="F543" s="67" t="s">
        <v>78</v>
      </c>
      <c r="G543" s="67" t="s">
        <v>78</v>
      </c>
      <c r="H543" s="67" t="s">
        <v>78</v>
      </c>
      <c r="I543" s="44">
        <f>SUM(I544:I632)</f>
        <v>0</v>
      </c>
      <c r="J543" s="50" t="s">
        <v>4</v>
      </c>
      <c r="K543" s="44">
        <f>SUM(K544:K632)</f>
        <v>1.4167790000000002</v>
      </c>
      <c r="L543" s="69" t="s">
        <v>4</v>
      </c>
      <c r="AI543" s="50" t="s">
        <v>84</v>
      </c>
      <c r="AS543" s="44">
        <f>SUM(AJ544:AJ632)</f>
        <v>0</v>
      </c>
      <c r="AT543" s="44">
        <f>SUM(AK544:AK632)</f>
        <v>0</v>
      </c>
      <c r="AU543" s="44">
        <f>SUM(AL544:AL632)</f>
        <v>0</v>
      </c>
    </row>
    <row r="544" spans="1:75" ht="13.5" customHeight="1">
      <c r="A544" s="1" t="s">
        <v>1084</v>
      </c>
      <c r="B544" s="2" t="s">
        <v>84</v>
      </c>
      <c r="C544" s="2" t="s">
        <v>1085</v>
      </c>
      <c r="D544" s="108" t="s">
        <v>1086</v>
      </c>
      <c r="E544" s="103"/>
      <c r="F544" s="2" t="s">
        <v>263</v>
      </c>
      <c r="G544" s="38">
        <f>'Stavební rozpočet'!G544</f>
        <v>10.45</v>
      </c>
      <c r="H544" s="38">
        <f>'Stavební rozpočet'!H544</f>
        <v>0</v>
      </c>
      <c r="I544" s="38">
        <f>G544*H544</f>
        <v>0</v>
      </c>
      <c r="J544" s="38">
        <f>'Stavební rozpočet'!J544</f>
        <v>0.01098</v>
      </c>
      <c r="K544" s="38">
        <f>G544*J544</f>
        <v>0.114741</v>
      </c>
      <c r="L544" s="71" t="s">
        <v>136</v>
      </c>
      <c r="Z544" s="38">
        <f>IF(AQ544="5",BJ544,0)</f>
        <v>0</v>
      </c>
      <c r="AB544" s="38">
        <f>IF(AQ544="1",BH544,0)</f>
        <v>0</v>
      </c>
      <c r="AC544" s="38">
        <f>IF(AQ544="1",BI544,0)</f>
        <v>0</v>
      </c>
      <c r="AD544" s="38">
        <f>IF(AQ544="7",BH544,0)</f>
        <v>0</v>
      </c>
      <c r="AE544" s="38">
        <f>IF(AQ544="7",BI544,0)</f>
        <v>0</v>
      </c>
      <c r="AF544" s="38">
        <f>IF(AQ544="2",BH544,0)</f>
        <v>0</v>
      </c>
      <c r="AG544" s="38">
        <f>IF(AQ544="2",BI544,0)</f>
        <v>0</v>
      </c>
      <c r="AH544" s="38">
        <f>IF(AQ544="0",BJ544,0)</f>
        <v>0</v>
      </c>
      <c r="AI544" s="50" t="s">
        <v>84</v>
      </c>
      <c r="AJ544" s="38">
        <f>IF(AN544=0,I544,0)</f>
        <v>0</v>
      </c>
      <c r="AK544" s="38">
        <f>IF(AN544=12,I544,0)</f>
        <v>0</v>
      </c>
      <c r="AL544" s="38">
        <f>IF(AN544=21,I544,0)</f>
        <v>0</v>
      </c>
      <c r="AN544" s="38">
        <v>21</v>
      </c>
      <c r="AO544" s="38">
        <f>H544*0</f>
        <v>0</v>
      </c>
      <c r="AP544" s="38">
        <f>H544*(1-0)</f>
        <v>0</v>
      </c>
      <c r="AQ544" s="72" t="s">
        <v>169</v>
      </c>
      <c r="AV544" s="38">
        <f>AW544+AX544</f>
        <v>0</v>
      </c>
      <c r="AW544" s="38">
        <f>G544*AO544</f>
        <v>0</v>
      </c>
      <c r="AX544" s="38">
        <f>G544*AP544</f>
        <v>0</v>
      </c>
      <c r="AY544" s="72" t="s">
        <v>1087</v>
      </c>
      <c r="AZ544" s="72" t="s">
        <v>990</v>
      </c>
      <c r="BA544" s="50" t="s">
        <v>139</v>
      </c>
      <c r="BB544" s="73">
        <v>100013</v>
      </c>
      <c r="BC544" s="38">
        <f>AW544+AX544</f>
        <v>0</v>
      </c>
      <c r="BD544" s="38">
        <f>H544/(100-BE544)*100</f>
        <v>0</v>
      </c>
      <c r="BE544" s="38">
        <v>0</v>
      </c>
      <c r="BF544" s="38">
        <f>K544</f>
        <v>0.114741</v>
      </c>
      <c r="BH544" s="38">
        <f>G544*AO544</f>
        <v>0</v>
      </c>
      <c r="BI544" s="38">
        <f>G544*AP544</f>
        <v>0</v>
      </c>
      <c r="BJ544" s="38">
        <f>G544*H544</f>
        <v>0</v>
      </c>
      <c r="BK544" s="38"/>
      <c r="BL544" s="38">
        <v>766</v>
      </c>
      <c r="BW544" s="38">
        <v>21</v>
      </c>
    </row>
    <row r="545" spans="1:12" ht="15">
      <c r="A545" s="74"/>
      <c r="D545" s="75" t="s">
        <v>1088</v>
      </c>
      <c r="E545" s="75" t="s">
        <v>4</v>
      </c>
      <c r="G545" s="76">
        <v>10.45</v>
      </c>
      <c r="L545" s="77"/>
    </row>
    <row r="546" spans="1:75" ht="13.5" customHeight="1">
      <c r="A546" s="1" t="s">
        <v>1089</v>
      </c>
      <c r="B546" s="2" t="s">
        <v>84</v>
      </c>
      <c r="C546" s="2" t="s">
        <v>1090</v>
      </c>
      <c r="D546" s="108" t="s">
        <v>1091</v>
      </c>
      <c r="E546" s="103"/>
      <c r="F546" s="2" t="s">
        <v>263</v>
      </c>
      <c r="G546" s="38">
        <f>'Stavební rozpočet'!G546</f>
        <v>5.23</v>
      </c>
      <c r="H546" s="38">
        <f>'Stavební rozpočet'!H546</f>
        <v>0</v>
      </c>
      <c r="I546" s="38">
        <f>G546*H546</f>
        <v>0</v>
      </c>
      <c r="J546" s="38">
        <f>'Stavební rozpočet'!J546</f>
        <v>0.008</v>
      </c>
      <c r="K546" s="38">
        <f>G546*J546</f>
        <v>0.04184</v>
      </c>
      <c r="L546" s="71" t="s">
        <v>136</v>
      </c>
      <c r="Z546" s="38">
        <f>IF(AQ546="5",BJ546,0)</f>
        <v>0</v>
      </c>
      <c r="AB546" s="38">
        <f>IF(AQ546="1",BH546,0)</f>
        <v>0</v>
      </c>
      <c r="AC546" s="38">
        <f>IF(AQ546="1",BI546,0)</f>
        <v>0</v>
      </c>
      <c r="AD546" s="38">
        <f>IF(AQ546="7",BH546,0)</f>
        <v>0</v>
      </c>
      <c r="AE546" s="38">
        <f>IF(AQ546="7",BI546,0)</f>
        <v>0</v>
      </c>
      <c r="AF546" s="38">
        <f>IF(AQ546="2",BH546,0)</f>
        <v>0</v>
      </c>
      <c r="AG546" s="38">
        <f>IF(AQ546="2",BI546,0)</f>
        <v>0</v>
      </c>
      <c r="AH546" s="38">
        <f>IF(AQ546="0",BJ546,0)</f>
        <v>0</v>
      </c>
      <c r="AI546" s="50" t="s">
        <v>84</v>
      </c>
      <c r="AJ546" s="38">
        <f>IF(AN546=0,I546,0)</f>
        <v>0</v>
      </c>
      <c r="AK546" s="38">
        <f>IF(AN546=12,I546,0)</f>
        <v>0</v>
      </c>
      <c r="AL546" s="38">
        <f>IF(AN546=21,I546,0)</f>
        <v>0</v>
      </c>
      <c r="AN546" s="38">
        <v>21</v>
      </c>
      <c r="AO546" s="38">
        <f>H546*0</f>
        <v>0</v>
      </c>
      <c r="AP546" s="38">
        <f>H546*(1-0)</f>
        <v>0</v>
      </c>
      <c r="AQ546" s="72" t="s">
        <v>169</v>
      </c>
      <c r="AV546" s="38">
        <f>AW546+AX546</f>
        <v>0</v>
      </c>
      <c r="AW546" s="38">
        <f>G546*AO546</f>
        <v>0</v>
      </c>
      <c r="AX546" s="38">
        <f>G546*AP546</f>
        <v>0</v>
      </c>
      <c r="AY546" s="72" t="s">
        <v>1087</v>
      </c>
      <c r="AZ546" s="72" t="s">
        <v>990</v>
      </c>
      <c r="BA546" s="50" t="s">
        <v>139</v>
      </c>
      <c r="BB546" s="73">
        <v>100013</v>
      </c>
      <c r="BC546" s="38">
        <f>AW546+AX546</f>
        <v>0</v>
      </c>
      <c r="BD546" s="38">
        <f>H546/(100-BE546)*100</f>
        <v>0</v>
      </c>
      <c r="BE546" s="38">
        <v>0</v>
      </c>
      <c r="BF546" s="38">
        <f>K546</f>
        <v>0.04184</v>
      </c>
      <c r="BH546" s="38">
        <f>G546*AO546</f>
        <v>0</v>
      </c>
      <c r="BI546" s="38">
        <f>G546*AP546</f>
        <v>0</v>
      </c>
      <c r="BJ546" s="38">
        <f>G546*H546</f>
        <v>0</v>
      </c>
      <c r="BK546" s="38"/>
      <c r="BL546" s="38">
        <v>766</v>
      </c>
      <c r="BW546" s="38">
        <v>21</v>
      </c>
    </row>
    <row r="547" spans="1:12" ht="13.5" customHeight="1">
      <c r="A547" s="74"/>
      <c r="D547" s="194" t="s">
        <v>1092</v>
      </c>
      <c r="E547" s="195"/>
      <c r="F547" s="195"/>
      <c r="G547" s="195"/>
      <c r="H547" s="195"/>
      <c r="I547" s="195"/>
      <c r="J547" s="195"/>
      <c r="K547" s="195"/>
      <c r="L547" s="197"/>
    </row>
    <row r="548" spans="1:12" ht="15">
      <c r="A548" s="74"/>
      <c r="D548" s="75" t="s">
        <v>1093</v>
      </c>
      <c r="E548" s="75" t="s">
        <v>4</v>
      </c>
      <c r="G548" s="76">
        <v>5.23</v>
      </c>
      <c r="L548" s="77"/>
    </row>
    <row r="549" spans="1:75" ht="27" customHeight="1">
      <c r="A549" s="1" t="s">
        <v>1094</v>
      </c>
      <c r="B549" s="2" t="s">
        <v>84</v>
      </c>
      <c r="C549" s="2" t="s">
        <v>1095</v>
      </c>
      <c r="D549" s="108" t="s">
        <v>1096</v>
      </c>
      <c r="E549" s="103"/>
      <c r="F549" s="2" t="s">
        <v>1097</v>
      </c>
      <c r="G549" s="38">
        <f>'Stavební rozpočet'!G549</f>
        <v>1</v>
      </c>
      <c r="H549" s="38">
        <f>'Stavební rozpočet'!H549</f>
        <v>0</v>
      </c>
      <c r="I549" s="38">
        <f>G549*H549</f>
        <v>0</v>
      </c>
      <c r="J549" s="38">
        <f>'Stavební rozpočet'!J549</f>
        <v>0.067</v>
      </c>
      <c r="K549" s="38">
        <f>G549*J549</f>
        <v>0.067</v>
      </c>
      <c r="L549" s="71" t="s">
        <v>207</v>
      </c>
      <c r="Z549" s="38">
        <f>IF(AQ549="5",BJ549,0)</f>
        <v>0</v>
      </c>
      <c r="AB549" s="38">
        <f>IF(AQ549="1",BH549,0)</f>
        <v>0</v>
      </c>
      <c r="AC549" s="38">
        <f>IF(AQ549="1",BI549,0)</f>
        <v>0</v>
      </c>
      <c r="AD549" s="38">
        <f>IF(AQ549="7",BH549,0)</f>
        <v>0</v>
      </c>
      <c r="AE549" s="38">
        <f>IF(AQ549="7",BI549,0)</f>
        <v>0</v>
      </c>
      <c r="AF549" s="38">
        <f>IF(AQ549="2",BH549,0)</f>
        <v>0</v>
      </c>
      <c r="AG549" s="38">
        <f>IF(AQ549="2",BI549,0)</f>
        <v>0</v>
      </c>
      <c r="AH549" s="38">
        <f>IF(AQ549="0",BJ549,0)</f>
        <v>0</v>
      </c>
      <c r="AI549" s="50" t="s">
        <v>84</v>
      </c>
      <c r="AJ549" s="38">
        <f>IF(AN549=0,I549,0)</f>
        <v>0</v>
      </c>
      <c r="AK549" s="38">
        <f>IF(AN549=12,I549,0)</f>
        <v>0</v>
      </c>
      <c r="AL549" s="38">
        <f>IF(AN549=21,I549,0)</f>
        <v>0</v>
      </c>
      <c r="AN549" s="38">
        <v>21</v>
      </c>
      <c r="AO549" s="38">
        <f>H549*0.867924528</f>
        <v>0</v>
      </c>
      <c r="AP549" s="38">
        <f>H549*(1-0.867924528)</f>
        <v>0</v>
      </c>
      <c r="AQ549" s="72" t="s">
        <v>169</v>
      </c>
      <c r="AV549" s="38">
        <f>AW549+AX549</f>
        <v>0</v>
      </c>
      <c r="AW549" s="38">
        <f>G549*AO549</f>
        <v>0</v>
      </c>
      <c r="AX549" s="38">
        <f>G549*AP549</f>
        <v>0</v>
      </c>
      <c r="AY549" s="72" t="s">
        <v>1087</v>
      </c>
      <c r="AZ549" s="72" t="s">
        <v>990</v>
      </c>
      <c r="BA549" s="50" t="s">
        <v>139</v>
      </c>
      <c r="BB549" s="73">
        <v>100013</v>
      </c>
      <c r="BC549" s="38">
        <f>AW549+AX549</f>
        <v>0</v>
      </c>
      <c r="BD549" s="38">
        <f>H549/(100-BE549)*100</f>
        <v>0</v>
      </c>
      <c r="BE549" s="38">
        <v>0</v>
      </c>
      <c r="BF549" s="38">
        <f>K549</f>
        <v>0.067</v>
      </c>
      <c r="BH549" s="38">
        <f>G549*AO549</f>
        <v>0</v>
      </c>
      <c r="BI549" s="38">
        <f>G549*AP549</f>
        <v>0</v>
      </c>
      <c r="BJ549" s="38">
        <f>G549*H549</f>
        <v>0</v>
      </c>
      <c r="BK549" s="38"/>
      <c r="BL549" s="38">
        <v>766</v>
      </c>
      <c r="BW549" s="38">
        <v>21</v>
      </c>
    </row>
    <row r="550" spans="1:12" ht="13.5" customHeight="1">
      <c r="A550" s="74"/>
      <c r="D550" s="194" t="s">
        <v>1098</v>
      </c>
      <c r="E550" s="195"/>
      <c r="F550" s="195"/>
      <c r="G550" s="195"/>
      <c r="H550" s="195"/>
      <c r="I550" s="195"/>
      <c r="J550" s="195"/>
      <c r="K550" s="195"/>
      <c r="L550" s="197"/>
    </row>
    <row r="551" spans="1:12" ht="15">
      <c r="A551" s="74"/>
      <c r="D551" s="75" t="s">
        <v>132</v>
      </c>
      <c r="E551" s="75" t="s">
        <v>4</v>
      </c>
      <c r="G551" s="76">
        <v>1</v>
      </c>
      <c r="L551" s="77"/>
    </row>
    <row r="552" spans="1:75" ht="27" customHeight="1">
      <c r="A552" s="1" t="s">
        <v>1099</v>
      </c>
      <c r="B552" s="2" t="s">
        <v>84</v>
      </c>
      <c r="C552" s="2" t="s">
        <v>1100</v>
      </c>
      <c r="D552" s="108" t="s">
        <v>1101</v>
      </c>
      <c r="E552" s="103"/>
      <c r="F552" s="2" t="s">
        <v>1097</v>
      </c>
      <c r="G552" s="38">
        <f>'Stavební rozpočet'!G552</f>
        <v>1</v>
      </c>
      <c r="H552" s="38">
        <f>'Stavební rozpočet'!H552</f>
        <v>0</v>
      </c>
      <c r="I552" s="38">
        <f>G552*H552</f>
        <v>0</v>
      </c>
      <c r="J552" s="38">
        <f>'Stavební rozpočet'!J552</f>
        <v>0.067</v>
      </c>
      <c r="K552" s="38">
        <f>G552*J552</f>
        <v>0.067</v>
      </c>
      <c r="L552" s="71" t="s">
        <v>207</v>
      </c>
      <c r="Z552" s="38">
        <f>IF(AQ552="5",BJ552,0)</f>
        <v>0</v>
      </c>
      <c r="AB552" s="38">
        <f>IF(AQ552="1",BH552,0)</f>
        <v>0</v>
      </c>
      <c r="AC552" s="38">
        <f>IF(AQ552="1",BI552,0)</f>
        <v>0</v>
      </c>
      <c r="AD552" s="38">
        <f>IF(AQ552="7",BH552,0)</f>
        <v>0</v>
      </c>
      <c r="AE552" s="38">
        <f>IF(AQ552="7",BI552,0)</f>
        <v>0</v>
      </c>
      <c r="AF552" s="38">
        <f>IF(AQ552="2",BH552,0)</f>
        <v>0</v>
      </c>
      <c r="AG552" s="38">
        <f>IF(AQ552="2",BI552,0)</f>
        <v>0</v>
      </c>
      <c r="AH552" s="38">
        <f>IF(AQ552="0",BJ552,0)</f>
        <v>0</v>
      </c>
      <c r="AI552" s="50" t="s">
        <v>84</v>
      </c>
      <c r="AJ552" s="38">
        <f>IF(AN552=0,I552,0)</f>
        <v>0</v>
      </c>
      <c r="AK552" s="38">
        <f>IF(AN552=12,I552,0)</f>
        <v>0</v>
      </c>
      <c r="AL552" s="38">
        <f>IF(AN552=21,I552,0)</f>
        <v>0</v>
      </c>
      <c r="AN552" s="38">
        <v>21</v>
      </c>
      <c r="AO552" s="38">
        <f>H552*0.934280727</f>
        <v>0</v>
      </c>
      <c r="AP552" s="38">
        <f>H552*(1-0.934280727)</f>
        <v>0</v>
      </c>
      <c r="AQ552" s="72" t="s">
        <v>169</v>
      </c>
      <c r="AV552" s="38">
        <f>AW552+AX552</f>
        <v>0</v>
      </c>
      <c r="AW552" s="38">
        <f>G552*AO552</f>
        <v>0</v>
      </c>
      <c r="AX552" s="38">
        <f>G552*AP552</f>
        <v>0</v>
      </c>
      <c r="AY552" s="72" t="s">
        <v>1087</v>
      </c>
      <c r="AZ552" s="72" t="s">
        <v>990</v>
      </c>
      <c r="BA552" s="50" t="s">
        <v>139</v>
      </c>
      <c r="BB552" s="73">
        <v>100013</v>
      </c>
      <c r="BC552" s="38">
        <f>AW552+AX552</f>
        <v>0</v>
      </c>
      <c r="BD552" s="38">
        <f>H552/(100-BE552)*100</f>
        <v>0</v>
      </c>
      <c r="BE552" s="38">
        <v>0</v>
      </c>
      <c r="BF552" s="38">
        <f>K552</f>
        <v>0.067</v>
      </c>
      <c r="BH552" s="38">
        <f>G552*AO552</f>
        <v>0</v>
      </c>
      <c r="BI552" s="38">
        <f>G552*AP552</f>
        <v>0</v>
      </c>
      <c r="BJ552" s="38">
        <f>G552*H552</f>
        <v>0</v>
      </c>
      <c r="BK552" s="38"/>
      <c r="BL552" s="38">
        <v>766</v>
      </c>
      <c r="BW552" s="38">
        <v>21</v>
      </c>
    </row>
    <row r="553" spans="1:12" ht="13.5" customHeight="1">
      <c r="A553" s="74"/>
      <c r="D553" s="194" t="s">
        <v>1102</v>
      </c>
      <c r="E553" s="195"/>
      <c r="F553" s="195"/>
      <c r="G553" s="195"/>
      <c r="H553" s="195"/>
      <c r="I553" s="195"/>
      <c r="J553" s="195"/>
      <c r="K553" s="195"/>
      <c r="L553" s="197"/>
    </row>
    <row r="554" spans="1:12" ht="15">
      <c r="A554" s="74"/>
      <c r="D554" s="75" t="s">
        <v>132</v>
      </c>
      <c r="E554" s="75" t="s">
        <v>4</v>
      </c>
      <c r="G554" s="76">
        <v>1</v>
      </c>
      <c r="L554" s="77"/>
    </row>
    <row r="555" spans="1:75" ht="27" customHeight="1">
      <c r="A555" s="1" t="s">
        <v>1103</v>
      </c>
      <c r="B555" s="2" t="s">
        <v>84</v>
      </c>
      <c r="C555" s="2" t="s">
        <v>1104</v>
      </c>
      <c r="D555" s="108" t="s">
        <v>1105</v>
      </c>
      <c r="E555" s="103"/>
      <c r="F555" s="2" t="s">
        <v>199</v>
      </c>
      <c r="G555" s="38">
        <f>'Stavební rozpočet'!G555</f>
        <v>1</v>
      </c>
      <c r="H555" s="38">
        <f>'Stavební rozpočet'!H555</f>
        <v>0</v>
      </c>
      <c r="I555" s="38">
        <f>G555*H555</f>
        <v>0</v>
      </c>
      <c r="J555" s="38">
        <f>'Stavební rozpočet'!J555</f>
        <v>0.04</v>
      </c>
      <c r="K555" s="38">
        <f>G555*J555</f>
        <v>0.04</v>
      </c>
      <c r="L555" s="71" t="s">
        <v>207</v>
      </c>
      <c r="Z555" s="38">
        <f>IF(AQ555="5",BJ555,0)</f>
        <v>0</v>
      </c>
      <c r="AB555" s="38">
        <f>IF(AQ555="1",BH555,0)</f>
        <v>0</v>
      </c>
      <c r="AC555" s="38">
        <f>IF(AQ555="1",BI555,0)</f>
        <v>0</v>
      </c>
      <c r="AD555" s="38">
        <f>IF(AQ555="7",BH555,0)</f>
        <v>0</v>
      </c>
      <c r="AE555" s="38">
        <f>IF(AQ555="7",BI555,0)</f>
        <v>0</v>
      </c>
      <c r="AF555" s="38">
        <f>IF(AQ555="2",BH555,0)</f>
        <v>0</v>
      </c>
      <c r="AG555" s="38">
        <f>IF(AQ555="2",BI555,0)</f>
        <v>0</v>
      </c>
      <c r="AH555" s="38">
        <f>IF(AQ555="0",BJ555,0)</f>
        <v>0</v>
      </c>
      <c r="AI555" s="50" t="s">
        <v>84</v>
      </c>
      <c r="AJ555" s="38">
        <f>IF(AN555=0,I555,0)</f>
        <v>0</v>
      </c>
      <c r="AK555" s="38">
        <f>IF(AN555=12,I555,0)</f>
        <v>0</v>
      </c>
      <c r="AL555" s="38">
        <f>IF(AN555=21,I555,0)</f>
        <v>0</v>
      </c>
      <c r="AN555" s="38">
        <v>21</v>
      </c>
      <c r="AO555" s="38">
        <f>H555*0.88150534</f>
        <v>0</v>
      </c>
      <c r="AP555" s="38">
        <f>H555*(1-0.88150534)</f>
        <v>0</v>
      </c>
      <c r="AQ555" s="72" t="s">
        <v>169</v>
      </c>
      <c r="AV555" s="38">
        <f>AW555+AX555</f>
        <v>0</v>
      </c>
      <c r="AW555" s="38">
        <f>G555*AO555</f>
        <v>0</v>
      </c>
      <c r="AX555" s="38">
        <f>G555*AP555</f>
        <v>0</v>
      </c>
      <c r="AY555" s="72" t="s">
        <v>1087</v>
      </c>
      <c r="AZ555" s="72" t="s">
        <v>990</v>
      </c>
      <c r="BA555" s="50" t="s">
        <v>139</v>
      </c>
      <c r="BB555" s="73">
        <v>100013</v>
      </c>
      <c r="BC555" s="38">
        <f>AW555+AX555</f>
        <v>0</v>
      </c>
      <c r="BD555" s="38">
        <f>H555/(100-BE555)*100</f>
        <v>0</v>
      </c>
      <c r="BE555" s="38">
        <v>0</v>
      </c>
      <c r="BF555" s="38">
        <f>K555</f>
        <v>0.04</v>
      </c>
      <c r="BH555" s="38">
        <f>G555*AO555</f>
        <v>0</v>
      </c>
      <c r="BI555" s="38">
        <f>G555*AP555</f>
        <v>0</v>
      </c>
      <c r="BJ555" s="38">
        <f>G555*H555</f>
        <v>0</v>
      </c>
      <c r="BK555" s="38"/>
      <c r="BL555" s="38">
        <v>766</v>
      </c>
      <c r="BW555" s="38">
        <v>21</v>
      </c>
    </row>
    <row r="556" spans="1:12" ht="13.5" customHeight="1">
      <c r="A556" s="74"/>
      <c r="D556" s="194" t="s">
        <v>1106</v>
      </c>
      <c r="E556" s="195"/>
      <c r="F556" s="195"/>
      <c r="G556" s="195"/>
      <c r="H556" s="195"/>
      <c r="I556" s="195"/>
      <c r="J556" s="195"/>
      <c r="K556" s="195"/>
      <c r="L556" s="197"/>
    </row>
    <row r="557" spans="1:12" ht="15">
      <c r="A557" s="74"/>
      <c r="D557" s="75" t="s">
        <v>132</v>
      </c>
      <c r="E557" s="75" t="s">
        <v>4</v>
      </c>
      <c r="G557" s="76">
        <v>1</v>
      </c>
      <c r="L557" s="77"/>
    </row>
    <row r="558" spans="1:75" ht="27" customHeight="1">
      <c r="A558" s="1" t="s">
        <v>1107</v>
      </c>
      <c r="B558" s="2" t="s">
        <v>84</v>
      </c>
      <c r="C558" s="2" t="s">
        <v>1108</v>
      </c>
      <c r="D558" s="108" t="s">
        <v>1109</v>
      </c>
      <c r="E558" s="103"/>
      <c r="F558" s="2" t="s">
        <v>199</v>
      </c>
      <c r="G558" s="38">
        <f>'Stavební rozpočet'!G558</f>
        <v>1</v>
      </c>
      <c r="H558" s="38">
        <f>'Stavební rozpočet'!H558</f>
        <v>0</v>
      </c>
      <c r="I558" s="38">
        <f>G558*H558</f>
        <v>0</v>
      </c>
      <c r="J558" s="38">
        <f>'Stavební rozpočet'!J558</f>
        <v>0.04</v>
      </c>
      <c r="K558" s="38">
        <f>G558*J558</f>
        <v>0.04</v>
      </c>
      <c r="L558" s="71" t="s">
        <v>207</v>
      </c>
      <c r="Z558" s="38">
        <f>IF(AQ558="5",BJ558,0)</f>
        <v>0</v>
      </c>
      <c r="AB558" s="38">
        <f>IF(AQ558="1",BH558,0)</f>
        <v>0</v>
      </c>
      <c r="AC558" s="38">
        <f>IF(AQ558="1",BI558,0)</f>
        <v>0</v>
      </c>
      <c r="AD558" s="38">
        <f>IF(AQ558="7",BH558,0)</f>
        <v>0</v>
      </c>
      <c r="AE558" s="38">
        <f>IF(AQ558="7",BI558,0)</f>
        <v>0</v>
      </c>
      <c r="AF558" s="38">
        <f>IF(AQ558="2",BH558,0)</f>
        <v>0</v>
      </c>
      <c r="AG558" s="38">
        <f>IF(AQ558="2",BI558,0)</f>
        <v>0</v>
      </c>
      <c r="AH558" s="38">
        <f>IF(AQ558="0",BJ558,0)</f>
        <v>0</v>
      </c>
      <c r="AI558" s="50" t="s">
        <v>84</v>
      </c>
      <c r="AJ558" s="38">
        <f>IF(AN558=0,I558,0)</f>
        <v>0</v>
      </c>
      <c r="AK558" s="38">
        <f>IF(AN558=12,I558,0)</f>
        <v>0</v>
      </c>
      <c r="AL558" s="38">
        <f>IF(AN558=21,I558,0)</f>
        <v>0</v>
      </c>
      <c r="AN558" s="38">
        <v>21</v>
      </c>
      <c r="AO558" s="38">
        <f>H558*0.88150534</f>
        <v>0</v>
      </c>
      <c r="AP558" s="38">
        <f>H558*(1-0.88150534)</f>
        <v>0</v>
      </c>
      <c r="AQ558" s="72" t="s">
        <v>169</v>
      </c>
      <c r="AV558" s="38">
        <f>AW558+AX558</f>
        <v>0</v>
      </c>
      <c r="AW558" s="38">
        <f>G558*AO558</f>
        <v>0</v>
      </c>
      <c r="AX558" s="38">
        <f>G558*AP558</f>
        <v>0</v>
      </c>
      <c r="AY558" s="72" t="s">
        <v>1087</v>
      </c>
      <c r="AZ558" s="72" t="s">
        <v>990</v>
      </c>
      <c r="BA558" s="50" t="s">
        <v>139</v>
      </c>
      <c r="BB558" s="73">
        <v>100013</v>
      </c>
      <c r="BC558" s="38">
        <f>AW558+AX558</f>
        <v>0</v>
      </c>
      <c r="BD558" s="38">
        <f>H558/(100-BE558)*100</f>
        <v>0</v>
      </c>
      <c r="BE558" s="38">
        <v>0</v>
      </c>
      <c r="BF558" s="38">
        <f>K558</f>
        <v>0.04</v>
      </c>
      <c r="BH558" s="38">
        <f>G558*AO558</f>
        <v>0</v>
      </c>
      <c r="BI558" s="38">
        <f>G558*AP558</f>
        <v>0</v>
      </c>
      <c r="BJ558" s="38">
        <f>G558*H558</f>
        <v>0</v>
      </c>
      <c r="BK558" s="38"/>
      <c r="BL558" s="38">
        <v>766</v>
      </c>
      <c r="BW558" s="38">
        <v>21</v>
      </c>
    </row>
    <row r="559" spans="1:12" ht="13.5" customHeight="1">
      <c r="A559" s="74"/>
      <c r="D559" s="194" t="s">
        <v>1106</v>
      </c>
      <c r="E559" s="195"/>
      <c r="F559" s="195"/>
      <c r="G559" s="195"/>
      <c r="H559" s="195"/>
      <c r="I559" s="195"/>
      <c r="J559" s="195"/>
      <c r="K559" s="195"/>
      <c r="L559" s="197"/>
    </row>
    <row r="560" spans="1:12" ht="15">
      <c r="A560" s="74"/>
      <c r="D560" s="75" t="s">
        <v>132</v>
      </c>
      <c r="E560" s="75" t="s">
        <v>4</v>
      </c>
      <c r="G560" s="76">
        <v>1</v>
      </c>
      <c r="L560" s="77"/>
    </row>
    <row r="561" spans="1:75" ht="27" customHeight="1">
      <c r="A561" s="1" t="s">
        <v>1110</v>
      </c>
      <c r="B561" s="2" t="s">
        <v>84</v>
      </c>
      <c r="C561" s="2" t="s">
        <v>1111</v>
      </c>
      <c r="D561" s="108" t="s">
        <v>1112</v>
      </c>
      <c r="E561" s="103"/>
      <c r="F561" s="2" t="s">
        <v>199</v>
      </c>
      <c r="G561" s="38">
        <f>'Stavební rozpočet'!G561</f>
        <v>1</v>
      </c>
      <c r="H561" s="38">
        <f>'Stavební rozpočet'!H561</f>
        <v>0</v>
      </c>
      <c r="I561" s="38">
        <f>G561*H561</f>
        <v>0</v>
      </c>
      <c r="J561" s="38">
        <f>'Stavební rozpočet'!J561</f>
        <v>0.04</v>
      </c>
      <c r="K561" s="38">
        <f>G561*J561</f>
        <v>0.04</v>
      </c>
      <c r="L561" s="71" t="s">
        <v>207</v>
      </c>
      <c r="Z561" s="38">
        <f>IF(AQ561="5",BJ561,0)</f>
        <v>0</v>
      </c>
      <c r="AB561" s="38">
        <f>IF(AQ561="1",BH561,0)</f>
        <v>0</v>
      </c>
      <c r="AC561" s="38">
        <f>IF(AQ561="1",BI561,0)</f>
        <v>0</v>
      </c>
      <c r="AD561" s="38">
        <f>IF(AQ561="7",BH561,0)</f>
        <v>0</v>
      </c>
      <c r="AE561" s="38">
        <f>IF(AQ561="7",BI561,0)</f>
        <v>0</v>
      </c>
      <c r="AF561" s="38">
        <f>IF(AQ561="2",BH561,0)</f>
        <v>0</v>
      </c>
      <c r="AG561" s="38">
        <f>IF(AQ561="2",BI561,0)</f>
        <v>0</v>
      </c>
      <c r="AH561" s="38">
        <f>IF(AQ561="0",BJ561,0)</f>
        <v>0</v>
      </c>
      <c r="AI561" s="50" t="s">
        <v>84</v>
      </c>
      <c r="AJ561" s="38">
        <f>IF(AN561=0,I561,0)</f>
        <v>0</v>
      </c>
      <c r="AK561" s="38">
        <f>IF(AN561=12,I561,0)</f>
        <v>0</v>
      </c>
      <c r="AL561" s="38">
        <f>IF(AN561=21,I561,0)</f>
        <v>0</v>
      </c>
      <c r="AN561" s="38">
        <v>21</v>
      </c>
      <c r="AO561" s="38">
        <f>H561*0.877346903</f>
        <v>0</v>
      </c>
      <c r="AP561" s="38">
        <f>H561*(1-0.877346903)</f>
        <v>0</v>
      </c>
      <c r="AQ561" s="72" t="s">
        <v>169</v>
      </c>
      <c r="AV561" s="38">
        <f>AW561+AX561</f>
        <v>0</v>
      </c>
      <c r="AW561" s="38">
        <f>G561*AO561</f>
        <v>0</v>
      </c>
      <c r="AX561" s="38">
        <f>G561*AP561</f>
        <v>0</v>
      </c>
      <c r="AY561" s="72" t="s">
        <v>1087</v>
      </c>
      <c r="AZ561" s="72" t="s">
        <v>990</v>
      </c>
      <c r="BA561" s="50" t="s">
        <v>139</v>
      </c>
      <c r="BB561" s="73">
        <v>100013</v>
      </c>
      <c r="BC561" s="38">
        <f>AW561+AX561</f>
        <v>0</v>
      </c>
      <c r="BD561" s="38">
        <f>H561/(100-BE561)*100</f>
        <v>0</v>
      </c>
      <c r="BE561" s="38">
        <v>0</v>
      </c>
      <c r="BF561" s="38">
        <f>K561</f>
        <v>0.04</v>
      </c>
      <c r="BH561" s="38">
        <f>G561*AO561</f>
        <v>0</v>
      </c>
      <c r="BI561" s="38">
        <f>G561*AP561</f>
        <v>0</v>
      </c>
      <c r="BJ561" s="38">
        <f>G561*H561</f>
        <v>0</v>
      </c>
      <c r="BK561" s="38"/>
      <c r="BL561" s="38">
        <v>766</v>
      </c>
      <c r="BW561" s="38">
        <v>21</v>
      </c>
    </row>
    <row r="562" spans="1:12" ht="13.5" customHeight="1">
      <c r="A562" s="74"/>
      <c r="D562" s="194" t="s">
        <v>1106</v>
      </c>
      <c r="E562" s="195"/>
      <c r="F562" s="195"/>
      <c r="G562" s="195"/>
      <c r="H562" s="195"/>
      <c r="I562" s="195"/>
      <c r="J562" s="195"/>
      <c r="K562" s="195"/>
      <c r="L562" s="197"/>
    </row>
    <row r="563" spans="1:12" ht="15">
      <c r="A563" s="74"/>
      <c r="D563" s="75" t="s">
        <v>132</v>
      </c>
      <c r="E563" s="75" t="s">
        <v>4</v>
      </c>
      <c r="G563" s="76">
        <v>1</v>
      </c>
      <c r="L563" s="77"/>
    </row>
    <row r="564" spans="1:75" ht="27" customHeight="1">
      <c r="A564" s="1" t="s">
        <v>1113</v>
      </c>
      <c r="B564" s="2" t="s">
        <v>84</v>
      </c>
      <c r="C564" s="2" t="s">
        <v>1114</v>
      </c>
      <c r="D564" s="108" t="s">
        <v>1115</v>
      </c>
      <c r="E564" s="103"/>
      <c r="F564" s="2" t="s">
        <v>199</v>
      </c>
      <c r="G564" s="38">
        <f>'Stavební rozpočet'!G564</f>
        <v>1</v>
      </c>
      <c r="H564" s="38">
        <f>'Stavební rozpočet'!H564</f>
        <v>0</v>
      </c>
      <c r="I564" s="38">
        <f>G564*H564</f>
        <v>0</v>
      </c>
      <c r="J564" s="38">
        <f>'Stavební rozpočet'!J564</f>
        <v>0.04</v>
      </c>
      <c r="K564" s="38">
        <f>G564*J564</f>
        <v>0.04</v>
      </c>
      <c r="L564" s="71" t="s">
        <v>207</v>
      </c>
      <c r="Z564" s="38">
        <f>IF(AQ564="5",BJ564,0)</f>
        <v>0</v>
      </c>
      <c r="AB564" s="38">
        <f>IF(AQ564="1",BH564,0)</f>
        <v>0</v>
      </c>
      <c r="AC564" s="38">
        <f>IF(AQ564="1",BI564,0)</f>
        <v>0</v>
      </c>
      <c r="AD564" s="38">
        <f>IF(AQ564="7",BH564,0)</f>
        <v>0</v>
      </c>
      <c r="AE564" s="38">
        <f>IF(AQ564="7",BI564,0)</f>
        <v>0</v>
      </c>
      <c r="AF564" s="38">
        <f>IF(AQ564="2",BH564,0)</f>
        <v>0</v>
      </c>
      <c r="AG564" s="38">
        <f>IF(AQ564="2",BI564,0)</f>
        <v>0</v>
      </c>
      <c r="AH564" s="38">
        <f>IF(AQ564="0",BJ564,0)</f>
        <v>0</v>
      </c>
      <c r="AI564" s="50" t="s">
        <v>84</v>
      </c>
      <c r="AJ564" s="38">
        <f>IF(AN564=0,I564,0)</f>
        <v>0</v>
      </c>
      <c r="AK564" s="38">
        <f>IF(AN564=12,I564,0)</f>
        <v>0</v>
      </c>
      <c r="AL564" s="38">
        <f>IF(AN564=21,I564,0)</f>
        <v>0</v>
      </c>
      <c r="AN564" s="38">
        <v>21</v>
      </c>
      <c r="AO564" s="38">
        <f>H564*0.88150534</f>
        <v>0</v>
      </c>
      <c r="AP564" s="38">
        <f>H564*(1-0.88150534)</f>
        <v>0</v>
      </c>
      <c r="AQ564" s="72" t="s">
        <v>169</v>
      </c>
      <c r="AV564" s="38">
        <f>AW564+AX564</f>
        <v>0</v>
      </c>
      <c r="AW564" s="38">
        <f>G564*AO564</f>
        <v>0</v>
      </c>
      <c r="AX564" s="38">
        <f>G564*AP564</f>
        <v>0</v>
      </c>
      <c r="AY564" s="72" t="s">
        <v>1087</v>
      </c>
      <c r="AZ564" s="72" t="s">
        <v>990</v>
      </c>
      <c r="BA564" s="50" t="s">
        <v>139</v>
      </c>
      <c r="BB564" s="73">
        <v>100013</v>
      </c>
      <c r="BC564" s="38">
        <f>AW564+AX564</f>
        <v>0</v>
      </c>
      <c r="BD564" s="38">
        <f>H564/(100-BE564)*100</f>
        <v>0</v>
      </c>
      <c r="BE564" s="38">
        <v>0</v>
      </c>
      <c r="BF564" s="38">
        <f>K564</f>
        <v>0.04</v>
      </c>
      <c r="BH564" s="38">
        <f>G564*AO564</f>
        <v>0</v>
      </c>
      <c r="BI564" s="38">
        <f>G564*AP564</f>
        <v>0</v>
      </c>
      <c r="BJ564" s="38">
        <f>G564*H564</f>
        <v>0</v>
      </c>
      <c r="BK564" s="38"/>
      <c r="BL564" s="38">
        <v>766</v>
      </c>
      <c r="BW564" s="38">
        <v>21</v>
      </c>
    </row>
    <row r="565" spans="1:12" ht="13.5" customHeight="1">
      <c r="A565" s="74"/>
      <c r="D565" s="194" t="s">
        <v>1106</v>
      </c>
      <c r="E565" s="195"/>
      <c r="F565" s="195"/>
      <c r="G565" s="195"/>
      <c r="H565" s="195"/>
      <c r="I565" s="195"/>
      <c r="J565" s="195"/>
      <c r="K565" s="195"/>
      <c r="L565" s="197"/>
    </row>
    <row r="566" spans="1:12" ht="15">
      <c r="A566" s="74"/>
      <c r="D566" s="75" t="s">
        <v>132</v>
      </c>
      <c r="E566" s="75" t="s">
        <v>4</v>
      </c>
      <c r="G566" s="76">
        <v>1</v>
      </c>
      <c r="L566" s="77"/>
    </row>
    <row r="567" spans="1:75" ht="27" customHeight="1">
      <c r="A567" s="1" t="s">
        <v>1116</v>
      </c>
      <c r="B567" s="2" t="s">
        <v>84</v>
      </c>
      <c r="C567" s="2" t="s">
        <v>1117</v>
      </c>
      <c r="D567" s="108" t="s">
        <v>1118</v>
      </c>
      <c r="E567" s="103"/>
      <c r="F567" s="2" t="s">
        <v>199</v>
      </c>
      <c r="G567" s="38">
        <f>'Stavební rozpočet'!G567</f>
        <v>1</v>
      </c>
      <c r="H567" s="38">
        <f>'Stavební rozpočet'!H567</f>
        <v>0</v>
      </c>
      <c r="I567" s="38">
        <f>G567*H567</f>
        <v>0</v>
      </c>
      <c r="J567" s="38">
        <f>'Stavební rozpočet'!J567</f>
        <v>0.04</v>
      </c>
      <c r="K567" s="38">
        <f>G567*J567</f>
        <v>0.04</v>
      </c>
      <c r="L567" s="71" t="s">
        <v>207</v>
      </c>
      <c r="Z567" s="38">
        <f>IF(AQ567="5",BJ567,0)</f>
        <v>0</v>
      </c>
      <c r="AB567" s="38">
        <f>IF(AQ567="1",BH567,0)</f>
        <v>0</v>
      </c>
      <c r="AC567" s="38">
        <f>IF(AQ567="1",BI567,0)</f>
        <v>0</v>
      </c>
      <c r="AD567" s="38">
        <f>IF(AQ567="7",BH567,0)</f>
        <v>0</v>
      </c>
      <c r="AE567" s="38">
        <f>IF(AQ567="7",BI567,0)</f>
        <v>0</v>
      </c>
      <c r="AF567" s="38">
        <f>IF(AQ567="2",BH567,0)</f>
        <v>0</v>
      </c>
      <c r="AG567" s="38">
        <f>IF(AQ567="2",BI567,0)</f>
        <v>0</v>
      </c>
      <c r="AH567" s="38">
        <f>IF(AQ567="0",BJ567,0)</f>
        <v>0</v>
      </c>
      <c r="AI567" s="50" t="s">
        <v>84</v>
      </c>
      <c r="AJ567" s="38">
        <f>IF(AN567=0,I567,0)</f>
        <v>0</v>
      </c>
      <c r="AK567" s="38">
        <f>IF(AN567=12,I567,0)</f>
        <v>0</v>
      </c>
      <c r="AL567" s="38">
        <f>IF(AN567=21,I567,0)</f>
        <v>0</v>
      </c>
      <c r="AN567" s="38">
        <v>21</v>
      </c>
      <c r="AO567" s="38">
        <f>H567*0.88150534</f>
        <v>0</v>
      </c>
      <c r="AP567" s="38">
        <f>H567*(1-0.88150534)</f>
        <v>0</v>
      </c>
      <c r="AQ567" s="72" t="s">
        <v>169</v>
      </c>
      <c r="AV567" s="38">
        <f>AW567+AX567</f>
        <v>0</v>
      </c>
      <c r="AW567" s="38">
        <f>G567*AO567</f>
        <v>0</v>
      </c>
      <c r="AX567" s="38">
        <f>G567*AP567</f>
        <v>0</v>
      </c>
      <c r="AY567" s="72" t="s">
        <v>1087</v>
      </c>
      <c r="AZ567" s="72" t="s">
        <v>990</v>
      </c>
      <c r="BA567" s="50" t="s">
        <v>139</v>
      </c>
      <c r="BB567" s="73">
        <v>100013</v>
      </c>
      <c r="BC567" s="38">
        <f>AW567+AX567</f>
        <v>0</v>
      </c>
      <c r="BD567" s="38">
        <f>H567/(100-BE567)*100</f>
        <v>0</v>
      </c>
      <c r="BE567" s="38">
        <v>0</v>
      </c>
      <c r="BF567" s="38">
        <f>K567</f>
        <v>0.04</v>
      </c>
      <c r="BH567" s="38">
        <f>G567*AO567</f>
        <v>0</v>
      </c>
      <c r="BI567" s="38">
        <f>G567*AP567</f>
        <v>0</v>
      </c>
      <c r="BJ567" s="38">
        <f>G567*H567</f>
        <v>0</v>
      </c>
      <c r="BK567" s="38"/>
      <c r="BL567" s="38">
        <v>766</v>
      </c>
      <c r="BW567" s="38">
        <v>21</v>
      </c>
    </row>
    <row r="568" spans="1:12" ht="13.5" customHeight="1">
      <c r="A568" s="74"/>
      <c r="D568" s="194" t="s">
        <v>1106</v>
      </c>
      <c r="E568" s="195"/>
      <c r="F568" s="195"/>
      <c r="G568" s="195"/>
      <c r="H568" s="195"/>
      <c r="I568" s="195"/>
      <c r="J568" s="195"/>
      <c r="K568" s="195"/>
      <c r="L568" s="197"/>
    </row>
    <row r="569" spans="1:12" ht="15">
      <c r="A569" s="74"/>
      <c r="D569" s="75" t="s">
        <v>132</v>
      </c>
      <c r="E569" s="75" t="s">
        <v>4</v>
      </c>
      <c r="G569" s="76">
        <v>1</v>
      </c>
      <c r="L569" s="77"/>
    </row>
    <row r="570" spans="1:75" ht="27" customHeight="1">
      <c r="A570" s="1" t="s">
        <v>1119</v>
      </c>
      <c r="B570" s="2" t="s">
        <v>84</v>
      </c>
      <c r="C570" s="2" t="s">
        <v>1120</v>
      </c>
      <c r="D570" s="108" t="s">
        <v>1121</v>
      </c>
      <c r="E570" s="103"/>
      <c r="F570" s="2" t="s">
        <v>199</v>
      </c>
      <c r="G570" s="38">
        <f>'Stavební rozpočet'!G570</f>
        <v>1</v>
      </c>
      <c r="H570" s="38">
        <f>'Stavební rozpočet'!H570</f>
        <v>0</v>
      </c>
      <c r="I570" s="38">
        <f>G570*H570</f>
        <v>0</v>
      </c>
      <c r="J570" s="38">
        <f>'Stavební rozpočet'!J570</f>
        <v>0.04</v>
      </c>
      <c r="K570" s="38">
        <f>G570*J570</f>
        <v>0.04</v>
      </c>
      <c r="L570" s="71" t="s">
        <v>207</v>
      </c>
      <c r="Z570" s="38">
        <f>IF(AQ570="5",BJ570,0)</f>
        <v>0</v>
      </c>
      <c r="AB570" s="38">
        <f>IF(AQ570="1",BH570,0)</f>
        <v>0</v>
      </c>
      <c r="AC570" s="38">
        <f>IF(AQ570="1",BI570,0)</f>
        <v>0</v>
      </c>
      <c r="AD570" s="38">
        <f>IF(AQ570="7",BH570,0)</f>
        <v>0</v>
      </c>
      <c r="AE570" s="38">
        <f>IF(AQ570="7",BI570,0)</f>
        <v>0</v>
      </c>
      <c r="AF570" s="38">
        <f>IF(AQ570="2",BH570,0)</f>
        <v>0</v>
      </c>
      <c r="AG570" s="38">
        <f>IF(AQ570="2",BI570,0)</f>
        <v>0</v>
      </c>
      <c r="AH570" s="38">
        <f>IF(AQ570="0",BJ570,0)</f>
        <v>0</v>
      </c>
      <c r="AI570" s="50" t="s">
        <v>84</v>
      </c>
      <c r="AJ570" s="38">
        <f>IF(AN570=0,I570,0)</f>
        <v>0</v>
      </c>
      <c r="AK570" s="38">
        <f>IF(AN570=12,I570,0)</f>
        <v>0</v>
      </c>
      <c r="AL570" s="38">
        <f>IF(AN570=21,I570,0)</f>
        <v>0</v>
      </c>
      <c r="AN570" s="38">
        <v>21</v>
      </c>
      <c r="AO570" s="38">
        <f>H570*0.88150534</f>
        <v>0</v>
      </c>
      <c r="AP570" s="38">
        <f>H570*(1-0.88150534)</f>
        <v>0</v>
      </c>
      <c r="AQ570" s="72" t="s">
        <v>169</v>
      </c>
      <c r="AV570" s="38">
        <f>AW570+AX570</f>
        <v>0</v>
      </c>
      <c r="AW570" s="38">
        <f>G570*AO570</f>
        <v>0</v>
      </c>
      <c r="AX570" s="38">
        <f>G570*AP570</f>
        <v>0</v>
      </c>
      <c r="AY570" s="72" t="s">
        <v>1087</v>
      </c>
      <c r="AZ570" s="72" t="s">
        <v>990</v>
      </c>
      <c r="BA570" s="50" t="s">
        <v>139</v>
      </c>
      <c r="BB570" s="73">
        <v>100013</v>
      </c>
      <c r="BC570" s="38">
        <f>AW570+AX570</f>
        <v>0</v>
      </c>
      <c r="BD570" s="38">
        <f>H570/(100-BE570)*100</f>
        <v>0</v>
      </c>
      <c r="BE570" s="38">
        <v>0</v>
      </c>
      <c r="BF570" s="38">
        <f>K570</f>
        <v>0.04</v>
      </c>
      <c r="BH570" s="38">
        <f>G570*AO570</f>
        <v>0</v>
      </c>
      <c r="BI570" s="38">
        <f>G570*AP570</f>
        <v>0</v>
      </c>
      <c r="BJ570" s="38">
        <f>G570*H570</f>
        <v>0</v>
      </c>
      <c r="BK570" s="38"/>
      <c r="BL570" s="38">
        <v>766</v>
      </c>
      <c r="BW570" s="38">
        <v>21</v>
      </c>
    </row>
    <row r="571" spans="1:12" ht="13.5" customHeight="1">
      <c r="A571" s="74"/>
      <c r="D571" s="194" t="s">
        <v>1106</v>
      </c>
      <c r="E571" s="195"/>
      <c r="F571" s="195"/>
      <c r="G571" s="195"/>
      <c r="H571" s="195"/>
      <c r="I571" s="195"/>
      <c r="J571" s="195"/>
      <c r="K571" s="195"/>
      <c r="L571" s="197"/>
    </row>
    <row r="572" spans="1:12" ht="15">
      <c r="A572" s="74"/>
      <c r="D572" s="75" t="s">
        <v>132</v>
      </c>
      <c r="E572" s="75" t="s">
        <v>4</v>
      </c>
      <c r="G572" s="76">
        <v>1</v>
      </c>
      <c r="L572" s="77"/>
    </row>
    <row r="573" spans="1:75" ht="27" customHeight="1">
      <c r="A573" s="1" t="s">
        <v>1122</v>
      </c>
      <c r="B573" s="2" t="s">
        <v>84</v>
      </c>
      <c r="C573" s="2" t="s">
        <v>1123</v>
      </c>
      <c r="D573" s="108" t="s">
        <v>1124</v>
      </c>
      <c r="E573" s="103"/>
      <c r="F573" s="2" t="s">
        <v>199</v>
      </c>
      <c r="G573" s="38">
        <f>'Stavební rozpočet'!G573</f>
        <v>1</v>
      </c>
      <c r="H573" s="38">
        <f>'Stavební rozpočet'!H573</f>
        <v>0</v>
      </c>
      <c r="I573" s="38">
        <f>G573*H573</f>
        <v>0</v>
      </c>
      <c r="J573" s="38">
        <f>'Stavební rozpočet'!J573</f>
        <v>0.04</v>
      </c>
      <c r="K573" s="38">
        <f>G573*J573</f>
        <v>0.04</v>
      </c>
      <c r="L573" s="71" t="s">
        <v>207</v>
      </c>
      <c r="Z573" s="38">
        <f>IF(AQ573="5",BJ573,0)</f>
        <v>0</v>
      </c>
      <c r="AB573" s="38">
        <f>IF(AQ573="1",BH573,0)</f>
        <v>0</v>
      </c>
      <c r="AC573" s="38">
        <f>IF(AQ573="1",BI573,0)</f>
        <v>0</v>
      </c>
      <c r="AD573" s="38">
        <f>IF(AQ573="7",BH573,0)</f>
        <v>0</v>
      </c>
      <c r="AE573" s="38">
        <f>IF(AQ573="7",BI573,0)</f>
        <v>0</v>
      </c>
      <c r="AF573" s="38">
        <f>IF(AQ573="2",BH573,0)</f>
        <v>0</v>
      </c>
      <c r="AG573" s="38">
        <f>IF(AQ573="2",BI573,0)</f>
        <v>0</v>
      </c>
      <c r="AH573" s="38">
        <f>IF(AQ573="0",BJ573,0)</f>
        <v>0</v>
      </c>
      <c r="AI573" s="50" t="s">
        <v>84</v>
      </c>
      <c r="AJ573" s="38">
        <f>IF(AN573=0,I573,0)</f>
        <v>0</v>
      </c>
      <c r="AK573" s="38">
        <f>IF(AN573=12,I573,0)</f>
        <v>0</v>
      </c>
      <c r="AL573" s="38">
        <f>IF(AN573=21,I573,0)</f>
        <v>0</v>
      </c>
      <c r="AN573" s="38">
        <v>21</v>
      </c>
      <c r="AO573" s="38">
        <f>H573*0.88150534</f>
        <v>0</v>
      </c>
      <c r="AP573" s="38">
        <f>H573*(1-0.88150534)</f>
        <v>0</v>
      </c>
      <c r="AQ573" s="72" t="s">
        <v>169</v>
      </c>
      <c r="AV573" s="38">
        <f>AW573+AX573</f>
        <v>0</v>
      </c>
      <c r="AW573" s="38">
        <f>G573*AO573</f>
        <v>0</v>
      </c>
      <c r="AX573" s="38">
        <f>G573*AP573</f>
        <v>0</v>
      </c>
      <c r="AY573" s="72" t="s">
        <v>1087</v>
      </c>
      <c r="AZ573" s="72" t="s">
        <v>990</v>
      </c>
      <c r="BA573" s="50" t="s">
        <v>139</v>
      </c>
      <c r="BB573" s="73">
        <v>100013</v>
      </c>
      <c r="BC573" s="38">
        <f>AW573+AX573</f>
        <v>0</v>
      </c>
      <c r="BD573" s="38">
        <f>H573/(100-BE573)*100</f>
        <v>0</v>
      </c>
      <c r="BE573" s="38">
        <v>0</v>
      </c>
      <c r="BF573" s="38">
        <f>K573</f>
        <v>0.04</v>
      </c>
      <c r="BH573" s="38">
        <f>G573*AO573</f>
        <v>0</v>
      </c>
      <c r="BI573" s="38">
        <f>G573*AP573</f>
        <v>0</v>
      </c>
      <c r="BJ573" s="38">
        <f>G573*H573</f>
        <v>0</v>
      </c>
      <c r="BK573" s="38"/>
      <c r="BL573" s="38">
        <v>766</v>
      </c>
      <c r="BW573" s="38">
        <v>21</v>
      </c>
    </row>
    <row r="574" spans="1:12" ht="13.5" customHeight="1">
      <c r="A574" s="74"/>
      <c r="D574" s="194" t="s">
        <v>1106</v>
      </c>
      <c r="E574" s="195"/>
      <c r="F574" s="195"/>
      <c r="G574" s="195"/>
      <c r="H574" s="195"/>
      <c r="I574" s="195"/>
      <c r="J574" s="195"/>
      <c r="K574" s="195"/>
      <c r="L574" s="197"/>
    </row>
    <row r="575" spans="1:12" ht="15">
      <c r="A575" s="74"/>
      <c r="D575" s="75" t="s">
        <v>132</v>
      </c>
      <c r="E575" s="75" t="s">
        <v>4</v>
      </c>
      <c r="G575" s="76">
        <v>1</v>
      </c>
      <c r="L575" s="77"/>
    </row>
    <row r="576" spans="1:75" ht="27" customHeight="1">
      <c r="A576" s="1" t="s">
        <v>1125</v>
      </c>
      <c r="B576" s="2" t="s">
        <v>84</v>
      </c>
      <c r="C576" s="2" t="s">
        <v>1126</v>
      </c>
      <c r="D576" s="108" t="s">
        <v>1127</v>
      </c>
      <c r="E576" s="103"/>
      <c r="F576" s="2" t="s">
        <v>199</v>
      </c>
      <c r="G576" s="38">
        <f>'Stavební rozpočet'!G576</f>
        <v>1</v>
      </c>
      <c r="H576" s="38">
        <f>'Stavební rozpočet'!H576</f>
        <v>0</v>
      </c>
      <c r="I576" s="38">
        <f>G576*H576</f>
        <v>0</v>
      </c>
      <c r="J576" s="38">
        <f>'Stavební rozpočet'!J576</f>
        <v>0.04</v>
      </c>
      <c r="K576" s="38">
        <f>G576*J576</f>
        <v>0.04</v>
      </c>
      <c r="L576" s="71" t="s">
        <v>207</v>
      </c>
      <c r="Z576" s="38">
        <f>IF(AQ576="5",BJ576,0)</f>
        <v>0</v>
      </c>
      <c r="AB576" s="38">
        <f>IF(AQ576="1",BH576,0)</f>
        <v>0</v>
      </c>
      <c r="AC576" s="38">
        <f>IF(AQ576="1",BI576,0)</f>
        <v>0</v>
      </c>
      <c r="AD576" s="38">
        <f>IF(AQ576="7",BH576,0)</f>
        <v>0</v>
      </c>
      <c r="AE576" s="38">
        <f>IF(AQ576="7",BI576,0)</f>
        <v>0</v>
      </c>
      <c r="AF576" s="38">
        <f>IF(AQ576="2",BH576,0)</f>
        <v>0</v>
      </c>
      <c r="AG576" s="38">
        <f>IF(AQ576="2",BI576,0)</f>
        <v>0</v>
      </c>
      <c r="AH576" s="38">
        <f>IF(AQ576="0",BJ576,0)</f>
        <v>0</v>
      </c>
      <c r="AI576" s="50" t="s">
        <v>84</v>
      </c>
      <c r="AJ576" s="38">
        <f>IF(AN576=0,I576,0)</f>
        <v>0</v>
      </c>
      <c r="AK576" s="38">
        <f>IF(AN576=12,I576,0)</f>
        <v>0</v>
      </c>
      <c r="AL576" s="38">
        <f>IF(AN576=21,I576,0)</f>
        <v>0</v>
      </c>
      <c r="AN576" s="38">
        <v>21</v>
      </c>
      <c r="AO576" s="38">
        <f>H576*0.80931163</f>
        <v>0</v>
      </c>
      <c r="AP576" s="38">
        <f>H576*(1-0.80931163)</f>
        <v>0</v>
      </c>
      <c r="AQ576" s="72" t="s">
        <v>169</v>
      </c>
      <c r="AV576" s="38">
        <f>AW576+AX576</f>
        <v>0</v>
      </c>
      <c r="AW576" s="38">
        <f>G576*AO576</f>
        <v>0</v>
      </c>
      <c r="AX576" s="38">
        <f>G576*AP576</f>
        <v>0</v>
      </c>
      <c r="AY576" s="72" t="s">
        <v>1087</v>
      </c>
      <c r="AZ576" s="72" t="s">
        <v>990</v>
      </c>
      <c r="BA576" s="50" t="s">
        <v>139</v>
      </c>
      <c r="BB576" s="73">
        <v>100013</v>
      </c>
      <c r="BC576" s="38">
        <f>AW576+AX576</f>
        <v>0</v>
      </c>
      <c r="BD576" s="38">
        <f>H576/(100-BE576)*100</f>
        <v>0</v>
      </c>
      <c r="BE576" s="38">
        <v>0</v>
      </c>
      <c r="BF576" s="38">
        <f>K576</f>
        <v>0.04</v>
      </c>
      <c r="BH576" s="38">
        <f>G576*AO576</f>
        <v>0</v>
      </c>
      <c r="BI576" s="38">
        <f>G576*AP576</f>
        <v>0</v>
      </c>
      <c r="BJ576" s="38">
        <f>G576*H576</f>
        <v>0</v>
      </c>
      <c r="BK576" s="38"/>
      <c r="BL576" s="38">
        <v>766</v>
      </c>
      <c r="BW576" s="38">
        <v>21</v>
      </c>
    </row>
    <row r="577" spans="1:12" ht="13.5" customHeight="1">
      <c r="A577" s="74"/>
      <c r="D577" s="194" t="s">
        <v>1106</v>
      </c>
      <c r="E577" s="195"/>
      <c r="F577" s="195"/>
      <c r="G577" s="195"/>
      <c r="H577" s="195"/>
      <c r="I577" s="195"/>
      <c r="J577" s="195"/>
      <c r="K577" s="195"/>
      <c r="L577" s="197"/>
    </row>
    <row r="578" spans="1:12" ht="15">
      <c r="A578" s="74"/>
      <c r="D578" s="75" t="s">
        <v>132</v>
      </c>
      <c r="E578" s="75" t="s">
        <v>4</v>
      </c>
      <c r="G578" s="76">
        <v>1</v>
      </c>
      <c r="L578" s="77"/>
    </row>
    <row r="579" spans="1:75" ht="27" customHeight="1">
      <c r="A579" s="1" t="s">
        <v>1128</v>
      </c>
      <c r="B579" s="2" t="s">
        <v>84</v>
      </c>
      <c r="C579" s="2" t="s">
        <v>1129</v>
      </c>
      <c r="D579" s="108" t="s">
        <v>1130</v>
      </c>
      <c r="E579" s="103"/>
      <c r="F579" s="2" t="s">
        <v>199</v>
      </c>
      <c r="G579" s="38">
        <f>'Stavební rozpočet'!G579</f>
        <v>1</v>
      </c>
      <c r="H579" s="38">
        <f>'Stavební rozpočet'!H579</f>
        <v>0</v>
      </c>
      <c r="I579" s="38">
        <f>G579*H579</f>
        <v>0</v>
      </c>
      <c r="J579" s="38">
        <f>'Stavební rozpočet'!J579</f>
        <v>0.04</v>
      </c>
      <c r="K579" s="38">
        <f>G579*J579</f>
        <v>0.04</v>
      </c>
      <c r="L579" s="71" t="s">
        <v>207</v>
      </c>
      <c r="Z579" s="38">
        <f>IF(AQ579="5",BJ579,0)</f>
        <v>0</v>
      </c>
      <c r="AB579" s="38">
        <f>IF(AQ579="1",BH579,0)</f>
        <v>0</v>
      </c>
      <c r="AC579" s="38">
        <f>IF(AQ579="1",BI579,0)</f>
        <v>0</v>
      </c>
      <c r="AD579" s="38">
        <f>IF(AQ579="7",BH579,0)</f>
        <v>0</v>
      </c>
      <c r="AE579" s="38">
        <f>IF(AQ579="7",BI579,0)</f>
        <v>0</v>
      </c>
      <c r="AF579" s="38">
        <f>IF(AQ579="2",BH579,0)</f>
        <v>0</v>
      </c>
      <c r="AG579" s="38">
        <f>IF(AQ579="2",BI579,0)</f>
        <v>0</v>
      </c>
      <c r="AH579" s="38">
        <f>IF(AQ579="0",BJ579,0)</f>
        <v>0</v>
      </c>
      <c r="AI579" s="50" t="s">
        <v>84</v>
      </c>
      <c r="AJ579" s="38">
        <f>IF(AN579=0,I579,0)</f>
        <v>0</v>
      </c>
      <c r="AK579" s="38">
        <f>IF(AN579=12,I579,0)</f>
        <v>0</v>
      </c>
      <c r="AL579" s="38">
        <f>IF(AN579=21,I579,0)</f>
        <v>0</v>
      </c>
      <c r="AN579" s="38">
        <v>21</v>
      </c>
      <c r="AO579" s="38">
        <f>H579*0.80931163</f>
        <v>0</v>
      </c>
      <c r="AP579" s="38">
        <f>H579*(1-0.80931163)</f>
        <v>0</v>
      </c>
      <c r="AQ579" s="72" t="s">
        <v>169</v>
      </c>
      <c r="AV579" s="38">
        <f>AW579+AX579</f>
        <v>0</v>
      </c>
      <c r="AW579" s="38">
        <f>G579*AO579</f>
        <v>0</v>
      </c>
      <c r="AX579" s="38">
        <f>G579*AP579</f>
        <v>0</v>
      </c>
      <c r="AY579" s="72" t="s">
        <v>1087</v>
      </c>
      <c r="AZ579" s="72" t="s">
        <v>990</v>
      </c>
      <c r="BA579" s="50" t="s">
        <v>139</v>
      </c>
      <c r="BB579" s="73">
        <v>100013</v>
      </c>
      <c r="BC579" s="38">
        <f>AW579+AX579</f>
        <v>0</v>
      </c>
      <c r="BD579" s="38">
        <f>H579/(100-BE579)*100</f>
        <v>0</v>
      </c>
      <c r="BE579" s="38">
        <v>0</v>
      </c>
      <c r="BF579" s="38">
        <f>K579</f>
        <v>0.04</v>
      </c>
      <c r="BH579" s="38">
        <f>G579*AO579</f>
        <v>0</v>
      </c>
      <c r="BI579" s="38">
        <f>G579*AP579</f>
        <v>0</v>
      </c>
      <c r="BJ579" s="38">
        <f>G579*H579</f>
        <v>0</v>
      </c>
      <c r="BK579" s="38"/>
      <c r="BL579" s="38">
        <v>766</v>
      </c>
      <c r="BW579" s="38">
        <v>21</v>
      </c>
    </row>
    <row r="580" spans="1:12" ht="13.5" customHeight="1">
      <c r="A580" s="74"/>
      <c r="D580" s="194" t="s">
        <v>1106</v>
      </c>
      <c r="E580" s="195"/>
      <c r="F580" s="195"/>
      <c r="G580" s="195"/>
      <c r="H580" s="195"/>
      <c r="I580" s="195"/>
      <c r="J580" s="195"/>
      <c r="K580" s="195"/>
      <c r="L580" s="197"/>
    </row>
    <row r="581" spans="1:12" ht="15">
      <c r="A581" s="74"/>
      <c r="D581" s="75" t="s">
        <v>132</v>
      </c>
      <c r="E581" s="75" t="s">
        <v>4</v>
      </c>
      <c r="G581" s="76">
        <v>1</v>
      </c>
      <c r="L581" s="77"/>
    </row>
    <row r="582" spans="1:75" ht="27" customHeight="1">
      <c r="A582" s="1" t="s">
        <v>1131</v>
      </c>
      <c r="B582" s="2" t="s">
        <v>84</v>
      </c>
      <c r="C582" s="2" t="s">
        <v>1132</v>
      </c>
      <c r="D582" s="108" t="s">
        <v>1133</v>
      </c>
      <c r="E582" s="103"/>
      <c r="F582" s="2" t="s">
        <v>199</v>
      </c>
      <c r="G582" s="38">
        <f>'Stavební rozpočet'!G582</f>
        <v>2</v>
      </c>
      <c r="H582" s="38">
        <f>'Stavební rozpočet'!H582</f>
        <v>0</v>
      </c>
      <c r="I582" s="38">
        <f>G582*H582</f>
        <v>0</v>
      </c>
      <c r="J582" s="38">
        <f>'Stavební rozpočet'!J582</f>
        <v>0.04</v>
      </c>
      <c r="K582" s="38">
        <f>G582*J582</f>
        <v>0.08</v>
      </c>
      <c r="L582" s="71" t="s">
        <v>207</v>
      </c>
      <c r="Z582" s="38">
        <f>IF(AQ582="5",BJ582,0)</f>
        <v>0</v>
      </c>
      <c r="AB582" s="38">
        <f>IF(AQ582="1",BH582,0)</f>
        <v>0</v>
      </c>
      <c r="AC582" s="38">
        <f>IF(AQ582="1",BI582,0)</f>
        <v>0</v>
      </c>
      <c r="AD582" s="38">
        <f>IF(AQ582="7",BH582,0)</f>
        <v>0</v>
      </c>
      <c r="AE582" s="38">
        <f>IF(AQ582="7",BI582,0)</f>
        <v>0</v>
      </c>
      <c r="AF582" s="38">
        <f>IF(AQ582="2",BH582,0)</f>
        <v>0</v>
      </c>
      <c r="AG582" s="38">
        <f>IF(AQ582="2",BI582,0)</f>
        <v>0</v>
      </c>
      <c r="AH582" s="38">
        <f>IF(AQ582="0",BJ582,0)</f>
        <v>0</v>
      </c>
      <c r="AI582" s="50" t="s">
        <v>84</v>
      </c>
      <c r="AJ582" s="38">
        <f>IF(AN582=0,I582,0)</f>
        <v>0</v>
      </c>
      <c r="AK582" s="38">
        <f>IF(AN582=12,I582,0)</f>
        <v>0</v>
      </c>
      <c r="AL582" s="38">
        <f>IF(AN582=21,I582,0)</f>
        <v>0</v>
      </c>
      <c r="AN582" s="38">
        <v>21</v>
      </c>
      <c r="AO582" s="38">
        <f>H582*0.80931163</f>
        <v>0</v>
      </c>
      <c r="AP582" s="38">
        <f>H582*(1-0.80931163)</f>
        <v>0</v>
      </c>
      <c r="AQ582" s="72" t="s">
        <v>169</v>
      </c>
      <c r="AV582" s="38">
        <f>AW582+AX582</f>
        <v>0</v>
      </c>
      <c r="AW582" s="38">
        <f>G582*AO582</f>
        <v>0</v>
      </c>
      <c r="AX582" s="38">
        <f>G582*AP582</f>
        <v>0</v>
      </c>
      <c r="AY582" s="72" t="s">
        <v>1087</v>
      </c>
      <c r="AZ582" s="72" t="s">
        <v>990</v>
      </c>
      <c r="BA582" s="50" t="s">
        <v>139</v>
      </c>
      <c r="BB582" s="73">
        <v>100013</v>
      </c>
      <c r="BC582" s="38">
        <f>AW582+AX582</f>
        <v>0</v>
      </c>
      <c r="BD582" s="38">
        <f>H582/(100-BE582)*100</f>
        <v>0</v>
      </c>
      <c r="BE582" s="38">
        <v>0</v>
      </c>
      <c r="BF582" s="38">
        <f>K582</f>
        <v>0.08</v>
      </c>
      <c r="BH582" s="38">
        <f>G582*AO582</f>
        <v>0</v>
      </c>
      <c r="BI582" s="38">
        <f>G582*AP582</f>
        <v>0</v>
      </c>
      <c r="BJ582" s="38">
        <f>G582*H582</f>
        <v>0</v>
      </c>
      <c r="BK582" s="38"/>
      <c r="BL582" s="38">
        <v>766</v>
      </c>
      <c r="BW582" s="38">
        <v>21</v>
      </c>
    </row>
    <row r="583" spans="1:12" ht="13.5" customHeight="1">
      <c r="A583" s="74"/>
      <c r="D583" s="194" t="s">
        <v>1106</v>
      </c>
      <c r="E583" s="195"/>
      <c r="F583" s="195"/>
      <c r="G583" s="195"/>
      <c r="H583" s="195"/>
      <c r="I583" s="195"/>
      <c r="J583" s="195"/>
      <c r="K583" s="195"/>
      <c r="L583" s="197"/>
    </row>
    <row r="584" spans="1:12" ht="15">
      <c r="A584" s="74"/>
      <c r="D584" s="75" t="s">
        <v>143</v>
      </c>
      <c r="E584" s="75" t="s">
        <v>4</v>
      </c>
      <c r="G584" s="76">
        <v>2</v>
      </c>
      <c r="L584" s="77"/>
    </row>
    <row r="585" spans="1:75" ht="27" customHeight="1">
      <c r="A585" s="1" t="s">
        <v>1134</v>
      </c>
      <c r="B585" s="2" t="s">
        <v>84</v>
      </c>
      <c r="C585" s="2" t="s">
        <v>1135</v>
      </c>
      <c r="D585" s="108" t="s">
        <v>1136</v>
      </c>
      <c r="E585" s="103"/>
      <c r="F585" s="2" t="s">
        <v>199</v>
      </c>
      <c r="G585" s="38">
        <f>'Stavební rozpočet'!G585</f>
        <v>1</v>
      </c>
      <c r="H585" s="38">
        <f>'Stavební rozpočet'!H585</f>
        <v>0</v>
      </c>
      <c r="I585" s="38">
        <f>G585*H585</f>
        <v>0</v>
      </c>
      <c r="J585" s="38">
        <f>'Stavební rozpočet'!J585</f>
        <v>0.04</v>
      </c>
      <c r="K585" s="38">
        <f>G585*J585</f>
        <v>0.04</v>
      </c>
      <c r="L585" s="71" t="s">
        <v>207</v>
      </c>
      <c r="Z585" s="38">
        <f>IF(AQ585="5",BJ585,0)</f>
        <v>0</v>
      </c>
      <c r="AB585" s="38">
        <f>IF(AQ585="1",BH585,0)</f>
        <v>0</v>
      </c>
      <c r="AC585" s="38">
        <f>IF(AQ585="1",BI585,0)</f>
        <v>0</v>
      </c>
      <c r="AD585" s="38">
        <f>IF(AQ585="7",BH585,0)</f>
        <v>0</v>
      </c>
      <c r="AE585" s="38">
        <f>IF(AQ585="7",BI585,0)</f>
        <v>0</v>
      </c>
      <c r="AF585" s="38">
        <f>IF(AQ585="2",BH585,0)</f>
        <v>0</v>
      </c>
      <c r="AG585" s="38">
        <f>IF(AQ585="2",BI585,0)</f>
        <v>0</v>
      </c>
      <c r="AH585" s="38">
        <f>IF(AQ585="0",BJ585,0)</f>
        <v>0</v>
      </c>
      <c r="AI585" s="50" t="s">
        <v>84</v>
      </c>
      <c r="AJ585" s="38">
        <f>IF(AN585=0,I585,0)</f>
        <v>0</v>
      </c>
      <c r="AK585" s="38">
        <f>IF(AN585=12,I585,0)</f>
        <v>0</v>
      </c>
      <c r="AL585" s="38">
        <f>IF(AN585=21,I585,0)</f>
        <v>0</v>
      </c>
      <c r="AN585" s="38">
        <v>21</v>
      </c>
      <c r="AO585" s="38">
        <f>H585*0.88150534</f>
        <v>0</v>
      </c>
      <c r="AP585" s="38">
        <f>H585*(1-0.88150534)</f>
        <v>0</v>
      </c>
      <c r="AQ585" s="72" t="s">
        <v>169</v>
      </c>
      <c r="AV585" s="38">
        <f>AW585+AX585</f>
        <v>0</v>
      </c>
      <c r="AW585" s="38">
        <f>G585*AO585</f>
        <v>0</v>
      </c>
      <c r="AX585" s="38">
        <f>G585*AP585</f>
        <v>0</v>
      </c>
      <c r="AY585" s="72" t="s">
        <v>1087</v>
      </c>
      <c r="AZ585" s="72" t="s">
        <v>990</v>
      </c>
      <c r="BA585" s="50" t="s">
        <v>139</v>
      </c>
      <c r="BB585" s="73">
        <v>100013</v>
      </c>
      <c r="BC585" s="38">
        <f>AW585+AX585</f>
        <v>0</v>
      </c>
      <c r="BD585" s="38">
        <f>H585/(100-BE585)*100</f>
        <v>0</v>
      </c>
      <c r="BE585" s="38">
        <v>0</v>
      </c>
      <c r="BF585" s="38">
        <f>K585</f>
        <v>0.04</v>
      </c>
      <c r="BH585" s="38">
        <f>G585*AO585</f>
        <v>0</v>
      </c>
      <c r="BI585" s="38">
        <f>G585*AP585</f>
        <v>0</v>
      </c>
      <c r="BJ585" s="38">
        <f>G585*H585</f>
        <v>0</v>
      </c>
      <c r="BK585" s="38"/>
      <c r="BL585" s="38">
        <v>766</v>
      </c>
      <c r="BW585" s="38">
        <v>21</v>
      </c>
    </row>
    <row r="586" spans="1:12" ht="13.5" customHeight="1">
      <c r="A586" s="74"/>
      <c r="D586" s="194" t="s">
        <v>1106</v>
      </c>
      <c r="E586" s="195"/>
      <c r="F586" s="195"/>
      <c r="G586" s="195"/>
      <c r="H586" s="195"/>
      <c r="I586" s="195"/>
      <c r="J586" s="195"/>
      <c r="K586" s="195"/>
      <c r="L586" s="197"/>
    </row>
    <row r="587" spans="1:12" ht="15">
      <c r="A587" s="74"/>
      <c r="D587" s="75" t="s">
        <v>132</v>
      </c>
      <c r="E587" s="75" t="s">
        <v>4</v>
      </c>
      <c r="G587" s="76">
        <v>1</v>
      </c>
      <c r="L587" s="77"/>
    </row>
    <row r="588" spans="1:75" ht="27" customHeight="1">
      <c r="A588" s="1" t="s">
        <v>1137</v>
      </c>
      <c r="B588" s="2" t="s">
        <v>84</v>
      </c>
      <c r="C588" s="2" t="s">
        <v>1138</v>
      </c>
      <c r="D588" s="108" t="s">
        <v>1139</v>
      </c>
      <c r="E588" s="103"/>
      <c r="F588" s="2" t="s">
        <v>199</v>
      </c>
      <c r="G588" s="38">
        <f>'Stavební rozpočet'!G588</f>
        <v>1</v>
      </c>
      <c r="H588" s="38">
        <f>'Stavební rozpočet'!H588</f>
        <v>0</v>
      </c>
      <c r="I588" s="38">
        <f>G588*H588</f>
        <v>0</v>
      </c>
      <c r="J588" s="38">
        <f>'Stavební rozpočet'!J588</f>
        <v>0.04</v>
      </c>
      <c r="K588" s="38">
        <f>G588*J588</f>
        <v>0.04</v>
      </c>
      <c r="L588" s="71" t="s">
        <v>207</v>
      </c>
      <c r="Z588" s="38">
        <f>IF(AQ588="5",BJ588,0)</f>
        <v>0</v>
      </c>
      <c r="AB588" s="38">
        <f>IF(AQ588="1",BH588,0)</f>
        <v>0</v>
      </c>
      <c r="AC588" s="38">
        <f>IF(AQ588="1",BI588,0)</f>
        <v>0</v>
      </c>
      <c r="AD588" s="38">
        <f>IF(AQ588="7",BH588,0)</f>
        <v>0</v>
      </c>
      <c r="AE588" s="38">
        <f>IF(AQ588="7",BI588,0)</f>
        <v>0</v>
      </c>
      <c r="AF588" s="38">
        <f>IF(AQ588="2",BH588,0)</f>
        <v>0</v>
      </c>
      <c r="AG588" s="38">
        <f>IF(AQ588="2",BI588,0)</f>
        <v>0</v>
      </c>
      <c r="AH588" s="38">
        <f>IF(AQ588="0",BJ588,0)</f>
        <v>0</v>
      </c>
      <c r="AI588" s="50" t="s">
        <v>84</v>
      </c>
      <c r="AJ588" s="38">
        <f>IF(AN588=0,I588,0)</f>
        <v>0</v>
      </c>
      <c r="AK588" s="38">
        <f>IF(AN588=12,I588,0)</f>
        <v>0</v>
      </c>
      <c r="AL588" s="38">
        <f>IF(AN588=21,I588,0)</f>
        <v>0</v>
      </c>
      <c r="AN588" s="38">
        <v>21</v>
      </c>
      <c r="AO588" s="38">
        <f>H588*0.88150534</f>
        <v>0</v>
      </c>
      <c r="AP588" s="38">
        <f>H588*(1-0.88150534)</f>
        <v>0</v>
      </c>
      <c r="AQ588" s="72" t="s">
        <v>169</v>
      </c>
      <c r="AV588" s="38">
        <f>AW588+AX588</f>
        <v>0</v>
      </c>
      <c r="AW588" s="38">
        <f>G588*AO588</f>
        <v>0</v>
      </c>
      <c r="AX588" s="38">
        <f>G588*AP588</f>
        <v>0</v>
      </c>
      <c r="AY588" s="72" t="s">
        <v>1087</v>
      </c>
      <c r="AZ588" s="72" t="s">
        <v>990</v>
      </c>
      <c r="BA588" s="50" t="s">
        <v>139</v>
      </c>
      <c r="BB588" s="73">
        <v>100013</v>
      </c>
      <c r="BC588" s="38">
        <f>AW588+AX588</f>
        <v>0</v>
      </c>
      <c r="BD588" s="38">
        <f>H588/(100-BE588)*100</f>
        <v>0</v>
      </c>
      <c r="BE588" s="38">
        <v>0</v>
      </c>
      <c r="BF588" s="38">
        <f>K588</f>
        <v>0.04</v>
      </c>
      <c r="BH588" s="38">
        <f>G588*AO588</f>
        <v>0</v>
      </c>
      <c r="BI588" s="38">
        <f>G588*AP588</f>
        <v>0</v>
      </c>
      <c r="BJ588" s="38">
        <f>G588*H588</f>
        <v>0</v>
      </c>
      <c r="BK588" s="38"/>
      <c r="BL588" s="38">
        <v>766</v>
      </c>
      <c r="BW588" s="38">
        <v>21</v>
      </c>
    </row>
    <row r="589" spans="1:12" ht="13.5" customHeight="1">
      <c r="A589" s="74"/>
      <c r="D589" s="194" t="s">
        <v>1106</v>
      </c>
      <c r="E589" s="195"/>
      <c r="F589" s="195"/>
      <c r="G589" s="195"/>
      <c r="H589" s="195"/>
      <c r="I589" s="195"/>
      <c r="J589" s="195"/>
      <c r="K589" s="195"/>
      <c r="L589" s="197"/>
    </row>
    <row r="590" spans="1:12" ht="15">
      <c r="A590" s="74"/>
      <c r="D590" s="75" t="s">
        <v>132</v>
      </c>
      <c r="E590" s="75" t="s">
        <v>4</v>
      </c>
      <c r="G590" s="76">
        <v>1</v>
      </c>
      <c r="L590" s="77"/>
    </row>
    <row r="591" spans="1:75" ht="27" customHeight="1">
      <c r="A591" s="1" t="s">
        <v>1140</v>
      </c>
      <c r="B591" s="2" t="s">
        <v>84</v>
      </c>
      <c r="C591" s="2" t="s">
        <v>1141</v>
      </c>
      <c r="D591" s="108" t="s">
        <v>1142</v>
      </c>
      <c r="E591" s="103"/>
      <c r="F591" s="2" t="s">
        <v>199</v>
      </c>
      <c r="G591" s="38">
        <f>'Stavební rozpočet'!G591</f>
        <v>1</v>
      </c>
      <c r="H591" s="38">
        <f>'Stavební rozpočet'!H591</f>
        <v>0</v>
      </c>
      <c r="I591" s="38">
        <f>G591*H591</f>
        <v>0</v>
      </c>
      <c r="J591" s="38">
        <f>'Stavební rozpočet'!J591</f>
        <v>0.04</v>
      </c>
      <c r="K591" s="38">
        <f>G591*J591</f>
        <v>0.04</v>
      </c>
      <c r="L591" s="71" t="s">
        <v>207</v>
      </c>
      <c r="Z591" s="38">
        <f>IF(AQ591="5",BJ591,0)</f>
        <v>0</v>
      </c>
      <c r="AB591" s="38">
        <f>IF(AQ591="1",BH591,0)</f>
        <v>0</v>
      </c>
      <c r="AC591" s="38">
        <f>IF(AQ591="1",BI591,0)</f>
        <v>0</v>
      </c>
      <c r="AD591" s="38">
        <f>IF(AQ591="7",BH591,0)</f>
        <v>0</v>
      </c>
      <c r="AE591" s="38">
        <f>IF(AQ591="7",BI591,0)</f>
        <v>0</v>
      </c>
      <c r="AF591" s="38">
        <f>IF(AQ591="2",BH591,0)</f>
        <v>0</v>
      </c>
      <c r="AG591" s="38">
        <f>IF(AQ591="2",BI591,0)</f>
        <v>0</v>
      </c>
      <c r="AH591" s="38">
        <f>IF(AQ591="0",BJ591,0)</f>
        <v>0</v>
      </c>
      <c r="AI591" s="50" t="s">
        <v>84</v>
      </c>
      <c r="AJ591" s="38">
        <f>IF(AN591=0,I591,0)</f>
        <v>0</v>
      </c>
      <c r="AK591" s="38">
        <f>IF(AN591=12,I591,0)</f>
        <v>0</v>
      </c>
      <c r="AL591" s="38">
        <f>IF(AN591=21,I591,0)</f>
        <v>0</v>
      </c>
      <c r="AN591" s="38">
        <v>21</v>
      </c>
      <c r="AO591" s="38">
        <f>H591*0.823737077</f>
        <v>0</v>
      </c>
      <c r="AP591" s="38">
        <f>H591*(1-0.823737077)</f>
        <v>0</v>
      </c>
      <c r="AQ591" s="72" t="s">
        <v>169</v>
      </c>
      <c r="AV591" s="38">
        <f>AW591+AX591</f>
        <v>0</v>
      </c>
      <c r="AW591" s="38">
        <f>G591*AO591</f>
        <v>0</v>
      </c>
      <c r="AX591" s="38">
        <f>G591*AP591</f>
        <v>0</v>
      </c>
      <c r="AY591" s="72" t="s">
        <v>1087</v>
      </c>
      <c r="AZ591" s="72" t="s">
        <v>990</v>
      </c>
      <c r="BA591" s="50" t="s">
        <v>139</v>
      </c>
      <c r="BB591" s="73">
        <v>100013</v>
      </c>
      <c r="BC591" s="38">
        <f>AW591+AX591</f>
        <v>0</v>
      </c>
      <c r="BD591" s="38">
        <f>H591/(100-BE591)*100</f>
        <v>0</v>
      </c>
      <c r="BE591" s="38">
        <v>0</v>
      </c>
      <c r="BF591" s="38">
        <f>K591</f>
        <v>0.04</v>
      </c>
      <c r="BH591" s="38">
        <f>G591*AO591</f>
        <v>0</v>
      </c>
      <c r="BI591" s="38">
        <f>G591*AP591</f>
        <v>0</v>
      </c>
      <c r="BJ591" s="38">
        <f>G591*H591</f>
        <v>0</v>
      </c>
      <c r="BK591" s="38"/>
      <c r="BL591" s="38">
        <v>766</v>
      </c>
      <c r="BW591" s="38">
        <v>21</v>
      </c>
    </row>
    <row r="592" spans="1:12" ht="13.5" customHeight="1">
      <c r="A592" s="74"/>
      <c r="D592" s="194" t="s">
        <v>1106</v>
      </c>
      <c r="E592" s="195"/>
      <c r="F592" s="195"/>
      <c r="G592" s="195"/>
      <c r="H592" s="195"/>
      <c r="I592" s="195"/>
      <c r="J592" s="195"/>
      <c r="K592" s="195"/>
      <c r="L592" s="197"/>
    </row>
    <row r="593" spans="1:12" ht="15">
      <c r="A593" s="74"/>
      <c r="D593" s="75" t="s">
        <v>132</v>
      </c>
      <c r="E593" s="75" t="s">
        <v>4</v>
      </c>
      <c r="G593" s="76">
        <v>1</v>
      </c>
      <c r="L593" s="77"/>
    </row>
    <row r="594" spans="1:75" ht="27" customHeight="1">
      <c r="A594" s="1" t="s">
        <v>1143</v>
      </c>
      <c r="B594" s="2" t="s">
        <v>84</v>
      </c>
      <c r="C594" s="2" t="s">
        <v>1144</v>
      </c>
      <c r="D594" s="108" t="s">
        <v>1145</v>
      </c>
      <c r="E594" s="103"/>
      <c r="F594" s="2" t="s">
        <v>199</v>
      </c>
      <c r="G594" s="38">
        <f>'Stavební rozpočet'!G594</f>
        <v>1</v>
      </c>
      <c r="H594" s="38">
        <f>'Stavební rozpočet'!H594</f>
        <v>0</v>
      </c>
      <c r="I594" s="38">
        <f>G594*H594</f>
        <v>0</v>
      </c>
      <c r="J594" s="38">
        <f>'Stavební rozpočet'!J594</f>
        <v>0.04</v>
      </c>
      <c r="K594" s="38">
        <f>G594*J594</f>
        <v>0.04</v>
      </c>
      <c r="L594" s="71" t="s">
        <v>207</v>
      </c>
      <c r="Z594" s="38">
        <f>IF(AQ594="5",BJ594,0)</f>
        <v>0</v>
      </c>
      <c r="AB594" s="38">
        <f>IF(AQ594="1",BH594,0)</f>
        <v>0</v>
      </c>
      <c r="AC594" s="38">
        <f>IF(AQ594="1",BI594,0)</f>
        <v>0</v>
      </c>
      <c r="AD594" s="38">
        <f>IF(AQ594="7",BH594,0)</f>
        <v>0</v>
      </c>
      <c r="AE594" s="38">
        <f>IF(AQ594="7",BI594,0)</f>
        <v>0</v>
      </c>
      <c r="AF594" s="38">
        <f>IF(AQ594="2",BH594,0)</f>
        <v>0</v>
      </c>
      <c r="AG594" s="38">
        <f>IF(AQ594="2",BI594,0)</f>
        <v>0</v>
      </c>
      <c r="AH594" s="38">
        <f>IF(AQ594="0",BJ594,0)</f>
        <v>0</v>
      </c>
      <c r="AI594" s="50" t="s">
        <v>84</v>
      </c>
      <c r="AJ594" s="38">
        <f>IF(AN594=0,I594,0)</f>
        <v>0</v>
      </c>
      <c r="AK594" s="38">
        <f>IF(AN594=12,I594,0)</f>
        <v>0</v>
      </c>
      <c r="AL594" s="38">
        <f>IF(AN594=21,I594,0)</f>
        <v>0</v>
      </c>
      <c r="AN594" s="38">
        <v>21</v>
      </c>
      <c r="AO594" s="38">
        <f>H594*0.88150534</f>
        <v>0</v>
      </c>
      <c r="AP594" s="38">
        <f>H594*(1-0.88150534)</f>
        <v>0</v>
      </c>
      <c r="AQ594" s="72" t="s">
        <v>169</v>
      </c>
      <c r="AV594" s="38">
        <f>AW594+AX594</f>
        <v>0</v>
      </c>
      <c r="AW594" s="38">
        <f>G594*AO594</f>
        <v>0</v>
      </c>
      <c r="AX594" s="38">
        <f>G594*AP594</f>
        <v>0</v>
      </c>
      <c r="AY594" s="72" t="s">
        <v>1087</v>
      </c>
      <c r="AZ594" s="72" t="s">
        <v>990</v>
      </c>
      <c r="BA594" s="50" t="s">
        <v>139</v>
      </c>
      <c r="BB594" s="73">
        <v>100013</v>
      </c>
      <c r="BC594" s="38">
        <f>AW594+AX594</f>
        <v>0</v>
      </c>
      <c r="BD594" s="38">
        <f>H594/(100-BE594)*100</f>
        <v>0</v>
      </c>
      <c r="BE594" s="38">
        <v>0</v>
      </c>
      <c r="BF594" s="38">
        <f>K594</f>
        <v>0.04</v>
      </c>
      <c r="BH594" s="38">
        <f>G594*AO594</f>
        <v>0</v>
      </c>
      <c r="BI594" s="38">
        <f>G594*AP594</f>
        <v>0</v>
      </c>
      <c r="BJ594" s="38">
        <f>G594*H594</f>
        <v>0</v>
      </c>
      <c r="BK594" s="38"/>
      <c r="BL594" s="38">
        <v>766</v>
      </c>
      <c r="BW594" s="38">
        <v>21</v>
      </c>
    </row>
    <row r="595" spans="1:12" ht="13.5" customHeight="1">
      <c r="A595" s="74"/>
      <c r="D595" s="194" t="s">
        <v>1106</v>
      </c>
      <c r="E595" s="195"/>
      <c r="F595" s="195"/>
      <c r="G595" s="195"/>
      <c r="H595" s="195"/>
      <c r="I595" s="195"/>
      <c r="J595" s="195"/>
      <c r="K595" s="195"/>
      <c r="L595" s="197"/>
    </row>
    <row r="596" spans="1:12" ht="15">
      <c r="A596" s="74"/>
      <c r="D596" s="75" t="s">
        <v>132</v>
      </c>
      <c r="E596" s="75" t="s">
        <v>4</v>
      </c>
      <c r="G596" s="76">
        <v>1</v>
      </c>
      <c r="L596" s="77"/>
    </row>
    <row r="597" spans="1:75" ht="27" customHeight="1">
      <c r="A597" s="1" t="s">
        <v>1146</v>
      </c>
      <c r="B597" s="2" t="s">
        <v>84</v>
      </c>
      <c r="C597" s="2" t="s">
        <v>1147</v>
      </c>
      <c r="D597" s="108" t="s">
        <v>1148</v>
      </c>
      <c r="E597" s="103"/>
      <c r="F597" s="2" t="s">
        <v>199</v>
      </c>
      <c r="G597" s="38">
        <f>'Stavební rozpočet'!G597</f>
        <v>1</v>
      </c>
      <c r="H597" s="38">
        <f>'Stavební rozpočet'!H597</f>
        <v>0</v>
      </c>
      <c r="I597" s="38">
        <f>G597*H597</f>
        <v>0</v>
      </c>
      <c r="J597" s="38">
        <f>'Stavební rozpočet'!J597</f>
        <v>0.04</v>
      </c>
      <c r="K597" s="38">
        <f>G597*J597</f>
        <v>0.04</v>
      </c>
      <c r="L597" s="71" t="s">
        <v>207</v>
      </c>
      <c r="Z597" s="38">
        <f>IF(AQ597="5",BJ597,0)</f>
        <v>0</v>
      </c>
      <c r="AB597" s="38">
        <f>IF(AQ597="1",BH597,0)</f>
        <v>0</v>
      </c>
      <c r="AC597" s="38">
        <f>IF(AQ597="1",BI597,0)</f>
        <v>0</v>
      </c>
      <c r="AD597" s="38">
        <f>IF(AQ597="7",BH597,0)</f>
        <v>0</v>
      </c>
      <c r="AE597" s="38">
        <f>IF(AQ597="7",BI597,0)</f>
        <v>0</v>
      </c>
      <c r="AF597" s="38">
        <f>IF(AQ597="2",BH597,0)</f>
        <v>0</v>
      </c>
      <c r="AG597" s="38">
        <f>IF(AQ597="2",BI597,0)</f>
        <v>0</v>
      </c>
      <c r="AH597" s="38">
        <f>IF(AQ597="0",BJ597,0)</f>
        <v>0</v>
      </c>
      <c r="AI597" s="50" t="s">
        <v>84</v>
      </c>
      <c r="AJ597" s="38">
        <f>IF(AN597=0,I597,0)</f>
        <v>0</v>
      </c>
      <c r="AK597" s="38">
        <f>IF(AN597=12,I597,0)</f>
        <v>0</v>
      </c>
      <c r="AL597" s="38">
        <f>IF(AN597=21,I597,0)</f>
        <v>0</v>
      </c>
      <c r="AN597" s="38">
        <v>21</v>
      </c>
      <c r="AO597" s="38">
        <f>H597*0.88150534</f>
        <v>0</v>
      </c>
      <c r="AP597" s="38">
        <f>H597*(1-0.88150534)</f>
        <v>0</v>
      </c>
      <c r="AQ597" s="72" t="s">
        <v>169</v>
      </c>
      <c r="AV597" s="38">
        <f>AW597+AX597</f>
        <v>0</v>
      </c>
      <c r="AW597" s="38">
        <f>G597*AO597</f>
        <v>0</v>
      </c>
      <c r="AX597" s="38">
        <f>G597*AP597</f>
        <v>0</v>
      </c>
      <c r="AY597" s="72" t="s">
        <v>1087</v>
      </c>
      <c r="AZ597" s="72" t="s">
        <v>990</v>
      </c>
      <c r="BA597" s="50" t="s">
        <v>139</v>
      </c>
      <c r="BB597" s="73">
        <v>100013</v>
      </c>
      <c r="BC597" s="38">
        <f>AW597+AX597</f>
        <v>0</v>
      </c>
      <c r="BD597" s="38">
        <f>H597/(100-BE597)*100</f>
        <v>0</v>
      </c>
      <c r="BE597" s="38">
        <v>0</v>
      </c>
      <c r="BF597" s="38">
        <f>K597</f>
        <v>0.04</v>
      </c>
      <c r="BH597" s="38">
        <f>G597*AO597</f>
        <v>0</v>
      </c>
      <c r="BI597" s="38">
        <f>G597*AP597</f>
        <v>0</v>
      </c>
      <c r="BJ597" s="38">
        <f>G597*H597</f>
        <v>0</v>
      </c>
      <c r="BK597" s="38"/>
      <c r="BL597" s="38">
        <v>766</v>
      </c>
      <c r="BW597" s="38">
        <v>21</v>
      </c>
    </row>
    <row r="598" spans="1:12" ht="13.5" customHeight="1">
      <c r="A598" s="74"/>
      <c r="D598" s="194" t="s">
        <v>1106</v>
      </c>
      <c r="E598" s="195"/>
      <c r="F598" s="195"/>
      <c r="G598" s="195"/>
      <c r="H598" s="195"/>
      <c r="I598" s="195"/>
      <c r="J598" s="195"/>
      <c r="K598" s="195"/>
      <c r="L598" s="197"/>
    </row>
    <row r="599" spans="1:12" ht="15">
      <c r="A599" s="74"/>
      <c r="D599" s="75" t="s">
        <v>132</v>
      </c>
      <c r="E599" s="75" t="s">
        <v>4</v>
      </c>
      <c r="G599" s="76">
        <v>1</v>
      </c>
      <c r="L599" s="77"/>
    </row>
    <row r="600" spans="1:75" ht="27" customHeight="1">
      <c r="A600" s="1" t="s">
        <v>1149</v>
      </c>
      <c r="B600" s="2" t="s">
        <v>84</v>
      </c>
      <c r="C600" s="2" t="s">
        <v>1150</v>
      </c>
      <c r="D600" s="108" t="s">
        <v>1151</v>
      </c>
      <c r="E600" s="103"/>
      <c r="F600" s="2" t="s">
        <v>199</v>
      </c>
      <c r="G600" s="38">
        <f>'Stavební rozpočet'!G600</f>
        <v>1</v>
      </c>
      <c r="H600" s="38">
        <f>'Stavební rozpočet'!H600</f>
        <v>0</v>
      </c>
      <c r="I600" s="38">
        <f>G600*H600</f>
        <v>0</v>
      </c>
      <c r="J600" s="38">
        <f>'Stavební rozpočet'!J600</f>
        <v>0.04</v>
      </c>
      <c r="K600" s="38">
        <f>G600*J600</f>
        <v>0.04</v>
      </c>
      <c r="L600" s="71" t="s">
        <v>207</v>
      </c>
      <c r="Z600" s="38">
        <f>IF(AQ600="5",BJ600,0)</f>
        <v>0</v>
      </c>
      <c r="AB600" s="38">
        <f>IF(AQ600="1",BH600,0)</f>
        <v>0</v>
      </c>
      <c r="AC600" s="38">
        <f>IF(AQ600="1",BI600,0)</f>
        <v>0</v>
      </c>
      <c r="AD600" s="38">
        <f>IF(AQ600="7",BH600,0)</f>
        <v>0</v>
      </c>
      <c r="AE600" s="38">
        <f>IF(AQ600="7",BI600,0)</f>
        <v>0</v>
      </c>
      <c r="AF600" s="38">
        <f>IF(AQ600="2",BH600,0)</f>
        <v>0</v>
      </c>
      <c r="AG600" s="38">
        <f>IF(AQ600="2",BI600,0)</f>
        <v>0</v>
      </c>
      <c r="AH600" s="38">
        <f>IF(AQ600="0",BJ600,0)</f>
        <v>0</v>
      </c>
      <c r="AI600" s="50" t="s">
        <v>84</v>
      </c>
      <c r="AJ600" s="38">
        <f>IF(AN600=0,I600,0)</f>
        <v>0</v>
      </c>
      <c r="AK600" s="38">
        <f>IF(AN600=12,I600,0)</f>
        <v>0</v>
      </c>
      <c r="AL600" s="38">
        <f>IF(AN600=21,I600,0)</f>
        <v>0</v>
      </c>
      <c r="AN600" s="38">
        <v>21</v>
      </c>
      <c r="AO600" s="38">
        <f>H600*0.823737077</f>
        <v>0</v>
      </c>
      <c r="AP600" s="38">
        <f>H600*(1-0.823737077)</f>
        <v>0</v>
      </c>
      <c r="AQ600" s="72" t="s">
        <v>169</v>
      </c>
      <c r="AV600" s="38">
        <f>AW600+AX600</f>
        <v>0</v>
      </c>
      <c r="AW600" s="38">
        <f>G600*AO600</f>
        <v>0</v>
      </c>
      <c r="AX600" s="38">
        <f>G600*AP600</f>
        <v>0</v>
      </c>
      <c r="AY600" s="72" t="s">
        <v>1087</v>
      </c>
      <c r="AZ600" s="72" t="s">
        <v>990</v>
      </c>
      <c r="BA600" s="50" t="s">
        <v>139</v>
      </c>
      <c r="BB600" s="73">
        <v>100013</v>
      </c>
      <c r="BC600" s="38">
        <f>AW600+AX600</f>
        <v>0</v>
      </c>
      <c r="BD600" s="38">
        <f>H600/(100-BE600)*100</f>
        <v>0</v>
      </c>
      <c r="BE600" s="38">
        <v>0</v>
      </c>
      <c r="BF600" s="38">
        <f>K600</f>
        <v>0.04</v>
      </c>
      <c r="BH600" s="38">
        <f>G600*AO600</f>
        <v>0</v>
      </c>
      <c r="BI600" s="38">
        <f>G600*AP600</f>
        <v>0</v>
      </c>
      <c r="BJ600" s="38">
        <f>G600*H600</f>
        <v>0</v>
      </c>
      <c r="BK600" s="38"/>
      <c r="BL600" s="38">
        <v>766</v>
      </c>
      <c r="BW600" s="38">
        <v>21</v>
      </c>
    </row>
    <row r="601" spans="1:12" ht="13.5" customHeight="1">
      <c r="A601" s="74"/>
      <c r="D601" s="194" t="s">
        <v>1106</v>
      </c>
      <c r="E601" s="195"/>
      <c r="F601" s="195"/>
      <c r="G601" s="195"/>
      <c r="H601" s="195"/>
      <c r="I601" s="195"/>
      <c r="J601" s="195"/>
      <c r="K601" s="195"/>
      <c r="L601" s="197"/>
    </row>
    <row r="602" spans="1:12" ht="15">
      <c r="A602" s="74"/>
      <c r="D602" s="75" t="s">
        <v>132</v>
      </c>
      <c r="E602" s="75" t="s">
        <v>4</v>
      </c>
      <c r="G602" s="76">
        <v>1</v>
      </c>
      <c r="L602" s="77"/>
    </row>
    <row r="603" spans="1:75" ht="27" customHeight="1">
      <c r="A603" s="1" t="s">
        <v>1152</v>
      </c>
      <c r="B603" s="2" t="s">
        <v>84</v>
      </c>
      <c r="C603" s="2" t="s">
        <v>1153</v>
      </c>
      <c r="D603" s="108" t="s">
        <v>1154</v>
      </c>
      <c r="E603" s="103"/>
      <c r="F603" s="2" t="s">
        <v>199</v>
      </c>
      <c r="G603" s="38">
        <f>'Stavební rozpočet'!G603</f>
        <v>1</v>
      </c>
      <c r="H603" s="38">
        <f>'Stavební rozpočet'!H603</f>
        <v>0</v>
      </c>
      <c r="I603" s="38">
        <f>G603*H603</f>
        <v>0</v>
      </c>
      <c r="J603" s="38">
        <f>'Stavební rozpočet'!J603</f>
        <v>0.04</v>
      </c>
      <c r="K603" s="38">
        <f>G603*J603</f>
        <v>0.04</v>
      </c>
      <c r="L603" s="71" t="s">
        <v>207</v>
      </c>
      <c r="Z603" s="38">
        <f>IF(AQ603="5",BJ603,0)</f>
        <v>0</v>
      </c>
      <c r="AB603" s="38">
        <f>IF(AQ603="1",BH603,0)</f>
        <v>0</v>
      </c>
      <c r="AC603" s="38">
        <f>IF(AQ603="1",BI603,0)</f>
        <v>0</v>
      </c>
      <c r="AD603" s="38">
        <f>IF(AQ603="7",BH603,0)</f>
        <v>0</v>
      </c>
      <c r="AE603" s="38">
        <f>IF(AQ603="7",BI603,0)</f>
        <v>0</v>
      </c>
      <c r="AF603" s="38">
        <f>IF(AQ603="2",BH603,0)</f>
        <v>0</v>
      </c>
      <c r="AG603" s="38">
        <f>IF(AQ603="2",BI603,0)</f>
        <v>0</v>
      </c>
      <c r="AH603" s="38">
        <f>IF(AQ603="0",BJ603,0)</f>
        <v>0</v>
      </c>
      <c r="AI603" s="50" t="s">
        <v>84</v>
      </c>
      <c r="AJ603" s="38">
        <f>IF(AN603=0,I603,0)</f>
        <v>0</v>
      </c>
      <c r="AK603" s="38">
        <f>IF(AN603=12,I603,0)</f>
        <v>0</v>
      </c>
      <c r="AL603" s="38">
        <f>IF(AN603=21,I603,0)</f>
        <v>0</v>
      </c>
      <c r="AN603" s="38">
        <v>21</v>
      </c>
      <c r="AO603" s="38">
        <f>H603*0.830846172</f>
        <v>0</v>
      </c>
      <c r="AP603" s="38">
        <f>H603*(1-0.830846172)</f>
        <v>0</v>
      </c>
      <c r="AQ603" s="72" t="s">
        <v>169</v>
      </c>
      <c r="AV603" s="38">
        <f>AW603+AX603</f>
        <v>0</v>
      </c>
      <c r="AW603" s="38">
        <f>G603*AO603</f>
        <v>0</v>
      </c>
      <c r="AX603" s="38">
        <f>G603*AP603</f>
        <v>0</v>
      </c>
      <c r="AY603" s="72" t="s">
        <v>1087</v>
      </c>
      <c r="AZ603" s="72" t="s">
        <v>990</v>
      </c>
      <c r="BA603" s="50" t="s">
        <v>139</v>
      </c>
      <c r="BB603" s="73">
        <v>100013</v>
      </c>
      <c r="BC603" s="38">
        <f>AW603+AX603</f>
        <v>0</v>
      </c>
      <c r="BD603" s="38">
        <f>H603/(100-BE603)*100</f>
        <v>0</v>
      </c>
      <c r="BE603" s="38">
        <v>0</v>
      </c>
      <c r="BF603" s="38">
        <f>K603</f>
        <v>0.04</v>
      </c>
      <c r="BH603" s="38">
        <f>G603*AO603</f>
        <v>0</v>
      </c>
      <c r="BI603" s="38">
        <f>G603*AP603</f>
        <v>0</v>
      </c>
      <c r="BJ603" s="38">
        <f>G603*H603</f>
        <v>0</v>
      </c>
      <c r="BK603" s="38"/>
      <c r="BL603" s="38">
        <v>766</v>
      </c>
      <c r="BW603" s="38">
        <v>21</v>
      </c>
    </row>
    <row r="604" spans="1:12" ht="13.5" customHeight="1">
      <c r="A604" s="74"/>
      <c r="D604" s="194" t="s">
        <v>1106</v>
      </c>
      <c r="E604" s="195"/>
      <c r="F604" s="195"/>
      <c r="G604" s="195"/>
      <c r="H604" s="195"/>
      <c r="I604" s="195"/>
      <c r="J604" s="195"/>
      <c r="K604" s="195"/>
      <c r="L604" s="197"/>
    </row>
    <row r="605" spans="1:12" ht="15">
      <c r="A605" s="74"/>
      <c r="D605" s="75" t="s">
        <v>132</v>
      </c>
      <c r="E605" s="75" t="s">
        <v>4</v>
      </c>
      <c r="G605" s="76">
        <v>1</v>
      </c>
      <c r="L605" s="77"/>
    </row>
    <row r="606" spans="1:75" ht="27" customHeight="1">
      <c r="A606" s="1" t="s">
        <v>1155</v>
      </c>
      <c r="B606" s="2" t="s">
        <v>84</v>
      </c>
      <c r="C606" s="2" t="s">
        <v>1156</v>
      </c>
      <c r="D606" s="108" t="s">
        <v>1157</v>
      </c>
      <c r="E606" s="103"/>
      <c r="F606" s="2" t="s">
        <v>199</v>
      </c>
      <c r="G606" s="38">
        <f>'Stavební rozpočet'!G606</f>
        <v>1</v>
      </c>
      <c r="H606" s="38">
        <f>'Stavební rozpočet'!H606</f>
        <v>0</v>
      </c>
      <c r="I606" s="38">
        <f>G606*H606</f>
        <v>0</v>
      </c>
      <c r="J606" s="38">
        <f>'Stavební rozpočet'!J606</f>
        <v>0.04</v>
      </c>
      <c r="K606" s="38">
        <f>G606*J606</f>
        <v>0.04</v>
      </c>
      <c r="L606" s="71" t="s">
        <v>207</v>
      </c>
      <c r="Z606" s="38">
        <f>IF(AQ606="5",BJ606,0)</f>
        <v>0</v>
      </c>
      <c r="AB606" s="38">
        <f>IF(AQ606="1",BH606,0)</f>
        <v>0</v>
      </c>
      <c r="AC606" s="38">
        <f>IF(AQ606="1",BI606,0)</f>
        <v>0</v>
      </c>
      <c r="AD606" s="38">
        <f>IF(AQ606="7",BH606,0)</f>
        <v>0</v>
      </c>
      <c r="AE606" s="38">
        <f>IF(AQ606="7",BI606,0)</f>
        <v>0</v>
      </c>
      <c r="AF606" s="38">
        <f>IF(AQ606="2",BH606,0)</f>
        <v>0</v>
      </c>
      <c r="AG606" s="38">
        <f>IF(AQ606="2",BI606,0)</f>
        <v>0</v>
      </c>
      <c r="AH606" s="38">
        <f>IF(AQ606="0",BJ606,0)</f>
        <v>0</v>
      </c>
      <c r="AI606" s="50" t="s">
        <v>84</v>
      </c>
      <c r="AJ606" s="38">
        <f>IF(AN606=0,I606,0)</f>
        <v>0</v>
      </c>
      <c r="AK606" s="38">
        <f>IF(AN606=12,I606,0)</f>
        <v>0</v>
      </c>
      <c r="AL606" s="38">
        <f>IF(AN606=21,I606,0)</f>
        <v>0</v>
      </c>
      <c r="AN606" s="38">
        <v>21</v>
      </c>
      <c r="AO606" s="38">
        <f>H606*0.830846172</f>
        <v>0</v>
      </c>
      <c r="AP606" s="38">
        <f>H606*(1-0.830846172)</f>
        <v>0</v>
      </c>
      <c r="AQ606" s="72" t="s">
        <v>169</v>
      </c>
      <c r="AV606" s="38">
        <f>AW606+AX606</f>
        <v>0</v>
      </c>
      <c r="AW606" s="38">
        <f>G606*AO606</f>
        <v>0</v>
      </c>
      <c r="AX606" s="38">
        <f>G606*AP606</f>
        <v>0</v>
      </c>
      <c r="AY606" s="72" t="s">
        <v>1087</v>
      </c>
      <c r="AZ606" s="72" t="s">
        <v>990</v>
      </c>
      <c r="BA606" s="50" t="s">
        <v>139</v>
      </c>
      <c r="BB606" s="73">
        <v>100013</v>
      </c>
      <c r="BC606" s="38">
        <f>AW606+AX606</f>
        <v>0</v>
      </c>
      <c r="BD606" s="38">
        <f>H606/(100-BE606)*100</f>
        <v>0</v>
      </c>
      <c r="BE606" s="38">
        <v>0</v>
      </c>
      <c r="BF606" s="38">
        <f>K606</f>
        <v>0.04</v>
      </c>
      <c r="BH606" s="38">
        <f>G606*AO606</f>
        <v>0</v>
      </c>
      <c r="BI606" s="38">
        <f>G606*AP606</f>
        <v>0</v>
      </c>
      <c r="BJ606" s="38">
        <f>G606*H606</f>
        <v>0</v>
      </c>
      <c r="BK606" s="38"/>
      <c r="BL606" s="38">
        <v>766</v>
      </c>
      <c r="BW606" s="38">
        <v>21</v>
      </c>
    </row>
    <row r="607" spans="1:12" ht="13.5" customHeight="1">
      <c r="A607" s="74"/>
      <c r="D607" s="194" t="s">
        <v>1106</v>
      </c>
      <c r="E607" s="195"/>
      <c r="F607" s="195"/>
      <c r="G607" s="195"/>
      <c r="H607" s="195"/>
      <c r="I607" s="195"/>
      <c r="J607" s="195"/>
      <c r="K607" s="195"/>
      <c r="L607" s="197"/>
    </row>
    <row r="608" spans="1:12" ht="15">
      <c r="A608" s="74"/>
      <c r="D608" s="75" t="s">
        <v>132</v>
      </c>
      <c r="E608" s="75" t="s">
        <v>4</v>
      </c>
      <c r="G608" s="76">
        <v>1</v>
      </c>
      <c r="L608" s="77"/>
    </row>
    <row r="609" spans="1:75" ht="27" customHeight="1">
      <c r="A609" s="1" t="s">
        <v>1158</v>
      </c>
      <c r="B609" s="2" t="s">
        <v>84</v>
      </c>
      <c r="C609" s="2" t="s">
        <v>1159</v>
      </c>
      <c r="D609" s="108" t="s">
        <v>1160</v>
      </c>
      <c r="E609" s="103"/>
      <c r="F609" s="2" t="s">
        <v>199</v>
      </c>
      <c r="G609" s="38">
        <f>'Stavební rozpočet'!G609</f>
        <v>1</v>
      </c>
      <c r="H609" s="38">
        <f>'Stavební rozpočet'!H609</f>
        <v>0</v>
      </c>
      <c r="I609" s="38">
        <f>G609*H609</f>
        <v>0</v>
      </c>
      <c r="J609" s="38">
        <f>'Stavební rozpočet'!J609</f>
        <v>0.04</v>
      </c>
      <c r="K609" s="38">
        <f>G609*J609</f>
        <v>0.04</v>
      </c>
      <c r="L609" s="71" t="s">
        <v>207</v>
      </c>
      <c r="Z609" s="38">
        <f>IF(AQ609="5",BJ609,0)</f>
        <v>0</v>
      </c>
      <c r="AB609" s="38">
        <f>IF(AQ609="1",BH609,0)</f>
        <v>0</v>
      </c>
      <c r="AC609" s="38">
        <f>IF(AQ609="1",BI609,0)</f>
        <v>0</v>
      </c>
      <c r="AD609" s="38">
        <f>IF(AQ609="7",BH609,0)</f>
        <v>0</v>
      </c>
      <c r="AE609" s="38">
        <f>IF(AQ609="7",BI609,0)</f>
        <v>0</v>
      </c>
      <c r="AF609" s="38">
        <f>IF(AQ609="2",BH609,0)</f>
        <v>0</v>
      </c>
      <c r="AG609" s="38">
        <f>IF(AQ609="2",BI609,0)</f>
        <v>0</v>
      </c>
      <c r="AH609" s="38">
        <f>IF(AQ609="0",BJ609,0)</f>
        <v>0</v>
      </c>
      <c r="AI609" s="50" t="s">
        <v>84</v>
      </c>
      <c r="AJ609" s="38">
        <f>IF(AN609=0,I609,0)</f>
        <v>0</v>
      </c>
      <c r="AK609" s="38">
        <f>IF(AN609=12,I609,0)</f>
        <v>0</v>
      </c>
      <c r="AL609" s="38">
        <f>IF(AN609=21,I609,0)</f>
        <v>0</v>
      </c>
      <c r="AN609" s="38">
        <v>21</v>
      </c>
      <c r="AO609" s="38">
        <f>H609*0.830846172</f>
        <v>0</v>
      </c>
      <c r="AP609" s="38">
        <f>H609*(1-0.830846172)</f>
        <v>0</v>
      </c>
      <c r="AQ609" s="72" t="s">
        <v>169</v>
      </c>
      <c r="AV609" s="38">
        <f>AW609+AX609</f>
        <v>0</v>
      </c>
      <c r="AW609" s="38">
        <f>G609*AO609</f>
        <v>0</v>
      </c>
      <c r="AX609" s="38">
        <f>G609*AP609</f>
        <v>0</v>
      </c>
      <c r="AY609" s="72" t="s">
        <v>1087</v>
      </c>
      <c r="AZ609" s="72" t="s">
        <v>990</v>
      </c>
      <c r="BA609" s="50" t="s">
        <v>139</v>
      </c>
      <c r="BB609" s="73">
        <v>100013</v>
      </c>
      <c r="BC609" s="38">
        <f>AW609+AX609</f>
        <v>0</v>
      </c>
      <c r="BD609" s="38">
        <f>H609/(100-BE609)*100</f>
        <v>0</v>
      </c>
      <c r="BE609" s="38">
        <v>0</v>
      </c>
      <c r="BF609" s="38">
        <f>K609</f>
        <v>0.04</v>
      </c>
      <c r="BH609" s="38">
        <f>G609*AO609</f>
        <v>0</v>
      </c>
      <c r="BI609" s="38">
        <f>G609*AP609</f>
        <v>0</v>
      </c>
      <c r="BJ609" s="38">
        <f>G609*H609</f>
        <v>0</v>
      </c>
      <c r="BK609" s="38"/>
      <c r="BL609" s="38">
        <v>766</v>
      </c>
      <c r="BW609" s="38">
        <v>21</v>
      </c>
    </row>
    <row r="610" spans="1:12" ht="13.5" customHeight="1">
      <c r="A610" s="74"/>
      <c r="D610" s="194" t="s">
        <v>1106</v>
      </c>
      <c r="E610" s="195"/>
      <c r="F610" s="195"/>
      <c r="G610" s="195"/>
      <c r="H610" s="195"/>
      <c r="I610" s="195"/>
      <c r="J610" s="195"/>
      <c r="K610" s="195"/>
      <c r="L610" s="197"/>
    </row>
    <row r="611" spans="1:12" ht="15">
      <c r="A611" s="74"/>
      <c r="D611" s="75" t="s">
        <v>132</v>
      </c>
      <c r="E611" s="75" t="s">
        <v>4</v>
      </c>
      <c r="G611" s="76">
        <v>1</v>
      </c>
      <c r="L611" s="77"/>
    </row>
    <row r="612" spans="1:75" ht="27" customHeight="1">
      <c r="A612" s="1" t="s">
        <v>1161</v>
      </c>
      <c r="B612" s="2" t="s">
        <v>84</v>
      </c>
      <c r="C612" s="2" t="s">
        <v>1162</v>
      </c>
      <c r="D612" s="108" t="s">
        <v>1163</v>
      </c>
      <c r="E612" s="103"/>
      <c r="F612" s="2" t="s">
        <v>199</v>
      </c>
      <c r="G612" s="38">
        <f>'Stavební rozpočet'!G612</f>
        <v>1</v>
      </c>
      <c r="H612" s="38">
        <f>'Stavební rozpočet'!H612</f>
        <v>0</v>
      </c>
      <c r="I612" s="38">
        <f>G612*H612</f>
        <v>0</v>
      </c>
      <c r="J612" s="38">
        <f>'Stavební rozpočet'!J612</f>
        <v>0.04</v>
      </c>
      <c r="K612" s="38">
        <f>G612*J612</f>
        <v>0.04</v>
      </c>
      <c r="L612" s="71" t="s">
        <v>207</v>
      </c>
      <c r="Z612" s="38">
        <f>IF(AQ612="5",BJ612,0)</f>
        <v>0</v>
      </c>
      <c r="AB612" s="38">
        <f>IF(AQ612="1",BH612,0)</f>
        <v>0</v>
      </c>
      <c r="AC612" s="38">
        <f>IF(AQ612="1",BI612,0)</f>
        <v>0</v>
      </c>
      <c r="AD612" s="38">
        <f>IF(AQ612="7",BH612,0)</f>
        <v>0</v>
      </c>
      <c r="AE612" s="38">
        <f>IF(AQ612="7",BI612,0)</f>
        <v>0</v>
      </c>
      <c r="AF612" s="38">
        <f>IF(AQ612="2",BH612,0)</f>
        <v>0</v>
      </c>
      <c r="AG612" s="38">
        <f>IF(AQ612="2",BI612,0)</f>
        <v>0</v>
      </c>
      <c r="AH612" s="38">
        <f>IF(AQ612="0",BJ612,0)</f>
        <v>0</v>
      </c>
      <c r="AI612" s="50" t="s">
        <v>84</v>
      </c>
      <c r="AJ612" s="38">
        <f>IF(AN612=0,I612,0)</f>
        <v>0</v>
      </c>
      <c r="AK612" s="38">
        <f>IF(AN612=12,I612,0)</f>
        <v>0</v>
      </c>
      <c r="AL612" s="38">
        <f>IF(AN612=21,I612,0)</f>
        <v>0</v>
      </c>
      <c r="AN612" s="38">
        <v>21</v>
      </c>
      <c r="AO612" s="38">
        <f>H612*0.80931163</f>
        <v>0</v>
      </c>
      <c r="AP612" s="38">
        <f>H612*(1-0.80931163)</f>
        <v>0</v>
      </c>
      <c r="AQ612" s="72" t="s">
        <v>169</v>
      </c>
      <c r="AV612" s="38">
        <f>AW612+AX612</f>
        <v>0</v>
      </c>
      <c r="AW612" s="38">
        <f>G612*AO612</f>
        <v>0</v>
      </c>
      <c r="AX612" s="38">
        <f>G612*AP612</f>
        <v>0</v>
      </c>
      <c r="AY612" s="72" t="s">
        <v>1087</v>
      </c>
      <c r="AZ612" s="72" t="s">
        <v>990</v>
      </c>
      <c r="BA612" s="50" t="s">
        <v>139</v>
      </c>
      <c r="BB612" s="73">
        <v>100013</v>
      </c>
      <c r="BC612" s="38">
        <f>AW612+AX612</f>
        <v>0</v>
      </c>
      <c r="BD612" s="38">
        <f>H612/(100-BE612)*100</f>
        <v>0</v>
      </c>
      <c r="BE612" s="38">
        <v>0</v>
      </c>
      <c r="BF612" s="38">
        <f>K612</f>
        <v>0.04</v>
      </c>
      <c r="BH612" s="38">
        <f>G612*AO612</f>
        <v>0</v>
      </c>
      <c r="BI612" s="38">
        <f>G612*AP612</f>
        <v>0</v>
      </c>
      <c r="BJ612" s="38">
        <f>G612*H612</f>
        <v>0</v>
      </c>
      <c r="BK612" s="38"/>
      <c r="BL612" s="38">
        <v>766</v>
      </c>
      <c r="BW612" s="38">
        <v>21</v>
      </c>
    </row>
    <row r="613" spans="1:12" ht="13.5" customHeight="1">
      <c r="A613" s="74"/>
      <c r="D613" s="194" t="s">
        <v>1106</v>
      </c>
      <c r="E613" s="195"/>
      <c r="F613" s="195"/>
      <c r="G613" s="195"/>
      <c r="H613" s="195"/>
      <c r="I613" s="195"/>
      <c r="J613" s="195"/>
      <c r="K613" s="195"/>
      <c r="L613" s="197"/>
    </row>
    <row r="614" spans="1:12" ht="15">
      <c r="A614" s="74"/>
      <c r="D614" s="75" t="s">
        <v>132</v>
      </c>
      <c r="E614" s="75" t="s">
        <v>4</v>
      </c>
      <c r="G614" s="76">
        <v>1</v>
      </c>
      <c r="L614" s="77"/>
    </row>
    <row r="615" spans="1:75" ht="13.5" customHeight="1">
      <c r="A615" s="1" t="s">
        <v>1164</v>
      </c>
      <c r="B615" s="2" t="s">
        <v>84</v>
      </c>
      <c r="C615" s="2" t="s">
        <v>1165</v>
      </c>
      <c r="D615" s="108" t="s">
        <v>1166</v>
      </c>
      <c r="E615" s="103"/>
      <c r="F615" s="2" t="s">
        <v>263</v>
      </c>
      <c r="G615" s="38">
        <f>'Stavební rozpočet'!G615</f>
        <v>22.5</v>
      </c>
      <c r="H615" s="38">
        <f>'Stavební rozpočet'!H615</f>
        <v>0</v>
      </c>
      <c r="I615" s="38">
        <f>G615*H615</f>
        <v>0</v>
      </c>
      <c r="J615" s="38">
        <f>'Stavební rozpočet'!J615</f>
        <v>0.0003</v>
      </c>
      <c r="K615" s="38">
        <f>G615*J615</f>
        <v>0.006749999999999999</v>
      </c>
      <c r="L615" s="71" t="s">
        <v>136</v>
      </c>
      <c r="Z615" s="38">
        <f>IF(AQ615="5",BJ615,0)</f>
        <v>0</v>
      </c>
      <c r="AB615" s="38">
        <f>IF(AQ615="1",BH615,0)</f>
        <v>0</v>
      </c>
      <c r="AC615" s="38">
        <f>IF(AQ615="1",BI615,0)</f>
        <v>0</v>
      </c>
      <c r="AD615" s="38">
        <f>IF(AQ615="7",BH615,0)</f>
        <v>0</v>
      </c>
      <c r="AE615" s="38">
        <f>IF(AQ615="7",BI615,0)</f>
        <v>0</v>
      </c>
      <c r="AF615" s="38">
        <f>IF(AQ615="2",BH615,0)</f>
        <v>0</v>
      </c>
      <c r="AG615" s="38">
        <f>IF(AQ615="2",BI615,0)</f>
        <v>0</v>
      </c>
      <c r="AH615" s="38">
        <f>IF(AQ615="0",BJ615,0)</f>
        <v>0</v>
      </c>
      <c r="AI615" s="50" t="s">
        <v>84</v>
      </c>
      <c r="AJ615" s="38">
        <f>IF(AN615=0,I615,0)</f>
        <v>0</v>
      </c>
      <c r="AK615" s="38">
        <f>IF(AN615=12,I615,0)</f>
        <v>0</v>
      </c>
      <c r="AL615" s="38">
        <f>IF(AN615=21,I615,0)</f>
        <v>0</v>
      </c>
      <c r="AN615" s="38">
        <v>21</v>
      </c>
      <c r="AO615" s="38">
        <f>H615*0.037238795</f>
        <v>0</v>
      </c>
      <c r="AP615" s="38">
        <f>H615*(1-0.037238795)</f>
        <v>0</v>
      </c>
      <c r="AQ615" s="72" t="s">
        <v>169</v>
      </c>
      <c r="AV615" s="38">
        <f>AW615+AX615</f>
        <v>0</v>
      </c>
      <c r="AW615" s="38">
        <f>G615*AO615</f>
        <v>0</v>
      </c>
      <c r="AX615" s="38">
        <f>G615*AP615</f>
        <v>0</v>
      </c>
      <c r="AY615" s="72" t="s">
        <v>1087</v>
      </c>
      <c r="AZ615" s="72" t="s">
        <v>990</v>
      </c>
      <c r="BA615" s="50" t="s">
        <v>139</v>
      </c>
      <c r="BB615" s="73">
        <v>100013</v>
      </c>
      <c r="BC615" s="38">
        <f>AW615+AX615</f>
        <v>0</v>
      </c>
      <c r="BD615" s="38">
        <f>H615/(100-BE615)*100</f>
        <v>0</v>
      </c>
      <c r="BE615" s="38">
        <v>0</v>
      </c>
      <c r="BF615" s="38">
        <f>K615</f>
        <v>0.006749999999999999</v>
      </c>
      <c r="BH615" s="38">
        <f>G615*AO615</f>
        <v>0</v>
      </c>
      <c r="BI615" s="38">
        <f>G615*AP615</f>
        <v>0</v>
      </c>
      <c r="BJ615" s="38">
        <f>G615*H615</f>
        <v>0</v>
      </c>
      <c r="BK615" s="38"/>
      <c r="BL615" s="38">
        <v>766</v>
      </c>
      <c r="BW615" s="38">
        <v>21</v>
      </c>
    </row>
    <row r="616" spans="1:12" ht="15">
      <c r="A616" s="74"/>
      <c r="D616" s="75" t="s">
        <v>1167</v>
      </c>
      <c r="E616" s="75" t="s">
        <v>266</v>
      </c>
      <c r="G616" s="76">
        <v>22.5</v>
      </c>
      <c r="L616" s="77"/>
    </row>
    <row r="617" spans="1:75" ht="13.5" customHeight="1">
      <c r="A617" s="78" t="s">
        <v>1168</v>
      </c>
      <c r="B617" s="79" t="s">
        <v>84</v>
      </c>
      <c r="C617" s="79" t="s">
        <v>1169</v>
      </c>
      <c r="D617" s="198" t="s">
        <v>1170</v>
      </c>
      <c r="E617" s="199"/>
      <c r="F617" s="79" t="s">
        <v>263</v>
      </c>
      <c r="G617" s="80">
        <f>'Stavební rozpočet'!G617</f>
        <v>27.21</v>
      </c>
      <c r="H617" s="80">
        <f>'Stavební rozpočet'!H617</f>
        <v>0</v>
      </c>
      <c r="I617" s="80">
        <f>G617*H617</f>
        <v>0</v>
      </c>
      <c r="J617" s="80">
        <f>'Stavební rozpočet'!J617</f>
        <v>0.0098</v>
      </c>
      <c r="K617" s="80">
        <f>G617*J617</f>
        <v>0.266658</v>
      </c>
      <c r="L617" s="82" t="s">
        <v>136</v>
      </c>
      <c r="Z617" s="38">
        <f>IF(AQ617="5",BJ617,0)</f>
        <v>0</v>
      </c>
      <c r="AB617" s="38">
        <f>IF(AQ617="1",BH617,0)</f>
        <v>0</v>
      </c>
      <c r="AC617" s="38">
        <f>IF(AQ617="1",BI617,0)</f>
        <v>0</v>
      </c>
      <c r="AD617" s="38">
        <f>IF(AQ617="7",BH617,0)</f>
        <v>0</v>
      </c>
      <c r="AE617" s="38">
        <f>IF(AQ617="7",BI617,0)</f>
        <v>0</v>
      </c>
      <c r="AF617" s="38">
        <f>IF(AQ617="2",BH617,0)</f>
        <v>0</v>
      </c>
      <c r="AG617" s="38">
        <f>IF(AQ617="2",BI617,0)</f>
        <v>0</v>
      </c>
      <c r="AH617" s="38">
        <f>IF(AQ617="0",BJ617,0)</f>
        <v>0</v>
      </c>
      <c r="AI617" s="50" t="s">
        <v>84</v>
      </c>
      <c r="AJ617" s="80">
        <f>IF(AN617=0,I617,0)</f>
        <v>0</v>
      </c>
      <c r="AK617" s="80">
        <f>IF(AN617=12,I617,0)</f>
        <v>0</v>
      </c>
      <c r="AL617" s="80">
        <f>IF(AN617=21,I617,0)</f>
        <v>0</v>
      </c>
      <c r="AN617" s="38">
        <v>21</v>
      </c>
      <c r="AO617" s="38">
        <f>H617*1</f>
        <v>0</v>
      </c>
      <c r="AP617" s="38">
        <f>H617*(1-1)</f>
        <v>0</v>
      </c>
      <c r="AQ617" s="83" t="s">
        <v>169</v>
      </c>
      <c r="AV617" s="38">
        <f>AW617+AX617</f>
        <v>0</v>
      </c>
      <c r="AW617" s="38">
        <f>G617*AO617</f>
        <v>0</v>
      </c>
      <c r="AX617" s="38">
        <f>G617*AP617</f>
        <v>0</v>
      </c>
      <c r="AY617" s="72" t="s">
        <v>1087</v>
      </c>
      <c r="AZ617" s="72" t="s">
        <v>990</v>
      </c>
      <c r="BA617" s="50" t="s">
        <v>139</v>
      </c>
      <c r="BC617" s="38">
        <f>AW617+AX617</f>
        <v>0</v>
      </c>
      <c r="BD617" s="38">
        <f>H617/(100-BE617)*100</f>
        <v>0</v>
      </c>
      <c r="BE617" s="38">
        <v>0</v>
      </c>
      <c r="BF617" s="38">
        <f>K617</f>
        <v>0.266658</v>
      </c>
      <c r="BH617" s="80">
        <f>G617*AO617</f>
        <v>0</v>
      </c>
      <c r="BI617" s="80">
        <f>G617*AP617</f>
        <v>0</v>
      </c>
      <c r="BJ617" s="80">
        <f>G617*H617</f>
        <v>0</v>
      </c>
      <c r="BK617" s="80"/>
      <c r="BL617" s="38">
        <v>766</v>
      </c>
      <c r="BW617" s="38">
        <v>21</v>
      </c>
    </row>
    <row r="618" spans="1:12" ht="15">
      <c r="A618" s="74"/>
      <c r="D618" s="75" t="s">
        <v>1171</v>
      </c>
      <c r="E618" s="75" t="s">
        <v>4</v>
      </c>
      <c r="G618" s="76">
        <v>24.74</v>
      </c>
      <c r="L618" s="77"/>
    </row>
    <row r="619" spans="1:12" ht="15">
      <c r="A619" s="74"/>
      <c r="D619" s="75" t="s">
        <v>1172</v>
      </c>
      <c r="E619" s="75" t="s">
        <v>4</v>
      </c>
      <c r="G619" s="76">
        <v>2.47</v>
      </c>
      <c r="L619" s="77"/>
    </row>
    <row r="620" spans="1:75" ht="13.5" customHeight="1">
      <c r="A620" s="1" t="s">
        <v>1173</v>
      </c>
      <c r="B620" s="2" t="s">
        <v>84</v>
      </c>
      <c r="C620" s="2" t="s">
        <v>1174</v>
      </c>
      <c r="D620" s="108" t="s">
        <v>1175</v>
      </c>
      <c r="E620" s="103"/>
      <c r="F620" s="2" t="s">
        <v>214</v>
      </c>
      <c r="G620" s="38">
        <f>'Stavební rozpočet'!G620</f>
        <v>45</v>
      </c>
      <c r="H620" s="38">
        <f>'Stavební rozpočet'!H620</f>
        <v>0</v>
      </c>
      <c r="I620" s="38">
        <f>G620*H620</f>
        <v>0</v>
      </c>
      <c r="J620" s="38">
        <f>'Stavební rozpočet'!J620</f>
        <v>0.00028</v>
      </c>
      <c r="K620" s="38">
        <f>G620*J620</f>
        <v>0.012599999999999998</v>
      </c>
      <c r="L620" s="71" t="s">
        <v>207</v>
      </c>
      <c r="Z620" s="38">
        <f>IF(AQ620="5",BJ620,0)</f>
        <v>0</v>
      </c>
      <c r="AB620" s="38">
        <f>IF(AQ620="1",BH620,0)</f>
        <v>0</v>
      </c>
      <c r="AC620" s="38">
        <f>IF(AQ620="1",BI620,0)</f>
        <v>0</v>
      </c>
      <c r="AD620" s="38">
        <f>IF(AQ620="7",BH620,0)</f>
        <v>0</v>
      </c>
      <c r="AE620" s="38">
        <f>IF(AQ620="7",BI620,0)</f>
        <v>0</v>
      </c>
      <c r="AF620" s="38">
        <f>IF(AQ620="2",BH620,0)</f>
        <v>0</v>
      </c>
      <c r="AG620" s="38">
        <f>IF(AQ620="2",BI620,0)</f>
        <v>0</v>
      </c>
      <c r="AH620" s="38">
        <f>IF(AQ620="0",BJ620,0)</f>
        <v>0</v>
      </c>
      <c r="AI620" s="50" t="s">
        <v>84</v>
      </c>
      <c r="AJ620" s="38">
        <f>IF(AN620=0,I620,0)</f>
        <v>0</v>
      </c>
      <c r="AK620" s="38">
        <f>IF(AN620=12,I620,0)</f>
        <v>0</v>
      </c>
      <c r="AL620" s="38">
        <f>IF(AN620=21,I620,0)</f>
        <v>0</v>
      </c>
      <c r="AN620" s="38">
        <v>21</v>
      </c>
      <c r="AO620" s="38">
        <f>H620*0.320387905</f>
        <v>0</v>
      </c>
      <c r="AP620" s="38">
        <f>H620*(1-0.320387905)</f>
        <v>0</v>
      </c>
      <c r="AQ620" s="72" t="s">
        <v>169</v>
      </c>
      <c r="AV620" s="38">
        <f>AW620+AX620</f>
        <v>0</v>
      </c>
      <c r="AW620" s="38">
        <f>G620*AO620</f>
        <v>0</v>
      </c>
      <c r="AX620" s="38">
        <f>G620*AP620</f>
        <v>0</v>
      </c>
      <c r="AY620" s="72" t="s">
        <v>1087</v>
      </c>
      <c r="AZ620" s="72" t="s">
        <v>990</v>
      </c>
      <c r="BA620" s="50" t="s">
        <v>139</v>
      </c>
      <c r="BB620" s="73">
        <v>100013</v>
      </c>
      <c r="BC620" s="38">
        <f>AW620+AX620</f>
        <v>0</v>
      </c>
      <c r="BD620" s="38">
        <f>H620/(100-BE620)*100</f>
        <v>0</v>
      </c>
      <c r="BE620" s="38">
        <v>0</v>
      </c>
      <c r="BF620" s="38">
        <f>K620</f>
        <v>0.012599999999999998</v>
      </c>
      <c r="BH620" s="38">
        <f>G620*AO620</f>
        <v>0</v>
      </c>
      <c r="BI620" s="38">
        <f>G620*AP620</f>
        <v>0</v>
      </c>
      <c r="BJ620" s="38">
        <f>G620*H620</f>
        <v>0</v>
      </c>
      <c r="BK620" s="38"/>
      <c r="BL620" s="38">
        <v>766</v>
      </c>
      <c r="BW620" s="38">
        <v>21</v>
      </c>
    </row>
    <row r="621" spans="1:12" ht="13.5" customHeight="1">
      <c r="A621" s="74"/>
      <c r="D621" s="194" t="s">
        <v>1176</v>
      </c>
      <c r="E621" s="195"/>
      <c r="F621" s="195"/>
      <c r="G621" s="195"/>
      <c r="H621" s="195"/>
      <c r="I621" s="195"/>
      <c r="J621" s="195"/>
      <c r="K621" s="195"/>
      <c r="L621" s="197"/>
    </row>
    <row r="622" spans="1:12" ht="15">
      <c r="A622" s="74"/>
      <c r="D622" s="75" t="s">
        <v>1177</v>
      </c>
      <c r="E622" s="75" t="s">
        <v>4</v>
      </c>
      <c r="G622" s="76">
        <v>45</v>
      </c>
      <c r="L622" s="77"/>
    </row>
    <row r="623" spans="1:75" ht="13.5" customHeight="1">
      <c r="A623" s="1" t="s">
        <v>1178</v>
      </c>
      <c r="B623" s="2" t="s">
        <v>84</v>
      </c>
      <c r="C623" s="2" t="s">
        <v>1179</v>
      </c>
      <c r="D623" s="108" t="s">
        <v>1180</v>
      </c>
      <c r="E623" s="103"/>
      <c r="F623" s="2" t="s">
        <v>199</v>
      </c>
      <c r="G623" s="38">
        <f>'Stavební rozpočet'!G623</f>
        <v>1</v>
      </c>
      <c r="H623" s="38">
        <f>'Stavební rozpočet'!H623</f>
        <v>0</v>
      </c>
      <c r="I623" s="38">
        <f>G623*H623</f>
        <v>0</v>
      </c>
      <c r="J623" s="38">
        <f>'Stavební rozpočet'!J623</f>
        <v>0.00019</v>
      </c>
      <c r="K623" s="38">
        <f>G623*J623</f>
        <v>0.00019</v>
      </c>
      <c r="L623" s="71" t="s">
        <v>207</v>
      </c>
      <c r="Z623" s="38">
        <f>IF(AQ623="5",BJ623,0)</f>
        <v>0</v>
      </c>
      <c r="AB623" s="38">
        <f>IF(AQ623="1",BH623,0)</f>
        <v>0</v>
      </c>
      <c r="AC623" s="38">
        <f>IF(AQ623="1",BI623,0)</f>
        <v>0</v>
      </c>
      <c r="AD623" s="38">
        <f>IF(AQ623="7",BH623,0)</f>
        <v>0</v>
      </c>
      <c r="AE623" s="38">
        <f>IF(AQ623="7",BI623,0)</f>
        <v>0</v>
      </c>
      <c r="AF623" s="38">
        <f>IF(AQ623="2",BH623,0)</f>
        <v>0</v>
      </c>
      <c r="AG623" s="38">
        <f>IF(AQ623="2",BI623,0)</f>
        <v>0</v>
      </c>
      <c r="AH623" s="38">
        <f>IF(AQ623="0",BJ623,0)</f>
        <v>0</v>
      </c>
      <c r="AI623" s="50" t="s">
        <v>84</v>
      </c>
      <c r="AJ623" s="38">
        <f>IF(AN623=0,I623,0)</f>
        <v>0</v>
      </c>
      <c r="AK623" s="38">
        <f>IF(AN623=12,I623,0)</f>
        <v>0</v>
      </c>
      <c r="AL623" s="38">
        <f>IF(AN623=21,I623,0)</f>
        <v>0</v>
      </c>
      <c r="AN623" s="38">
        <v>21</v>
      </c>
      <c r="AO623" s="38">
        <f>H623*0.923076923</f>
        <v>0</v>
      </c>
      <c r="AP623" s="38">
        <f>H623*(1-0.923076923)</f>
        <v>0</v>
      </c>
      <c r="AQ623" s="72" t="s">
        <v>169</v>
      </c>
      <c r="AV623" s="38">
        <f>AW623+AX623</f>
        <v>0</v>
      </c>
      <c r="AW623" s="38">
        <f>G623*AO623</f>
        <v>0</v>
      </c>
      <c r="AX623" s="38">
        <f>G623*AP623</f>
        <v>0</v>
      </c>
      <c r="AY623" s="72" t="s">
        <v>1087</v>
      </c>
      <c r="AZ623" s="72" t="s">
        <v>990</v>
      </c>
      <c r="BA623" s="50" t="s">
        <v>139</v>
      </c>
      <c r="BB623" s="73">
        <v>100013</v>
      </c>
      <c r="BC623" s="38">
        <f>AW623+AX623</f>
        <v>0</v>
      </c>
      <c r="BD623" s="38">
        <f>H623/(100-BE623)*100</f>
        <v>0</v>
      </c>
      <c r="BE623" s="38">
        <v>0</v>
      </c>
      <c r="BF623" s="38">
        <f>K623</f>
        <v>0.00019</v>
      </c>
      <c r="BH623" s="38">
        <f>G623*AO623</f>
        <v>0</v>
      </c>
      <c r="BI623" s="38">
        <f>G623*AP623</f>
        <v>0</v>
      </c>
      <c r="BJ623" s="38">
        <f>G623*H623</f>
        <v>0</v>
      </c>
      <c r="BK623" s="38"/>
      <c r="BL623" s="38">
        <v>766</v>
      </c>
      <c r="BW623" s="38">
        <v>21</v>
      </c>
    </row>
    <row r="624" spans="1:12" ht="13.5" customHeight="1">
      <c r="A624" s="74"/>
      <c r="D624" s="194" t="s">
        <v>1181</v>
      </c>
      <c r="E624" s="195"/>
      <c r="F624" s="195"/>
      <c r="G624" s="195"/>
      <c r="H624" s="195"/>
      <c r="I624" s="195"/>
      <c r="J624" s="195"/>
      <c r="K624" s="195"/>
      <c r="L624" s="197"/>
    </row>
    <row r="625" spans="1:12" ht="15">
      <c r="A625" s="74"/>
      <c r="D625" s="75" t="s">
        <v>132</v>
      </c>
      <c r="E625" s="75" t="s">
        <v>4</v>
      </c>
      <c r="G625" s="76">
        <v>1</v>
      </c>
      <c r="L625" s="77"/>
    </row>
    <row r="626" spans="1:75" ht="13.5" customHeight="1">
      <c r="A626" s="1" t="s">
        <v>1182</v>
      </c>
      <c r="B626" s="2" t="s">
        <v>84</v>
      </c>
      <c r="C626" s="2" t="s">
        <v>1183</v>
      </c>
      <c r="D626" s="108" t="s">
        <v>1184</v>
      </c>
      <c r="E626" s="103"/>
      <c r="F626" s="2" t="s">
        <v>199</v>
      </c>
      <c r="G626" s="38">
        <f>'Stavební rozpočet'!G626</f>
        <v>1</v>
      </c>
      <c r="H626" s="38">
        <f>'Stavební rozpočet'!H626</f>
        <v>0</v>
      </c>
      <c r="I626" s="38">
        <f>G626*H626</f>
        <v>0</v>
      </c>
      <c r="J626" s="38">
        <f>'Stavební rozpočet'!J626</f>
        <v>0</v>
      </c>
      <c r="K626" s="38">
        <f>G626*J626</f>
        <v>0</v>
      </c>
      <c r="L626" s="71" t="s">
        <v>207</v>
      </c>
      <c r="Z626" s="38">
        <f>IF(AQ626="5",BJ626,0)</f>
        <v>0</v>
      </c>
      <c r="AB626" s="38">
        <f>IF(AQ626="1",BH626,0)</f>
        <v>0</v>
      </c>
      <c r="AC626" s="38">
        <f>IF(AQ626="1",BI626,0)</f>
        <v>0</v>
      </c>
      <c r="AD626" s="38">
        <f>IF(AQ626="7",BH626,0)</f>
        <v>0</v>
      </c>
      <c r="AE626" s="38">
        <f>IF(AQ626="7",BI626,0)</f>
        <v>0</v>
      </c>
      <c r="AF626" s="38">
        <f>IF(AQ626="2",BH626,0)</f>
        <v>0</v>
      </c>
      <c r="AG626" s="38">
        <f>IF(AQ626="2",BI626,0)</f>
        <v>0</v>
      </c>
      <c r="AH626" s="38">
        <f>IF(AQ626="0",BJ626,0)</f>
        <v>0</v>
      </c>
      <c r="AI626" s="50" t="s">
        <v>84</v>
      </c>
      <c r="AJ626" s="38">
        <f>IF(AN626=0,I626,0)</f>
        <v>0</v>
      </c>
      <c r="AK626" s="38">
        <f>IF(AN626=12,I626,0)</f>
        <v>0</v>
      </c>
      <c r="AL626" s="38">
        <f>IF(AN626=21,I626,0)</f>
        <v>0</v>
      </c>
      <c r="AN626" s="38">
        <v>21</v>
      </c>
      <c r="AO626" s="38">
        <f>H626*0.900131406</f>
        <v>0</v>
      </c>
      <c r="AP626" s="38">
        <f>H626*(1-0.900131406)</f>
        <v>0</v>
      </c>
      <c r="AQ626" s="72" t="s">
        <v>169</v>
      </c>
      <c r="AV626" s="38">
        <f>AW626+AX626</f>
        <v>0</v>
      </c>
      <c r="AW626" s="38">
        <f>G626*AO626</f>
        <v>0</v>
      </c>
      <c r="AX626" s="38">
        <f>G626*AP626</f>
        <v>0</v>
      </c>
      <c r="AY626" s="72" t="s">
        <v>1087</v>
      </c>
      <c r="AZ626" s="72" t="s">
        <v>990</v>
      </c>
      <c r="BA626" s="50" t="s">
        <v>139</v>
      </c>
      <c r="BB626" s="73">
        <v>100013</v>
      </c>
      <c r="BC626" s="38">
        <f>AW626+AX626</f>
        <v>0</v>
      </c>
      <c r="BD626" s="38">
        <f>H626/(100-BE626)*100</f>
        <v>0</v>
      </c>
      <c r="BE626" s="38">
        <v>0</v>
      </c>
      <c r="BF626" s="38">
        <f>K626</f>
        <v>0</v>
      </c>
      <c r="BH626" s="38">
        <f>G626*AO626</f>
        <v>0</v>
      </c>
      <c r="BI626" s="38">
        <f>G626*AP626</f>
        <v>0</v>
      </c>
      <c r="BJ626" s="38">
        <f>G626*H626</f>
        <v>0</v>
      </c>
      <c r="BK626" s="38"/>
      <c r="BL626" s="38">
        <v>766</v>
      </c>
      <c r="BW626" s="38">
        <v>21</v>
      </c>
    </row>
    <row r="627" spans="1:12" ht="13.5" customHeight="1">
      <c r="A627" s="74"/>
      <c r="D627" s="194" t="s">
        <v>1181</v>
      </c>
      <c r="E627" s="195"/>
      <c r="F627" s="195"/>
      <c r="G627" s="195"/>
      <c r="H627" s="195"/>
      <c r="I627" s="195"/>
      <c r="J627" s="195"/>
      <c r="K627" s="195"/>
      <c r="L627" s="197"/>
    </row>
    <row r="628" spans="1:12" ht="15">
      <c r="A628" s="74"/>
      <c r="D628" s="75" t="s">
        <v>132</v>
      </c>
      <c r="E628" s="75" t="s">
        <v>4</v>
      </c>
      <c r="G628" s="76">
        <v>1</v>
      </c>
      <c r="L628" s="77"/>
    </row>
    <row r="629" spans="1:75" ht="13.5" customHeight="1">
      <c r="A629" s="1" t="s">
        <v>1185</v>
      </c>
      <c r="B629" s="2" t="s">
        <v>84</v>
      </c>
      <c r="C629" s="2" t="s">
        <v>1186</v>
      </c>
      <c r="D629" s="108" t="s">
        <v>1187</v>
      </c>
      <c r="E629" s="103"/>
      <c r="F629" s="2" t="s">
        <v>214</v>
      </c>
      <c r="G629" s="38">
        <f>'Stavební rozpočet'!G629</f>
        <v>3.25</v>
      </c>
      <c r="H629" s="38">
        <f>'Stavební rozpočet'!H629</f>
        <v>0</v>
      </c>
      <c r="I629" s="38">
        <f>G629*H629</f>
        <v>0</v>
      </c>
      <c r="J629" s="38">
        <f>'Stavební rozpočet'!J629</f>
        <v>0</v>
      </c>
      <c r="K629" s="38">
        <f>G629*J629</f>
        <v>0</v>
      </c>
      <c r="L629" s="71" t="s">
        <v>207</v>
      </c>
      <c r="Z629" s="38">
        <f>IF(AQ629="5",BJ629,0)</f>
        <v>0</v>
      </c>
      <c r="AB629" s="38">
        <f>IF(AQ629="1",BH629,0)</f>
        <v>0</v>
      </c>
      <c r="AC629" s="38">
        <f>IF(AQ629="1",BI629,0)</f>
        <v>0</v>
      </c>
      <c r="AD629" s="38">
        <f>IF(AQ629="7",BH629,0)</f>
        <v>0</v>
      </c>
      <c r="AE629" s="38">
        <f>IF(AQ629="7",BI629,0)</f>
        <v>0</v>
      </c>
      <c r="AF629" s="38">
        <f>IF(AQ629="2",BH629,0)</f>
        <v>0</v>
      </c>
      <c r="AG629" s="38">
        <f>IF(AQ629="2",BI629,0)</f>
        <v>0</v>
      </c>
      <c r="AH629" s="38">
        <f>IF(AQ629="0",BJ629,0)</f>
        <v>0</v>
      </c>
      <c r="AI629" s="50" t="s">
        <v>84</v>
      </c>
      <c r="AJ629" s="38">
        <f>IF(AN629=0,I629,0)</f>
        <v>0</v>
      </c>
      <c r="AK629" s="38">
        <f>IF(AN629=12,I629,0)</f>
        <v>0</v>
      </c>
      <c r="AL629" s="38">
        <f>IF(AN629=21,I629,0)</f>
        <v>0</v>
      </c>
      <c r="AN629" s="38">
        <v>21</v>
      </c>
      <c r="AO629" s="38">
        <f>H629*0.763157895</f>
        <v>0</v>
      </c>
      <c r="AP629" s="38">
        <f>H629*(1-0.763157895)</f>
        <v>0</v>
      </c>
      <c r="AQ629" s="72" t="s">
        <v>169</v>
      </c>
      <c r="AV629" s="38">
        <f>AW629+AX629</f>
        <v>0</v>
      </c>
      <c r="AW629" s="38">
        <f>G629*AO629</f>
        <v>0</v>
      </c>
      <c r="AX629" s="38">
        <f>G629*AP629</f>
        <v>0</v>
      </c>
      <c r="AY629" s="72" t="s">
        <v>1087</v>
      </c>
      <c r="AZ629" s="72" t="s">
        <v>990</v>
      </c>
      <c r="BA629" s="50" t="s">
        <v>139</v>
      </c>
      <c r="BB629" s="73">
        <v>100013</v>
      </c>
      <c r="BC629" s="38">
        <f>AW629+AX629</f>
        <v>0</v>
      </c>
      <c r="BD629" s="38">
        <f>H629/(100-BE629)*100</f>
        <v>0</v>
      </c>
      <c r="BE629" s="38">
        <v>0</v>
      </c>
      <c r="BF629" s="38">
        <f>K629</f>
        <v>0</v>
      </c>
      <c r="BH629" s="38">
        <f>G629*AO629</f>
        <v>0</v>
      </c>
      <c r="BI629" s="38">
        <f>G629*AP629</f>
        <v>0</v>
      </c>
      <c r="BJ629" s="38">
        <f>G629*H629</f>
        <v>0</v>
      </c>
      <c r="BK629" s="38"/>
      <c r="BL629" s="38">
        <v>766</v>
      </c>
      <c r="BW629" s="38">
        <v>21</v>
      </c>
    </row>
    <row r="630" spans="1:12" ht="13.5" customHeight="1">
      <c r="A630" s="74"/>
      <c r="D630" s="194" t="s">
        <v>1181</v>
      </c>
      <c r="E630" s="195"/>
      <c r="F630" s="195"/>
      <c r="G630" s="195"/>
      <c r="H630" s="195"/>
      <c r="I630" s="195"/>
      <c r="J630" s="195"/>
      <c r="K630" s="195"/>
      <c r="L630" s="197"/>
    </row>
    <row r="631" spans="1:12" ht="15">
      <c r="A631" s="74"/>
      <c r="D631" s="75" t="s">
        <v>1188</v>
      </c>
      <c r="E631" s="75" t="s">
        <v>1189</v>
      </c>
      <c r="G631" s="76">
        <v>3.25</v>
      </c>
      <c r="L631" s="77"/>
    </row>
    <row r="632" spans="1:75" ht="13.5" customHeight="1">
      <c r="A632" s="1" t="s">
        <v>1190</v>
      </c>
      <c r="B632" s="2" t="s">
        <v>84</v>
      </c>
      <c r="C632" s="2" t="s">
        <v>1191</v>
      </c>
      <c r="D632" s="108" t="s">
        <v>1192</v>
      </c>
      <c r="E632" s="103"/>
      <c r="F632" s="2" t="s">
        <v>189</v>
      </c>
      <c r="G632" s="38">
        <f>'Stavební rozpočet'!G632</f>
        <v>1.42</v>
      </c>
      <c r="H632" s="38">
        <f>'Stavební rozpočet'!H632</f>
        <v>0</v>
      </c>
      <c r="I632" s="38">
        <f>G632*H632</f>
        <v>0</v>
      </c>
      <c r="J632" s="38">
        <f>'Stavební rozpočet'!J632</f>
        <v>0</v>
      </c>
      <c r="K632" s="38">
        <f>G632*J632</f>
        <v>0</v>
      </c>
      <c r="L632" s="71" t="s">
        <v>136</v>
      </c>
      <c r="Z632" s="38">
        <f>IF(AQ632="5",BJ632,0)</f>
        <v>0</v>
      </c>
      <c r="AB632" s="38">
        <f>IF(AQ632="1",BH632,0)</f>
        <v>0</v>
      </c>
      <c r="AC632" s="38">
        <f>IF(AQ632="1",BI632,0)</f>
        <v>0</v>
      </c>
      <c r="AD632" s="38">
        <f>IF(AQ632="7",BH632,0)</f>
        <v>0</v>
      </c>
      <c r="AE632" s="38">
        <f>IF(AQ632="7",BI632,0)</f>
        <v>0</v>
      </c>
      <c r="AF632" s="38">
        <f>IF(AQ632="2",BH632,0)</f>
        <v>0</v>
      </c>
      <c r="AG632" s="38">
        <f>IF(AQ632="2",BI632,0)</f>
        <v>0</v>
      </c>
      <c r="AH632" s="38">
        <f>IF(AQ632="0",BJ632,0)</f>
        <v>0</v>
      </c>
      <c r="AI632" s="50" t="s">
        <v>84</v>
      </c>
      <c r="AJ632" s="38">
        <f>IF(AN632=0,I632,0)</f>
        <v>0</v>
      </c>
      <c r="AK632" s="38">
        <f>IF(AN632=12,I632,0)</f>
        <v>0</v>
      </c>
      <c r="AL632" s="38">
        <f>IF(AN632=21,I632,0)</f>
        <v>0</v>
      </c>
      <c r="AN632" s="38">
        <v>21</v>
      </c>
      <c r="AO632" s="38">
        <f>H632*0</f>
        <v>0</v>
      </c>
      <c r="AP632" s="38">
        <f>H632*(1-0)</f>
        <v>0</v>
      </c>
      <c r="AQ632" s="72" t="s">
        <v>162</v>
      </c>
      <c r="AV632" s="38">
        <f>AW632+AX632</f>
        <v>0</v>
      </c>
      <c r="AW632" s="38">
        <f>G632*AO632</f>
        <v>0</v>
      </c>
      <c r="AX632" s="38">
        <f>G632*AP632</f>
        <v>0</v>
      </c>
      <c r="AY632" s="72" t="s">
        <v>1087</v>
      </c>
      <c r="AZ632" s="72" t="s">
        <v>990</v>
      </c>
      <c r="BA632" s="50" t="s">
        <v>139</v>
      </c>
      <c r="BC632" s="38">
        <f>AW632+AX632</f>
        <v>0</v>
      </c>
      <c r="BD632" s="38">
        <f>H632/(100-BE632)*100</f>
        <v>0</v>
      </c>
      <c r="BE632" s="38">
        <v>0</v>
      </c>
      <c r="BF632" s="38">
        <f>K632</f>
        <v>0</v>
      </c>
      <c r="BH632" s="38">
        <f>G632*AO632</f>
        <v>0</v>
      </c>
      <c r="BI632" s="38">
        <f>G632*AP632</f>
        <v>0</v>
      </c>
      <c r="BJ632" s="38">
        <f>G632*H632</f>
        <v>0</v>
      </c>
      <c r="BK632" s="38"/>
      <c r="BL632" s="38">
        <v>766</v>
      </c>
      <c r="BW632" s="38">
        <v>21</v>
      </c>
    </row>
    <row r="633" spans="1:12" ht="15">
      <c r="A633" s="74"/>
      <c r="D633" s="75" t="s">
        <v>1193</v>
      </c>
      <c r="E633" s="75" t="s">
        <v>4</v>
      </c>
      <c r="G633" s="76">
        <v>1.42</v>
      </c>
      <c r="L633" s="77"/>
    </row>
    <row r="634" spans="1:47" ht="15">
      <c r="A634" s="65" t="s">
        <v>4</v>
      </c>
      <c r="B634" s="66" t="s">
        <v>84</v>
      </c>
      <c r="C634" s="66" t="s">
        <v>1194</v>
      </c>
      <c r="D634" s="192" t="s">
        <v>1195</v>
      </c>
      <c r="E634" s="193"/>
      <c r="F634" s="67" t="s">
        <v>78</v>
      </c>
      <c r="G634" s="67" t="s">
        <v>78</v>
      </c>
      <c r="H634" s="67" t="s">
        <v>78</v>
      </c>
      <c r="I634" s="44">
        <f>SUM(I635:I687)</f>
        <v>0</v>
      </c>
      <c r="J634" s="50" t="s">
        <v>4</v>
      </c>
      <c r="K634" s="44">
        <f>SUM(K635:K687)</f>
        <v>0.6346464</v>
      </c>
      <c r="L634" s="69" t="s">
        <v>4</v>
      </c>
      <c r="AI634" s="50" t="s">
        <v>84</v>
      </c>
      <c r="AS634" s="44">
        <f>SUM(AJ635:AJ687)</f>
        <v>0</v>
      </c>
      <c r="AT634" s="44">
        <f>SUM(AK635:AK687)</f>
        <v>0</v>
      </c>
      <c r="AU634" s="44">
        <f>SUM(AL635:AL687)</f>
        <v>0</v>
      </c>
    </row>
    <row r="635" spans="1:75" ht="13.5" customHeight="1">
      <c r="A635" s="1" t="s">
        <v>1196</v>
      </c>
      <c r="B635" s="2" t="s">
        <v>84</v>
      </c>
      <c r="C635" s="2" t="s">
        <v>1197</v>
      </c>
      <c r="D635" s="108" t="s">
        <v>1198</v>
      </c>
      <c r="E635" s="103"/>
      <c r="F635" s="2" t="s">
        <v>1199</v>
      </c>
      <c r="G635" s="38">
        <f>'Stavební rozpočet'!G635</f>
        <v>13.08</v>
      </c>
      <c r="H635" s="38">
        <f>'Stavební rozpočet'!H635</f>
        <v>0</v>
      </c>
      <c r="I635" s="38">
        <f>G635*H635</f>
        <v>0</v>
      </c>
      <c r="J635" s="38">
        <f>'Stavební rozpočet'!J635</f>
        <v>6E-05</v>
      </c>
      <c r="K635" s="38">
        <f>G635*J635</f>
        <v>0.0007848</v>
      </c>
      <c r="L635" s="71" t="s">
        <v>207</v>
      </c>
      <c r="Z635" s="38">
        <f>IF(AQ635="5",BJ635,0)</f>
        <v>0</v>
      </c>
      <c r="AB635" s="38">
        <f>IF(AQ635="1",BH635,0)</f>
        <v>0</v>
      </c>
      <c r="AC635" s="38">
        <f>IF(AQ635="1",BI635,0)</f>
        <v>0</v>
      </c>
      <c r="AD635" s="38">
        <f>IF(AQ635="7",BH635,0)</f>
        <v>0</v>
      </c>
      <c r="AE635" s="38">
        <f>IF(AQ635="7",BI635,0)</f>
        <v>0</v>
      </c>
      <c r="AF635" s="38">
        <f>IF(AQ635="2",BH635,0)</f>
        <v>0</v>
      </c>
      <c r="AG635" s="38">
        <f>IF(AQ635="2",BI635,0)</f>
        <v>0</v>
      </c>
      <c r="AH635" s="38">
        <f>IF(AQ635="0",BJ635,0)</f>
        <v>0</v>
      </c>
      <c r="AI635" s="50" t="s">
        <v>84</v>
      </c>
      <c r="AJ635" s="38">
        <f>IF(AN635=0,I635,0)</f>
        <v>0</v>
      </c>
      <c r="AK635" s="38">
        <f>IF(AN635=12,I635,0)</f>
        <v>0</v>
      </c>
      <c r="AL635" s="38">
        <f>IF(AN635=21,I635,0)</f>
        <v>0</v>
      </c>
      <c r="AN635" s="38">
        <v>21</v>
      </c>
      <c r="AO635" s="38">
        <f>H635*0.21623806</f>
        <v>0</v>
      </c>
      <c r="AP635" s="38">
        <f>H635*(1-0.21623806)</f>
        <v>0</v>
      </c>
      <c r="AQ635" s="72" t="s">
        <v>169</v>
      </c>
      <c r="AV635" s="38">
        <f>AW635+AX635</f>
        <v>0</v>
      </c>
      <c r="AW635" s="38">
        <f>G635*AO635</f>
        <v>0</v>
      </c>
      <c r="AX635" s="38">
        <f>G635*AP635</f>
        <v>0</v>
      </c>
      <c r="AY635" s="72" t="s">
        <v>1200</v>
      </c>
      <c r="AZ635" s="72" t="s">
        <v>990</v>
      </c>
      <c r="BA635" s="50" t="s">
        <v>139</v>
      </c>
      <c r="BB635" s="73">
        <v>100018</v>
      </c>
      <c r="BC635" s="38">
        <f>AW635+AX635</f>
        <v>0</v>
      </c>
      <c r="BD635" s="38">
        <f>H635/(100-BE635)*100</f>
        <v>0</v>
      </c>
      <c r="BE635" s="38">
        <v>0</v>
      </c>
      <c r="BF635" s="38">
        <f>K635</f>
        <v>0.0007848</v>
      </c>
      <c r="BH635" s="38">
        <f>G635*AO635</f>
        <v>0</v>
      </c>
      <c r="BI635" s="38">
        <f>G635*AP635</f>
        <v>0</v>
      </c>
      <c r="BJ635" s="38">
        <f>G635*H635</f>
        <v>0</v>
      </c>
      <c r="BK635" s="38"/>
      <c r="BL635" s="38">
        <v>767</v>
      </c>
      <c r="BW635" s="38">
        <v>21</v>
      </c>
    </row>
    <row r="636" spans="1:12" ht="15">
      <c r="A636" s="74"/>
      <c r="D636" s="75" t="s">
        <v>1201</v>
      </c>
      <c r="E636" s="75" t="s">
        <v>1202</v>
      </c>
      <c r="G636" s="76">
        <v>13.08</v>
      </c>
      <c r="L636" s="77"/>
    </row>
    <row r="637" spans="1:75" ht="13.5" customHeight="1">
      <c r="A637" s="1" t="s">
        <v>1203</v>
      </c>
      <c r="B637" s="2" t="s">
        <v>84</v>
      </c>
      <c r="C637" s="2" t="s">
        <v>1204</v>
      </c>
      <c r="D637" s="108" t="s">
        <v>1205</v>
      </c>
      <c r="E637" s="103"/>
      <c r="F637" s="2" t="s">
        <v>1199</v>
      </c>
      <c r="G637" s="38">
        <f>'Stavební rozpočet'!G637</f>
        <v>26.16</v>
      </c>
      <c r="H637" s="38">
        <f>'Stavební rozpočet'!H637</f>
        <v>0</v>
      </c>
      <c r="I637" s="38">
        <f>G637*H637</f>
        <v>0</v>
      </c>
      <c r="J637" s="38">
        <f>'Stavební rozpočet'!J637</f>
        <v>6E-05</v>
      </c>
      <c r="K637" s="38">
        <f>G637*J637</f>
        <v>0.0015696</v>
      </c>
      <c r="L637" s="71" t="s">
        <v>207</v>
      </c>
      <c r="Z637" s="38">
        <f>IF(AQ637="5",BJ637,0)</f>
        <v>0</v>
      </c>
      <c r="AB637" s="38">
        <f>IF(AQ637="1",BH637,0)</f>
        <v>0</v>
      </c>
      <c r="AC637" s="38">
        <f>IF(AQ637="1",BI637,0)</f>
        <v>0</v>
      </c>
      <c r="AD637" s="38">
        <f>IF(AQ637="7",BH637,0)</f>
        <v>0</v>
      </c>
      <c r="AE637" s="38">
        <f>IF(AQ637="7",BI637,0)</f>
        <v>0</v>
      </c>
      <c r="AF637" s="38">
        <f>IF(AQ637="2",BH637,0)</f>
        <v>0</v>
      </c>
      <c r="AG637" s="38">
        <f>IF(AQ637="2",BI637,0)</f>
        <v>0</v>
      </c>
      <c r="AH637" s="38">
        <f>IF(AQ637="0",BJ637,0)</f>
        <v>0</v>
      </c>
      <c r="AI637" s="50" t="s">
        <v>84</v>
      </c>
      <c r="AJ637" s="38">
        <f>IF(AN637=0,I637,0)</f>
        <v>0</v>
      </c>
      <c r="AK637" s="38">
        <f>IF(AN637=12,I637,0)</f>
        <v>0</v>
      </c>
      <c r="AL637" s="38">
        <f>IF(AN637=21,I637,0)</f>
        <v>0</v>
      </c>
      <c r="AN637" s="38">
        <v>21</v>
      </c>
      <c r="AO637" s="38">
        <f>H637*0.276402911</f>
        <v>0</v>
      </c>
      <c r="AP637" s="38">
        <f>H637*(1-0.276402911)</f>
        <v>0</v>
      </c>
      <c r="AQ637" s="72" t="s">
        <v>169</v>
      </c>
      <c r="AV637" s="38">
        <f>AW637+AX637</f>
        <v>0</v>
      </c>
      <c r="AW637" s="38">
        <f>G637*AO637</f>
        <v>0</v>
      </c>
      <c r="AX637" s="38">
        <f>G637*AP637</f>
        <v>0</v>
      </c>
      <c r="AY637" s="72" t="s">
        <v>1200</v>
      </c>
      <c r="AZ637" s="72" t="s">
        <v>990</v>
      </c>
      <c r="BA637" s="50" t="s">
        <v>139</v>
      </c>
      <c r="BB637" s="73">
        <v>100018</v>
      </c>
      <c r="BC637" s="38">
        <f>AW637+AX637</f>
        <v>0</v>
      </c>
      <c r="BD637" s="38">
        <f>H637/(100-BE637)*100</f>
        <v>0</v>
      </c>
      <c r="BE637" s="38">
        <v>0</v>
      </c>
      <c r="BF637" s="38">
        <f>K637</f>
        <v>0.0015696</v>
      </c>
      <c r="BH637" s="38">
        <f>G637*AO637</f>
        <v>0</v>
      </c>
      <c r="BI637" s="38">
        <f>G637*AP637</f>
        <v>0</v>
      </c>
      <c r="BJ637" s="38">
        <f>G637*H637</f>
        <v>0</v>
      </c>
      <c r="BK637" s="38"/>
      <c r="BL637" s="38">
        <v>767</v>
      </c>
      <c r="BW637" s="38">
        <v>21</v>
      </c>
    </row>
    <row r="638" spans="1:12" ht="15">
      <c r="A638" s="74"/>
      <c r="D638" s="75" t="s">
        <v>1206</v>
      </c>
      <c r="E638" s="75" t="s">
        <v>1207</v>
      </c>
      <c r="G638" s="76">
        <v>26.16</v>
      </c>
      <c r="L638" s="77"/>
    </row>
    <row r="639" spans="1:75" ht="27" customHeight="1">
      <c r="A639" s="1" t="s">
        <v>1208</v>
      </c>
      <c r="B639" s="2" t="s">
        <v>84</v>
      </c>
      <c r="C639" s="2" t="s">
        <v>1209</v>
      </c>
      <c r="D639" s="108" t="s">
        <v>1210</v>
      </c>
      <c r="E639" s="103"/>
      <c r="F639" s="2" t="s">
        <v>1097</v>
      </c>
      <c r="G639" s="38">
        <f>'Stavební rozpočet'!G639</f>
        <v>1</v>
      </c>
      <c r="H639" s="38">
        <f>'Stavební rozpočet'!H639</f>
        <v>0</v>
      </c>
      <c r="I639" s="38">
        <f>G639*H639</f>
        <v>0</v>
      </c>
      <c r="J639" s="38">
        <f>'Stavební rozpočet'!J639</f>
        <v>0.067</v>
      </c>
      <c r="K639" s="38">
        <f>G639*J639</f>
        <v>0.067</v>
      </c>
      <c r="L639" s="71" t="s">
        <v>207</v>
      </c>
      <c r="Z639" s="38">
        <f>IF(AQ639="5",BJ639,0)</f>
        <v>0</v>
      </c>
      <c r="AB639" s="38">
        <f>IF(AQ639="1",BH639,0)</f>
        <v>0</v>
      </c>
      <c r="AC639" s="38">
        <f>IF(AQ639="1",BI639,0)</f>
        <v>0</v>
      </c>
      <c r="AD639" s="38">
        <f>IF(AQ639="7",BH639,0)</f>
        <v>0</v>
      </c>
      <c r="AE639" s="38">
        <f>IF(AQ639="7",BI639,0)</f>
        <v>0</v>
      </c>
      <c r="AF639" s="38">
        <f>IF(AQ639="2",BH639,0)</f>
        <v>0</v>
      </c>
      <c r="AG639" s="38">
        <f>IF(AQ639="2",BI639,0)</f>
        <v>0</v>
      </c>
      <c r="AH639" s="38">
        <f>IF(AQ639="0",BJ639,0)</f>
        <v>0</v>
      </c>
      <c r="AI639" s="50" t="s">
        <v>84</v>
      </c>
      <c r="AJ639" s="38">
        <f>IF(AN639=0,I639,0)</f>
        <v>0</v>
      </c>
      <c r="AK639" s="38">
        <f>IF(AN639=12,I639,0)</f>
        <v>0</v>
      </c>
      <c r="AL639" s="38">
        <f>IF(AN639=21,I639,0)</f>
        <v>0</v>
      </c>
      <c r="AN639" s="38">
        <v>21</v>
      </c>
      <c r="AO639" s="38">
        <f>H639*0.9</f>
        <v>0</v>
      </c>
      <c r="AP639" s="38">
        <f>H639*(1-0.9)</f>
        <v>0</v>
      </c>
      <c r="AQ639" s="72" t="s">
        <v>169</v>
      </c>
      <c r="AV639" s="38">
        <f>AW639+AX639</f>
        <v>0</v>
      </c>
      <c r="AW639" s="38">
        <f>G639*AO639</f>
        <v>0</v>
      </c>
      <c r="AX639" s="38">
        <f>G639*AP639</f>
        <v>0</v>
      </c>
      <c r="AY639" s="72" t="s">
        <v>1200</v>
      </c>
      <c r="AZ639" s="72" t="s">
        <v>990</v>
      </c>
      <c r="BA639" s="50" t="s">
        <v>139</v>
      </c>
      <c r="BB639" s="73">
        <v>100018</v>
      </c>
      <c r="BC639" s="38">
        <f>AW639+AX639</f>
        <v>0</v>
      </c>
      <c r="BD639" s="38">
        <f>H639/(100-BE639)*100</f>
        <v>0</v>
      </c>
      <c r="BE639" s="38">
        <v>0</v>
      </c>
      <c r="BF639" s="38">
        <f>K639</f>
        <v>0.067</v>
      </c>
      <c r="BH639" s="38">
        <f>G639*AO639</f>
        <v>0</v>
      </c>
      <c r="BI639" s="38">
        <f>G639*AP639</f>
        <v>0</v>
      </c>
      <c r="BJ639" s="38">
        <f>G639*H639</f>
        <v>0</v>
      </c>
      <c r="BK639" s="38"/>
      <c r="BL639" s="38">
        <v>767</v>
      </c>
      <c r="BW639" s="38">
        <v>21</v>
      </c>
    </row>
    <row r="640" spans="1:12" ht="13.5" customHeight="1">
      <c r="A640" s="74"/>
      <c r="D640" s="194" t="s">
        <v>1211</v>
      </c>
      <c r="E640" s="195"/>
      <c r="F640" s="195"/>
      <c r="G640" s="195"/>
      <c r="H640" s="195"/>
      <c r="I640" s="195"/>
      <c r="J640" s="195"/>
      <c r="K640" s="195"/>
      <c r="L640" s="197"/>
    </row>
    <row r="641" spans="1:12" ht="15">
      <c r="A641" s="74"/>
      <c r="D641" s="75" t="s">
        <v>132</v>
      </c>
      <c r="E641" s="75" t="s">
        <v>4</v>
      </c>
      <c r="G641" s="76">
        <v>1</v>
      </c>
      <c r="L641" s="77"/>
    </row>
    <row r="642" spans="1:75" ht="27" customHeight="1">
      <c r="A642" s="1" t="s">
        <v>1212</v>
      </c>
      <c r="B642" s="2" t="s">
        <v>84</v>
      </c>
      <c r="C642" s="2" t="s">
        <v>1213</v>
      </c>
      <c r="D642" s="108" t="s">
        <v>1214</v>
      </c>
      <c r="E642" s="103"/>
      <c r="F642" s="2" t="s">
        <v>1097</v>
      </c>
      <c r="G642" s="38">
        <f>'Stavební rozpočet'!G642</f>
        <v>2</v>
      </c>
      <c r="H642" s="38">
        <f>'Stavební rozpočet'!H642</f>
        <v>0</v>
      </c>
      <c r="I642" s="38">
        <f>G642*H642</f>
        <v>0</v>
      </c>
      <c r="J642" s="38">
        <f>'Stavební rozpočet'!J642</f>
        <v>0.067</v>
      </c>
      <c r="K642" s="38">
        <f>G642*J642</f>
        <v>0.134</v>
      </c>
      <c r="L642" s="71" t="s">
        <v>207</v>
      </c>
      <c r="Z642" s="38">
        <f>IF(AQ642="5",BJ642,0)</f>
        <v>0</v>
      </c>
      <c r="AB642" s="38">
        <f>IF(AQ642="1",BH642,0)</f>
        <v>0</v>
      </c>
      <c r="AC642" s="38">
        <f>IF(AQ642="1",BI642,0)</f>
        <v>0</v>
      </c>
      <c r="AD642" s="38">
        <f>IF(AQ642="7",BH642,0)</f>
        <v>0</v>
      </c>
      <c r="AE642" s="38">
        <f>IF(AQ642="7",BI642,0)</f>
        <v>0</v>
      </c>
      <c r="AF642" s="38">
        <f>IF(AQ642="2",BH642,0)</f>
        <v>0</v>
      </c>
      <c r="AG642" s="38">
        <f>IF(AQ642="2",BI642,0)</f>
        <v>0</v>
      </c>
      <c r="AH642" s="38">
        <f>IF(AQ642="0",BJ642,0)</f>
        <v>0</v>
      </c>
      <c r="AI642" s="50" t="s">
        <v>84</v>
      </c>
      <c r="AJ642" s="38">
        <f>IF(AN642=0,I642,0)</f>
        <v>0</v>
      </c>
      <c r="AK642" s="38">
        <f>IF(AN642=12,I642,0)</f>
        <v>0</v>
      </c>
      <c r="AL642" s="38">
        <f>IF(AN642=21,I642,0)</f>
        <v>0</v>
      </c>
      <c r="AN642" s="38">
        <v>21</v>
      </c>
      <c r="AO642" s="38">
        <f>H642*0.899484536</f>
        <v>0</v>
      </c>
      <c r="AP642" s="38">
        <f>H642*(1-0.899484536)</f>
        <v>0</v>
      </c>
      <c r="AQ642" s="72" t="s">
        <v>169</v>
      </c>
      <c r="AV642" s="38">
        <f>AW642+AX642</f>
        <v>0</v>
      </c>
      <c r="AW642" s="38">
        <f>G642*AO642</f>
        <v>0</v>
      </c>
      <c r="AX642" s="38">
        <f>G642*AP642</f>
        <v>0</v>
      </c>
      <c r="AY642" s="72" t="s">
        <v>1200</v>
      </c>
      <c r="AZ642" s="72" t="s">
        <v>990</v>
      </c>
      <c r="BA642" s="50" t="s">
        <v>139</v>
      </c>
      <c r="BB642" s="73">
        <v>100018</v>
      </c>
      <c r="BC642" s="38">
        <f>AW642+AX642</f>
        <v>0</v>
      </c>
      <c r="BD642" s="38">
        <f>H642/(100-BE642)*100</f>
        <v>0</v>
      </c>
      <c r="BE642" s="38">
        <v>0</v>
      </c>
      <c r="BF642" s="38">
        <f>K642</f>
        <v>0.134</v>
      </c>
      <c r="BH642" s="38">
        <f>G642*AO642</f>
        <v>0</v>
      </c>
      <c r="BI642" s="38">
        <f>G642*AP642</f>
        <v>0</v>
      </c>
      <c r="BJ642" s="38">
        <f>G642*H642</f>
        <v>0</v>
      </c>
      <c r="BK642" s="38"/>
      <c r="BL642" s="38">
        <v>767</v>
      </c>
      <c r="BW642" s="38">
        <v>21</v>
      </c>
    </row>
    <row r="643" spans="1:12" ht="13.5" customHeight="1">
      <c r="A643" s="74"/>
      <c r="D643" s="194" t="s">
        <v>1211</v>
      </c>
      <c r="E643" s="195"/>
      <c r="F643" s="195"/>
      <c r="G643" s="195"/>
      <c r="H643" s="195"/>
      <c r="I643" s="195"/>
      <c r="J643" s="195"/>
      <c r="K643" s="195"/>
      <c r="L643" s="197"/>
    </row>
    <row r="644" spans="1:12" ht="15">
      <c r="A644" s="74"/>
      <c r="D644" s="75" t="s">
        <v>143</v>
      </c>
      <c r="E644" s="75" t="s">
        <v>4</v>
      </c>
      <c r="G644" s="76">
        <v>2</v>
      </c>
      <c r="L644" s="77"/>
    </row>
    <row r="645" spans="1:75" ht="27" customHeight="1">
      <c r="A645" s="1" t="s">
        <v>1215</v>
      </c>
      <c r="B645" s="2" t="s">
        <v>84</v>
      </c>
      <c r="C645" s="2" t="s">
        <v>1216</v>
      </c>
      <c r="D645" s="108" t="s">
        <v>1217</v>
      </c>
      <c r="E645" s="103"/>
      <c r="F645" s="2" t="s">
        <v>1097</v>
      </c>
      <c r="G645" s="38">
        <f>'Stavební rozpočet'!G645</f>
        <v>2</v>
      </c>
      <c r="H645" s="38">
        <f>'Stavební rozpočet'!H645</f>
        <v>0</v>
      </c>
      <c r="I645" s="38">
        <f>G645*H645</f>
        <v>0</v>
      </c>
      <c r="J645" s="38">
        <f>'Stavební rozpočet'!J645</f>
        <v>0.067</v>
      </c>
      <c r="K645" s="38">
        <f>G645*J645</f>
        <v>0.134</v>
      </c>
      <c r="L645" s="71" t="s">
        <v>207</v>
      </c>
      <c r="Z645" s="38">
        <f>IF(AQ645="5",BJ645,0)</f>
        <v>0</v>
      </c>
      <c r="AB645" s="38">
        <f>IF(AQ645="1",BH645,0)</f>
        <v>0</v>
      </c>
      <c r="AC645" s="38">
        <f>IF(AQ645="1",BI645,0)</f>
        <v>0</v>
      </c>
      <c r="AD645" s="38">
        <f>IF(AQ645="7",BH645,0)</f>
        <v>0</v>
      </c>
      <c r="AE645" s="38">
        <f>IF(AQ645="7",BI645,0)</f>
        <v>0</v>
      </c>
      <c r="AF645" s="38">
        <f>IF(AQ645="2",BH645,0)</f>
        <v>0</v>
      </c>
      <c r="AG645" s="38">
        <f>IF(AQ645="2",BI645,0)</f>
        <v>0</v>
      </c>
      <c r="AH645" s="38">
        <f>IF(AQ645="0",BJ645,0)</f>
        <v>0</v>
      </c>
      <c r="AI645" s="50" t="s">
        <v>84</v>
      </c>
      <c r="AJ645" s="38">
        <f>IF(AN645=0,I645,0)</f>
        <v>0</v>
      </c>
      <c r="AK645" s="38">
        <f>IF(AN645=12,I645,0)</f>
        <v>0</v>
      </c>
      <c r="AL645" s="38">
        <f>IF(AN645=21,I645,0)</f>
        <v>0</v>
      </c>
      <c r="AN645" s="38">
        <v>21</v>
      </c>
      <c r="AO645" s="38">
        <f>H645*0.881091618</f>
        <v>0</v>
      </c>
      <c r="AP645" s="38">
        <f>H645*(1-0.881091618)</f>
        <v>0</v>
      </c>
      <c r="AQ645" s="72" t="s">
        <v>169</v>
      </c>
      <c r="AV645" s="38">
        <f>AW645+AX645</f>
        <v>0</v>
      </c>
      <c r="AW645" s="38">
        <f>G645*AO645</f>
        <v>0</v>
      </c>
      <c r="AX645" s="38">
        <f>G645*AP645</f>
        <v>0</v>
      </c>
      <c r="AY645" s="72" t="s">
        <v>1200</v>
      </c>
      <c r="AZ645" s="72" t="s">
        <v>990</v>
      </c>
      <c r="BA645" s="50" t="s">
        <v>139</v>
      </c>
      <c r="BB645" s="73">
        <v>100018</v>
      </c>
      <c r="BC645" s="38">
        <f>AW645+AX645</f>
        <v>0</v>
      </c>
      <c r="BD645" s="38">
        <f>H645/(100-BE645)*100</f>
        <v>0</v>
      </c>
      <c r="BE645" s="38">
        <v>0</v>
      </c>
      <c r="BF645" s="38">
        <f>K645</f>
        <v>0.134</v>
      </c>
      <c r="BH645" s="38">
        <f>G645*AO645</f>
        <v>0</v>
      </c>
      <c r="BI645" s="38">
        <f>G645*AP645</f>
        <v>0</v>
      </c>
      <c r="BJ645" s="38">
        <f>G645*H645</f>
        <v>0</v>
      </c>
      <c r="BK645" s="38"/>
      <c r="BL645" s="38">
        <v>767</v>
      </c>
      <c r="BW645" s="38">
        <v>21</v>
      </c>
    </row>
    <row r="646" spans="1:12" ht="13.5" customHeight="1">
      <c r="A646" s="74"/>
      <c r="D646" s="194" t="s">
        <v>1211</v>
      </c>
      <c r="E646" s="195"/>
      <c r="F646" s="195"/>
      <c r="G646" s="195"/>
      <c r="H646" s="195"/>
      <c r="I646" s="195"/>
      <c r="J646" s="195"/>
      <c r="K646" s="195"/>
      <c r="L646" s="197"/>
    </row>
    <row r="647" spans="1:12" ht="15">
      <c r="A647" s="74"/>
      <c r="D647" s="75" t="s">
        <v>143</v>
      </c>
      <c r="E647" s="75" t="s">
        <v>4</v>
      </c>
      <c r="G647" s="76">
        <v>2</v>
      </c>
      <c r="L647" s="77"/>
    </row>
    <row r="648" spans="1:75" ht="27" customHeight="1">
      <c r="A648" s="1" t="s">
        <v>1218</v>
      </c>
      <c r="B648" s="2" t="s">
        <v>84</v>
      </c>
      <c r="C648" s="2" t="s">
        <v>1219</v>
      </c>
      <c r="D648" s="108" t="s">
        <v>1220</v>
      </c>
      <c r="E648" s="103"/>
      <c r="F648" s="2" t="s">
        <v>1097</v>
      </c>
      <c r="G648" s="38">
        <f>'Stavební rozpočet'!G648</f>
        <v>1</v>
      </c>
      <c r="H648" s="38">
        <f>'Stavební rozpočet'!H648</f>
        <v>0</v>
      </c>
      <c r="I648" s="38">
        <f>G648*H648</f>
        <v>0</v>
      </c>
      <c r="J648" s="38">
        <f>'Stavební rozpočet'!J648</f>
        <v>0.067</v>
      </c>
      <c r="K648" s="38">
        <f>G648*J648</f>
        <v>0.067</v>
      </c>
      <c r="L648" s="71" t="s">
        <v>207</v>
      </c>
      <c r="Z648" s="38">
        <f>IF(AQ648="5",BJ648,0)</f>
        <v>0</v>
      </c>
      <c r="AB648" s="38">
        <f>IF(AQ648="1",BH648,0)</f>
        <v>0</v>
      </c>
      <c r="AC648" s="38">
        <f>IF(AQ648="1",BI648,0)</f>
        <v>0</v>
      </c>
      <c r="AD648" s="38">
        <f>IF(AQ648="7",BH648,0)</f>
        <v>0</v>
      </c>
      <c r="AE648" s="38">
        <f>IF(AQ648="7",BI648,0)</f>
        <v>0</v>
      </c>
      <c r="AF648" s="38">
        <f>IF(AQ648="2",BH648,0)</f>
        <v>0</v>
      </c>
      <c r="AG648" s="38">
        <f>IF(AQ648="2",BI648,0)</f>
        <v>0</v>
      </c>
      <c r="AH648" s="38">
        <f>IF(AQ648="0",BJ648,0)</f>
        <v>0</v>
      </c>
      <c r="AI648" s="50" t="s">
        <v>84</v>
      </c>
      <c r="AJ648" s="38">
        <f>IF(AN648=0,I648,0)</f>
        <v>0</v>
      </c>
      <c r="AK648" s="38">
        <f>IF(AN648=12,I648,0)</f>
        <v>0</v>
      </c>
      <c r="AL648" s="38">
        <f>IF(AN648=21,I648,0)</f>
        <v>0</v>
      </c>
      <c r="AN648" s="38">
        <v>21</v>
      </c>
      <c r="AO648" s="38">
        <f>H648*0.877846791</f>
        <v>0</v>
      </c>
      <c r="AP648" s="38">
        <f>H648*(1-0.877846791)</f>
        <v>0</v>
      </c>
      <c r="AQ648" s="72" t="s">
        <v>169</v>
      </c>
      <c r="AV648" s="38">
        <f>AW648+AX648</f>
        <v>0</v>
      </c>
      <c r="AW648" s="38">
        <f>G648*AO648</f>
        <v>0</v>
      </c>
      <c r="AX648" s="38">
        <f>G648*AP648</f>
        <v>0</v>
      </c>
      <c r="AY648" s="72" t="s">
        <v>1200</v>
      </c>
      <c r="AZ648" s="72" t="s">
        <v>990</v>
      </c>
      <c r="BA648" s="50" t="s">
        <v>139</v>
      </c>
      <c r="BB648" s="73">
        <v>100018</v>
      </c>
      <c r="BC648" s="38">
        <f>AW648+AX648</f>
        <v>0</v>
      </c>
      <c r="BD648" s="38">
        <f>H648/(100-BE648)*100</f>
        <v>0</v>
      </c>
      <c r="BE648" s="38">
        <v>0</v>
      </c>
      <c r="BF648" s="38">
        <f>K648</f>
        <v>0.067</v>
      </c>
      <c r="BH648" s="38">
        <f>G648*AO648</f>
        <v>0</v>
      </c>
      <c r="BI648" s="38">
        <f>G648*AP648</f>
        <v>0</v>
      </c>
      <c r="BJ648" s="38">
        <f>G648*H648</f>
        <v>0</v>
      </c>
      <c r="BK648" s="38"/>
      <c r="BL648" s="38">
        <v>767</v>
      </c>
      <c r="BW648" s="38">
        <v>21</v>
      </c>
    </row>
    <row r="649" spans="1:12" ht="13.5" customHeight="1">
      <c r="A649" s="74"/>
      <c r="D649" s="194" t="s">
        <v>1211</v>
      </c>
      <c r="E649" s="195"/>
      <c r="F649" s="195"/>
      <c r="G649" s="195"/>
      <c r="H649" s="195"/>
      <c r="I649" s="195"/>
      <c r="J649" s="195"/>
      <c r="K649" s="195"/>
      <c r="L649" s="197"/>
    </row>
    <row r="650" spans="1:12" ht="15">
      <c r="A650" s="74"/>
      <c r="D650" s="75" t="s">
        <v>132</v>
      </c>
      <c r="E650" s="75" t="s">
        <v>4</v>
      </c>
      <c r="G650" s="76">
        <v>1</v>
      </c>
      <c r="L650" s="77"/>
    </row>
    <row r="651" spans="1:75" ht="27" customHeight="1">
      <c r="A651" s="1" t="s">
        <v>1221</v>
      </c>
      <c r="B651" s="2" t="s">
        <v>84</v>
      </c>
      <c r="C651" s="2" t="s">
        <v>1222</v>
      </c>
      <c r="D651" s="108" t="s">
        <v>1223</v>
      </c>
      <c r="E651" s="103"/>
      <c r="F651" s="2" t="s">
        <v>199</v>
      </c>
      <c r="G651" s="38">
        <f>'Stavební rozpočet'!G651</f>
        <v>1</v>
      </c>
      <c r="H651" s="38">
        <f>'Stavební rozpočet'!H651</f>
        <v>0</v>
      </c>
      <c r="I651" s="38">
        <f>G651*H651</f>
        <v>0</v>
      </c>
      <c r="J651" s="38">
        <f>'Stavební rozpočet'!J651</f>
        <v>0.00074</v>
      </c>
      <c r="K651" s="38">
        <f>G651*J651</f>
        <v>0.00074</v>
      </c>
      <c r="L651" s="71" t="s">
        <v>207</v>
      </c>
      <c r="Z651" s="38">
        <f>IF(AQ651="5",BJ651,0)</f>
        <v>0</v>
      </c>
      <c r="AB651" s="38">
        <f>IF(AQ651="1",BH651,0)</f>
        <v>0</v>
      </c>
      <c r="AC651" s="38">
        <f>IF(AQ651="1",BI651,0)</f>
        <v>0</v>
      </c>
      <c r="AD651" s="38">
        <f>IF(AQ651="7",BH651,0)</f>
        <v>0</v>
      </c>
      <c r="AE651" s="38">
        <f>IF(AQ651="7",BI651,0)</f>
        <v>0</v>
      </c>
      <c r="AF651" s="38">
        <f>IF(AQ651="2",BH651,0)</f>
        <v>0</v>
      </c>
      <c r="AG651" s="38">
        <f>IF(AQ651="2",BI651,0)</f>
        <v>0</v>
      </c>
      <c r="AH651" s="38">
        <f>IF(AQ651="0",BJ651,0)</f>
        <v>0</v>
      </c>
      <c r="AI651" s="50" t="s">
        <v>84</v>
      </c>
      <c r="AJ651" s="38">
        <f>IF(AN651=0,I651,0)</f>
        <v>0</v>
      </c>
      <c r="AK651" s="38">
        <f>IF(AN651=12,I651,0)</f>
        <v>0</v>
      </c>
      <c r="AL651" s="38">
        <f>IF(AN651=21,I651,0)</f>
        <v>0</v>
      </c>
      <c r="AN651" s="38">
        <v>21</v>
      </c>
      <c r="AO651" s="38">
        <f>H651*0.936300175</f>
        <v>0</v>
      </c>
      <c r="AP651" s="38">
        <f>H651*(1-0.936300175)</f>
        <v>0</v>
      </c>
      <c r="AQ651" s="72" t="s">
        <v>169</v>
      </c>
      <c r="AV651" s="38">
        <f>AW651+AX651</f>
        <v>0</v>
      </c>
      <c r="AW651" s="38">
        <f>G651*AO651</f>
        <v>0</v>
      </c>
      <c r="AX651" s="38">
        <f>G651*AP651</f>
        <v>0</v>
      </c>
      <c r="AY651" s="72" t="s">
        <v>1200</v>
      </c>
      <c r="AZ651" s="72" t="s">
        <v>990</v>
      </c>
      <c r="BA651" s="50" t="s">
        <v>139</v>
      </c>
      <c r="BB651" s="73">
        <v>100018</v>
      </c>
      <c r="BC651" s="38">
        <f>AW651+AX651</f>
        <v>0</v>
      </c>
      <c r="BD651" s="38">
        <f>H651/(100-BE651)*100</f>
        <v>0</v>
      </c>
      <c r="BE651" s="38">
        <v>0</v>
      </c>
      <c r="BF651" s="38">
        <f>K651</f>
        <v>0.00074</v>
      </c>
      <c r="BH651" s="38">
        <f>G651*AO651</f>
        <v>0</v>
      </c>
      <c r="BI651" s="38">
        <f>G651*AP651</f>
        <v>0</v>
      </c>
      <c r="BJ651" s="38">
        <f>G651*H651</f>
        <v>0</v>
      </c>
      <c r="BK651" s="38"/>
      <c r="BL651" s="38">
        <v>767</v>
      </c>
      <c r="BW651" s="38">
        <v>21</v>
      </c>
    </row>
    <row r="652" spans="1:12" ht="13.5" customHeight="1">
      <c r="A652" s="74"/>
      <c r="D652" s="194" t="s">
        <v>1224</v>
      </c>
      <c r="E652" s="195"/>
      <c r="F652" s="195"/>
      <c r="G652" s="195"/>
      <c r="H652" s="195"/>
      <c r="I652" s="195"/>
      <c r="J652" s="195"/>
      <c r="K652" s="195"/>
      <c r="L652" s="197"/>
    </row>
    <row r="653" spans="1:12" ht="15">
      <c r="A653" s="74"/>
      <c r="D653" s="75" t="s">
        <v>132</v>
      </c>
      <c r="E653" s="75" t="s">
        <v>4</v>
      </c>
      <c r="G653" s="76">
        <v>1</v>
      </c>
      <c r="L653" s="77"/>
    </row>
    <row r="654" spans="1:75" ht="27" customHeight="1">
      <c r="A654" s="1" t="s">
        <v>1225</v>
      </c>
      <c r="B654" s="2" t="s">
        <v>84</v>
      </c>
      <c r="C654" s="2" t="s">
        <v>1226</v>
      </c>
      <c r="D654" s="108" t="s">
        <v>1227</v>
      </c>
      <c r="E654" s="103"/>
      <c r="F654" s="2" t="s">
        <v>199</v>
      </c>
      <c r="G654" s="38">
        <f>'Stavební rozpočet'!G654</f>
        <v>1</v>
      </c>
      <c r="H654" s="38">
        <f>'Stavební rozpočet'!H654</f>
        <v>0</v>
      </c>
      <c r="I654" s="38">
        <f>G654*H654</f>
        <v>0</v>
      </c>
      <c r="J654" s="38">
        <f>'Stavební rozpočet'!J654</f>
        <v>0.00074</v>
      </c>
      <c r="K654" s="38">
        <f>G654*J654</f>
        <v>0.00074</v>
      </c>
      <c r="L654" s="71" t="s">
        <v>207</v>
      </c>
      <c r="Z654" s="38">
        <f>IF(AQ654="5",BJ654,0)</f>
        <v>0</v>
      </c>
      <c r="AB654" s="38">
        <f>IF(AQ654="1",BH654,0)</f>
        <v>0</v>
      </c>
      <c r="AC654" s="38">
        <f>IF(AQ654="1",BI654,0)</f>
        <v>0</v>
      </c>
      <c r="AD654" s="38">
        <f>IF(AQ654="7",BH654,0)</f>
        <v>0</v>
      </c>
      <c r="AE654" s="38">
        <f>IF(AQ654="7",BI654,0)</f>
        <v>0</v>
      </c>
      <c r="AF654" s="38">
        <f>IF(AQ654="2",BH654,0)</f>
        <v>0</v>
      </c>
      <c r="AG654" s="38">
        <f>IF(AQ654="2",BI654,0)</f>
        <v>0</v>
      </c>
      <c r="AH654" s="38">
        <f>IF(AQ654="0",BJ654,0)</f>
        <v>0</v>
      </c>
      <c r="AI654" s="50" t="s">
        <v>84</v>
      </c>
      <c r="AJ654" s="38">
        <f>IF(AN654=0,I654,0)</f>
        <v>0</v>
      </c>
      <c r="AK654" s="38">
        <f>IF(AN654=12,I654,0)</f>
        <v>0</v>
      </c>
      <c r="AL654" s="38">
        <f>IF(AN654=21,I654,0)</f>
        <v>0</v>
      </c>
      <c r="AN654" s="38">
        <v>21</v>
      </c>
      <c r="AO654" s="38">
        <f>H654*0.921679909</f>
        <v>0</v>
      </c>
      <c r="AP654" s="38">
        <f>H654*(1-0.921679909)</f>
        <v>0</v>
      </c>
      <c r="AQ654" s="72" t="s">
        <v>169</v>
      </c>
      <c r="AV654" s="38">
        <f>AW654+AX654</f>
        <v>0</v>
      </c>
      <c r="AW654" s="38">
        <f>G654*AO654</f>
        <v>0</v>
      </c>
      <c r="AX654" s="38">
        <f>G654*AP654</f>
        <v>0</v>
      </c>
      <c r="AY654" s="72" t="s">
        <v>1200</v>
      </c>
      <c r="AZ654" s="72" t="s">
        <v>990</v>
      </c>
      <c r="BA654" s="50" t="s">
        <v>139</v>
      </c>
      <c r="BB654" s="73">
        <v>100018</v>
      </c>
      <c r="BC654" s="38">
        <f>AW654+AX654</f>
        <v>0</v>
      </c>
      <c r="BD654" s="38">
        <f>H654/(100-BE654)*100</f>
        <v>0</v>
      </c>
      <c r="BE654" s="38">
        <v>0</v>
      </c>
      <c r="BF654" s="38">
        <f>K654</f>
        <v>0.00074</v>
      </c>
      <c r="BH654" s="38">
        <f>G654*AO654</f>
        <v>0</v>
      </c>
      <c r="BI654" s="38">
        <f>G654*AP654</f>
        <v>0</v>
      </c>
      <c r="BJ654" s="38">
        <f>G654*H654</f>
        <v>0</v>
      </c>
      <c r="BK654" s="38"/>
      <c r="BL654" s="38">
        <v>767</v>
      </c>
      <c r="BW654" s="38">
        <v>21</v>
      </c>
    </row>
    <row r="655" spans="1:12" ht="13.5" customHeight="1">
      <c r="A655" s="74"/>
      <c r="D655" s="194" t="s">
        <v>1224</v>
      </c>
      <c r="E655" s="195"/>
      <c r="F655" s="195"/>
      <c r="G655" s="195"/>
      <c r="H655" s="195"/>
      <c r="I655" s="195"/>
      <c r="J655" s="195"/>
      <c r="K655" s="195"/>
      <c r="L655" s="197"/>
    </row>
    <row r="656" spans="1:12" ht="15">
      <c r="A656" s="74"/>
      <c r="D656" s="75" t="s">
        <v>132</v>
      </c>
      <c r="E656" s="75" t="s">
        <v>4</v>
      </c>
      <c r="G656" s="76">
        <v>1</v>
      </c>
      <c r="L656" s="77"/>
    </row>
    <row r="657" spans="1:75" ht="27" customHeight="1">
      <c r="A657" s="1" t="s">
        <v>1228</v>
      </c>
      <c r="B657" s="2" t="s">
        <v>84</v>
      </c>
      <c r="C657" s="2" t="s">
        <v>1229</v>
      </c>
      <c r="D657" s="108" t="s">
        <v>1230</v>
      </c>
      <c r="E657" s="103"/>
      <c r="F657" s="2" t="s">
        <v>199</v>
      </c>
      <c r="G657" s="38">
        <f>'Stavební rozpočet'!G657</f>
        <v>1</v>
      </c>
      <c r="H657" s="38">
        <f>'Stavební rozpočet'!H657</f>
        <v>0</v>
      </c>
      <c r="I657" s="38">
        <f>G657*H657</f>
        <v>0</v>
      </c>
      <c r="J657" s="38">
        <f>'Stavební rozpočet'!J657</f>
        <v>0.00043</v>
      </c>
      <c r="K657" s="38">
        <f>G657*J657</f>
        <v>0.00043</v>
      </c>
      <c r="L657" s="71" t="s">
        <v>136</v>
      </c>
      <c r="Z657" s="38">
        <f>IF(AQ657="5",BJ657,0)</f>
        <v>0</v>
      </c>
      <c r="AB657" s="38">
        <f>IF(AQ657="1",BH657,0)</f>
        <v>0</v>
      </c>
      <c r="AC657" s="38">
        <f>IF(AQ657="1",BI657,0)</f>
        <v>0</v>
      </c>
      <c r="AD657" s="38">
        <f>IF(AQ657="7",BH657,0)</f>
        <v>0</v>
      </c>
      <c r="AE657" s="38">
        <f>IF(AQ657="7",BI657,0)</f>
        <v>0</v>
      </c>
      <c r="AF657" s="38">
        <f>IF(AQ657="2",BH657,0)</f>
        <v>0</v>
      </c>
      <c r="AG657" s="38">
        <f>IF(AQ657="2",BI657,0)</f>
        <v>0</v>
      </c>
      <c r="AH657" s="38">
        <f>IF(AQ657="0",BJ657,0)</f>
        <v>0</v>
      </c>
      <c r="AI657" s="50" t="s">
        <v>84</v>
      </c>
      <c r="AJ657" s="38">
        <f>IF(AN657=0,I657,0)</f>
        <v>0</v>
      </c>
      <c r="AK657" s="38">
        <f>IF(AN657=12,I657,0)</f>
        <v>0</v>
      </c>
      <c r="AL657" s="38">
        <f>IF(AN657=21,I657,0)</f>
        <v>0</v>
      </c>
      <c r="AN657" s="38">
        <v>21</v>
      </c>
      <c r="AO657" s="38">
        <f>H657*0.974358974</f>
        <v>0</v>
      </c>
      <c r="AP657" s="38">
        <f>H657*(1-0.974358974)</f>
        <v>0</v>
      </c>
      <c r="AQ657" s="72" t="s">
        <v>169</v>
      </c>
      <c r="AV657" s="38">
        <f>AW657+AX657</f>
        <v>0</v>
      </c>
      <c r="AW657" s="38">
        <f>G657*AO657</f>
        <v>0</v>
      </c>
      <c r="AX657" s="38">
        <f>G657*AP657</f>
        <v>0</v>
      </c>
      <c r="AY657" s="72" t="s">
        <v>1200</v>
      </c>
      <c r="AZ657" s="72" t="s">
        <v>990</v>
      </c>
      <c r="BA657" s="50" t="s">
        <v>139</v>
      </c>
      <c r="BB657" s="73">
        <v>100018</v>
      </c>
      <c r="BC657" s="38">
        <f>AW657+AX657</f>
        <v>0</v>
      </c>
      <c r="BD657" s="38">
        <f>H657/(100-BE657)*100</f>
        <v>0</v>
      </c>
      <c r="BE657" s="38">
        <v>0</v>
      </c>
      <c r="BF657" s="38">
        <f>K657</f>
        <v>0.00043</v>
      </c>
      <c r="BH657" s="38">
        <f>G657*AO657</f>
        <v>0</v>
      </c>
      <c r="BI657" s="38">
        <f>G657*AP657</f>
        <v>0</v>
      </c>
      <c r="BJ657" s="38">
        <f>G657*H657</f>
        <v>0</v>
      </c>
      <c r="BK657" s="38"/>
      <c r="BL657" s="38">
        <v>767</v>
      </c>
      <c r="BW657" s="38">
        <v>21</v>
      </c>
    </row>
    <row r="658" spans="1:12" ht="13.5" customHeight="1">
      <c r="A658" s="74"/>
      <c r="D658" s="194" t="s">
        <v>1224</v>
      </c>
      <c r="E658" s="195"/>
      <c r="F658" s="195"/>
      <c r="G658" s="195"/>
      <c r="H658" s="195"/>
      <c r="I658" s="195"/>
      <c r="J658" s="195"/>
      <c r="K658" s="195"/>
      <c r="L658" s="197"/>
    </row>
    <row r="659" spans="1:12" ht="15">
      <c r="A659" s="74"/>
      <c r="D659" s="75" t="s">
        <v>132</v>
      </c>
      <c r="E659" s="75" t="s">
        <v>4</v>
      </c>
      <c r="G659" s="76">
        <v>1</v>
      </c>
      <c r="L659" s="77"/>
    </row>
    <row r="660" spans="1:75" ht="13.5" customHeight="1">
      <c r="A660" s="1" t="s">
        <v>1231</v>
      </c>
      <c r="B660" s="2" t="s">
        <v>84</v>
      </c>
      <c r="C660" s="2" t="s">
        <v>1232</v>
      </c>
      <c r="D660" s="108" t="s">
        <v>1233</v>
      </c>
      <c r="E660" s="103"/>
      <c r="F660" s="2" t="s">
        <v>263</v>
      </c>
      <c r="G660" s="38">
        <f>'Stavební rozpočet'!G660</f>
        <v>18.93</v>
      </c>
      <c r="H660" s="38">
        <f>'Stavební rozpočet'!H660</f>
        <v>0</v>
      </c>
      <c r="I660" s="38">
        <f>G660*H660</f>
        <v>0</v>
      </c>
      <c r="J660" s="38">
        <f>'Stavební rozpočet'!J660</f>
        <v>0</v>
      </c>
      <c r="K660" s="38">
        <f>G660*J660</f>
        <v>0</v>
      </c>
      <c r="L660" s="71" t="s">
        <v>136</v>
      </c>
      <c r="Z660" s="38">
        <f>IF(AQ660="5",BJ660,0)</f>
        <v>0</v>
      </c>
      <c r="AB660" s="38">
        <f>IF(AQ660="1",BH660,0)</f>
        <v>0</v>
      </c>
      <c r="AC660" s="38">
        <f>IF(AQ660="1",BI660,0)</f>
        <v>0</v>
      </c>
      <c r="AD660" s="38">
        <f>IF(AQ660="7",BH660,0)</f>
        <v>0</v>
      </c>
      <c r="AE660" s="38">
        <f>IF(AQ660="7",BI660,0)</f>
        <v>0</v>
      </c>
      <c r="AF660" s="38">
        <f>IF(AQ660="2",BH660,0)</f>
        <v>0</v>
      </c>
      <c r="AG660" s="38">
        <f>IF(AQ660="2",BI660,0)</f>
        <v>0</v>
      </c>
      <c r="AH660" s="38">
        <f>IF(AQ660="0",BJ660,0)</f>
        <v>0</v>
      </c>
      <c r="AI660" s="50" t="s">
        <v>84</v>
      </c>
      <c r="AJ660" s="38">
        <f>IF(AN660=0,I660,0)</f>
        <v>0</v>
      </c>
      <c r="AK660" s="38">
        <f>IF(AN660=12,I660,0)</f>
        <v>0</v>
      </c>
      <c r="AL660" s="38">
        <f>IF(AN660=21,I660,0)</f>
        <v>0</v>
      </c>
      <c r="AN660" s="38">
        <v>21</v>
      </c>
      <c r="AO660" s="38">
        <f>H660*0.649119245</f>
        <v>0</v>
      </c>
      <c r="AP660" s="38">
        <f>H660*(1-0.649119245)</f>
        <v>0</v>
      </c>
      <c r="AQ660" s="72" t="s">
        <v>169</v>
      </c>
      <c r="AV660" s="38">
        <f>AW660+AX660</f>
        <v>0</v>
      </c>
      <c r="AW660" s="38">
        <f>G660*AO660</f>
        <v>0</v>
      </c>
      <c r="AX660" s="38">
        <f>G660*AP660</f>
        <v>0</v>
      </c>
      <c r="AY660" s="72" t="s">
        <v>1200</v>
      </c>
      <c r="AZ660" s="72" t="s">
        <v>990</v>
      </c>
      <c r="BA660" s="50" t="s">
        <v>139</v>
      </c>
      <c r="BB660" s="73">
        <v>100018</v>
      </c>
      <c r="BC660" s="38">
        <f>AW660+AX660</f>
        <v>0</v>
      </c>
      <c r="BD660" s="38">
        <f>H660/(100-BE660)*100</f>
        <v>0</v>
      </c>
      <c r="BE660" s="38">
        <v>0</v>
      </c>
      <c r="BF660" s="38">
        <f>K660</f>
        <v>0</v>
      </c>
      <c r="BH660" s="38">
        <f>G660*AO660</f>
        <v>0</v>
      </c>
      <c r="BI660" s="38">
        <f>G660*AP660</f>
        <v>0</v>
      </c>
      <c r="BJ660" s="38">
        <f>G660*H660</f>
        <v>0</v>
      </c>
      <c r="BK660" s="38"/>
      <c r="BL660" s="38">
        <v>767</v>
      </c>
      <c r="BW660" s="38">
        <v>21</v>
      </c>
    </row>
    <row r="661" spans="1:12" ht="13.5" customHeight="1">
      <c r="A661" s="74"/>
      <c r="D661" s="194" t="s">
        <v>1234</v>
      </c>
      <c r="E661" s="195"/>
      <c r="F661" s="195"/>
      <c r="G661" s="195"/>
      <c r="H661" s="195"/>
      <c r="I661" s="195"/>
      <c r="J661" s="195"/>
      <c r="K661" s="195"/>
      <c r="L661" s="197"/>
    </row>
    <row r="662" spans="1:12" ht="15">
      <c r="A662" s="74"/>
      <c r="D662" s="75" t="s">
        <v>1235</v>
      </c>
      <c r="E662" s="75" t="s">
        <v>1236</v>
      </c>
      <c r="G662" s="76">
        <v>14.2</v>
      </c>
      <c r="L662" s="77"/>
    </row>
    <row r="663" spans="1:12" ht="15">
      <c r="A663" s="74"/>
      <c r="D663" s="75" t="s">
        <v>1237</v>
      </c>
      <c r="E663" s="75" t="s">
        <v>1238</v>
      </c>
      <c r="G663" s="76">
        <v>4.73</v>
      </c>
      <c r="L663" s="77"/>
    </row>
    <row r="664" spans="1:12" ht="15">
      <c r="A664" s="74"/>
      <c r="D664" s="75" t="s">
        <v>1239</v>
      </c>
      <c r="E664" s="75" t="s">
        <v>4</v>
      </c>
      <c r="G664" s="76">
        <v>0</v>
      </c>
      <c r="L664" s="77"/>
    </row>
    <row r="665" spans="1:75" ht="13.5" customHeight="1">
      <c r="A665" s="1" t="s">
        <v>1240</v>
      </c>
      <c r="B665" s="2" t="s">
        <v>84</v>
      </c>
      <c r="C665" s="2" t="s">
        <v>1241</v>
      </c>
      <c r="D665" s="108" t="s">
        <v>1242</v>
      </c>
      <c r="E665" s="103"/>
      <c r="F665" s="2" t="s">
        <v>263</v>
      </c>
      <c r="G665" s="38">
        <f>'Stavební rozpočet'!G665</f>
        <v>41.38</v>
      </c>
      <c r="H665" s="38">
        <f>'Stavební rozpočet'!H665</f>
        <v>0</v>
      </c>
      <c r="I665" s="38">
        <f>G665*H665</f>
        <v>0</v>
      </c>
      <c r="J665" s="38">
        <f>'Stavební rozpočet'!J665</f>
        <v>0.004</v>
      </c>
      <c r="K665" s="38">
        <f>G665*J665</f>
        <v>0.16552</v>
      </c>
      <c r="L665" s="71" t="s">
        <v>207</v>
      </c>
      <c r="Z665" s="38">
        <f>IF(AQ665="5",BJ665,0)</f>
        <v>0</v>
      </c>
      <c r="AB665" s="38">
        <f>IF(AQ665="1",BH665,0)</f>
        <v>0</v>
      </c>
      <c r="AC665" s="38">
        <f>IF(AQ665="1",BI665,0)</f>
        <v>0</v>
      </c>
      <c r="AD665" s="38">
        <f>IF(AQ665="7",BH665,0)</f>
        <v>0</v>
      </c>
      <c r="AE665" s="38">
        <f>IF(AQ665="7",BI665,0)</f>
        <v>0</v>
      </c>
      <c r="AF665" s="38">
        <f>IF(AQ665="2",BH665,0)</f>
        <v>0</v>
      </c>
      <c r="AG665" s="38">
        <f>IF(AQ665="2",BI665,0)</f>
        <v>0</v>
      </c>
      <c r="AH665" s="38">
        <f>IF(AQ665="0",BJ665,0)</f>
        <v>0</v>
      </c>
      <c r="AI665" s="50" t="s">
        <v>84</v>
      </c>
      <c r="AJ665" s="38">
        <f>IF(AN665=0,I665,0)</f>
        <v>0</v>
      </c>
      <c r="AK665" s="38">
        <f>IF(AN665=12,I665,0)</f>
        <v>0</v>
      </c>
      <c r="AL665" s="38">
        <f>IF(AN665=21,I665,0)</f>
        <v>0</v>
      </c>
      <c r="AN665" s="38">
        <v>21</v>
      </c>
      <c r="AO665" s="38">
        <f>H665*0</f>
        <v>0</v>
      </c>
      <c r="AP665" s="38">
        <f>H665*(1-0)</f>
        <v>0</v>
      </c>
      <c r="AQ665" s="72" t="s">
        <v>169</v>
      </c>
      <c r="AV665" s="38">
        <f>AW665+AX665</f>
        <v>0</v>
      </c>
      <c r="AW665" s="38">
        <f>G665*AO665</f>
        <v>0</v>
      </c>
      <c r="AX665" s="38">
        <f>G665*AP665</f>
        <v>0</v>
      </c>
      <c r="AY665" s="72" t="s">
        <v>1200</v>
      </c>
      <c r="AZ665" s="72" t="s">
        <v>990</v>
      </c>
      <c r="BA665" s="50" t="s">
        <v>139</v>
      </c>
      <c r="BB665" s="73">
        <v>100018</v>
      </c>
      <c r="BC665" s="38">
        <f>AW665+AX665</f>
        <v>0</v>
      </c>
      <c r="BD665" s="38">
        <f>H665/(100-BE665)*100</f>
        <v>0</v>
      </c>
      <c r="BE665" s="38">
        <v>0</v>
      </c>
      <c r="BF665" s="38">
        <f>K665</f>
        <v>0.16552</v>
      </c>
      <c r="BH665" s="38">
        <f>G665*AO665</f>
        <v>0</v>
      </c>
      <c r="BI665" s="38">
        <f>G665*AP665</f>
        <v>0</v>
      </c>
      <c r="BJ665" s="38">
        <f>G665*H665</f>
        <v>0</v>
      </c>
      <c r="BK665" s="38"/>
      <c r="BL665" s="38">
        <v>767</v>
      </c>
      <c r="BW665" s="38">
        <v>21</v>
      </c>
    </row>
    <row r="666" spans="1:12" ht="15">
      <c r="A666" s="74"/>
      <c r="D666" s="75" t="s">
        <v>1243</v>
      </c>
      <c r="E666" s="75" t="s">
        <v>974</v>
      </c>
      <c r="G666" s="76">
        <v>19.7</v>
      </c>
      <c r="L666" s="77"/>
    </row>
    <row r="667" spans="1:12" ht="15">
      <c r="A667" s="74"/>
      <c r="D667" s="75" t="s">
        <v>399</v>
      </c>
      <c r="E667" s="75" t="s">
        <v>1244</v>
      </c>
      <c r="G667" s="76">
        <v>16.95</v>
      </c>
      <c r="L667" s="77"/>
    </row>
    <row r="668" spans="1:12" ht="15">
      <c r="A668" s="74"/>
      <c r="D668" s="75" t="s">
        <v>1237</v>
      </c>
      <c r="E668" s="75" t="s">
        <v>1245</v>
      </c>
      <c r="G668" s="76">
        <v>4.73</v>
      </c>
      <c r="L668" s="77"/>
    </row>
    <row r="669" spans="1:75" ht="13.5" customHeight="1">
      <c r="A669" s="1" t="s">
        <v>1246</v>
      </c>
      <c r="B669" s="2" t="s">
        <v>84</v>
      </c>
      <c r="C669" s="2" t="s">
        <v>1247</v>
      </c>
      <c r="D669" s="108" t="s">
        <v>1248</v>
      </c>
      <c r="E669" s="103"/>
      <c r="F669" s="2" t="s">
        <v>1199</v>
      </c>
      <c r="G669" s="38">
        <f>'Stavební rozpočet'!G669</f>
        <v>889.14</v>
      </c>
      <c r="H669" s="38">
        <f>'Stavební rozpočet'!H669</f>
        <v>0</v>
      </c>
      <c r="I669" s="38">
        <f>G669*H669</f>
        <v>0</v>
      </c>
      <c r="J669" s="38">
        <f>'Stavební rozpočet'!J669</f>
        <v>5E-05</v>
      </c>
      <c r="K669" s="38">
        <f>G669*J669</f>
        <v>0.044457</v>
      </c>
      <c r="L669" s="71" t="s">
        <v>136</v>
      </c>
      <c r="Z669" s="38">
        <f>IF(AQ669="5",BJ669,0)</f>
        <v>0</v>
      </c>
      <c r="AB669" s="38">
        <f>IF(AQ669="1",BH669,0)</f>
        <v>0</v>
      </c>
      <c r="AC669" s="38">
        <f>IF(AQ669="1",BI669,0)</f>
        <v>0</v>
      </c>
      <c r="AD669" s="38">
        <f>IF(AQ669="7",BH669,0)</f>
        <v>0</v>
      </c>
      <c r="AE669" s="38">
        <f>IF(AQ669="7",BI669,0)</f>
        <v>0</v>
      </c>
      <c r="AF669" s="38">
        <f>IF(AQ669="2",BH669,0)</f>
        <v>0</v>
      </c>
      <c r="AG669" s="38">
        <f>IF(AQ669="2",BI669,0)</f>
        <v>0</v>
      </c>
      <c r="AH669" s="38">
        <f>IF(AQ669="0",BJ669,0)</f>
        <v>0</v>
      </c>
      <c r="AI669" s="50" t="s">
        <v>84</v>
      </c>
      <c r="AJ669" s="38">
        <f>IF(AN669=0,I669,0)</f>
        <v>0</v>
      </c>
      <c r="AK669" s="38">
        <f>IF(AN669=12,I669,0)</f>
        <v>0</v>
      </c>
      <c r="AL669" s="38">
        <f>IF(AN669=21,I669,0)</f>
        <v>0</v>
      </c>
      <c r="AN669" s="38">
        <v>21</v>
      </c>
      <c r="AO669" s="38">
        <f>H669*0.471061608</f>
        <v>0</v>
      </c>
      <c r="AP669" s="38">
        <f>H669*(1-0.471061608)</f>
        <v>0</v>
      </c>
      <c r="AQ669" s="72" t="s">
        <v>169</v>
      </c>
      <c r="AV669" s="38">
        <f>AW669+AX669</f>
        <v>0</v>
      </c>
      <c r="AW669" s="38">
        <f>G669*AO669</f>
        <v>0</v>
      </c>
      <c r="AX669" s="38">
        <f>G669*AP669</f>
        <v>0</v>
      </c>
      <c r="AY669" s="72" t="s">
        <v>1200</v>
      </c>
      <c r="AZ669" s="72" t="s">
        <v>990</v>
      </c>
      <c r="BA669" s="50" t="s">
        <v>139</v>
      </c>
      <c r="BB669" s="73">
        <v>100018</v>
      </c>
      <c r="BC669" s="38">
        <f>AW669+AX669</f>
        <v>0</v>
      </c>
      <c r="BD669" s="38">
        <f>H669/(100-BE669)*100</f>
        <v>0</v>
      </c>
      <c r="BE669" s="38">
        <v>0</v>
      </c>
      <c r="BF669" s="38">
        <f>K669</f>
        <v>0.044457</v>
      </c>
      <c r="BH669" s="38">
        <f>G669*AO669</f>
        <v>0</v>
      </c>
      <c r="BI669" s="38">
        <f>G669*AP669</f>
        <v>0</v>
      </c>
      <c r="BJ669" s="38">
        <f>G669*H669</f>
        <v>0</v>
      </c>
      <c r="BK669" s="38"/>
      <c r="BL669" s="38">
        <v>767</v>
      </c>
      <c r="BW669" s="38">
        <v>21</v>
      </c>
    </row>
    <row r="670" spans="1:12" ht="13.5" customHeight="1">
      <c r="A670" s="74"/>
      <c r="D670" s="194" t="s">
        <v>1058</v>
      </c>
      <c r="E670" s="195"/>
      <c r="F670" s="195"/>
      <c r="G670" s="195"/>
      <c r="H670" s="195"/>
      <c r="I670" s="195"/>
      <c r="J670" s="195"/>
      <c r="K670" s="195"/>
      <c r="L670" s="197"/>
    </row>
    <row r="671" spans="1:12" ht="15">
      <c r="A671" s="74"/>
      <c r="D671" s="75" t="s">
        <v>1249</v>
      </c>
      <c r="E671" s="75" t="s">
        <v>1250</v>
      </c>
      <c r="G671" s="76">
        <v>889.14</v>
      </c>
      <c r="L671" s="77"/>
    </row>
    <row r="672" spans="1:75" ht="13.5" customHeight="1">
      <c r="A672" s="1" t="s">
        <v>1251</v>
      </c>
      <c r="B672" s="2" t="s">
        <v>84</v>
      </c>
      <c r="C672" s="2" t="s">
        <v>1252</v>
      </c>
      <c r="D672" s="108" t="s">
        <v>1253</v>
      </c>
      <c r="E672" s="103"/>
      <c r="F672" s="2" t="s">
        <v>263</v>
      </c>
      <c r="G672" s="38">
        <f>'Stavební rozpočet'!G672</f>
        <v>1.5</v>
      </c>
      <c r="H672" s="38">
        <f>'Stavební rozpočet'!H672</f>
        <v>0</v>
      </c>
      <c r="I672" s="38">
        <f>G672*H672</f>
        <v>0</v>
      </c>
      <c r="J672" s="38">
        <f>'Stavební rozpočet'!J672</f>
        <v>0</v>
      </c>
      <c r="K672" s="38">
        <f>G672*J672</f>
        <v>0</v>
      </c>
      <c r="L672" s="71" t="s">
        <v>207</v>
      </c>
      <c r="Z672" s="38">
        <f>IF(AQ672="5",BJ672,0)</f>
        <v>0</v>
      </c>
      <c r="AB672" s="38">
        <f>IF(AQ672="1",BH672,0)</f>
        <v>0</v>
      </c>
      <c r="AC672" s="38">
        <f>IF(AQ672="1",BI672,0)</f>
        <v>0</v>
      </c>
      <c r="AD672" s="38">
        <f>IF(AQ672="7",BH672,0)</f>
        <v>0</v>
      </c>
      <c r="AE672" s="38">
        <f>IF(AQ672="7",BI672,0)</f>
        <v>0</v>
      </c>
      <c r="AF672" s="38">
        <f>IF(AQ672="2",BH672,0)</f>
        <v>0</v>
      </c>
      <c r="AG672" s="38">
        <f>IF(AQ672="2",BI672,0)</f>
        <v>0</v>
      </c>
      <c r="AH672" s="38">
        <f>IF(AQ672="0",BJ672,0)</f>
        <v>0</v>
      </c>
      <c r="AI672" s="50" t="s">
        <v>84</v>
      </c>
      <c r="AJ672" s="38">
        <f>IF(AN672=0,I672,0)</f>
        <v>0</v>
      </c>
      <c r="AK672" s="38">
        <f>IF(AN672=12,I672,0)</f>
        <v>0</v>
      </c>
      <c r="AL672" s="38">
        <f>IF(AN672=21,I672,0)</f>
        <v>0</v>
      </c>
      <c r="AN672" s="38">
        <v>21</v>
      </c>
      <c r="AO672" s="38">
        <f>H672*0.928943937</f>
        <v>0</v>
      </c>
      <c r="AP672" s="38">
        <f>H672*(1-0.928943937)</f>
        <v>0</v>
      </c>
      <c r="AQ672" s="72" t="s">
        <v>169</v>
      </c>
      <c r="AV672" s="38">
        <f>AW672+AX672</f>
        <v>0</v>
      </c>
      <c r="AW672" s="38">
        <f>G672*AO672</f>
        <v>0</v>
      </c>
      <c r="AX672" s="38">
        <f>G672*AP672</f>
        <v>0</v>
      </c>
      <c r="AY672" s="72" t="s">
        <v>1200</v>
      </c>
      <c r="AZ672" s="72" t="s">
        <v>990</v>
      </c>
      <c r="BA672" s="50" t="s">
        <v>139</v>
      </c>
      <c r="BB672" s="73">
        <v>100018</v>
      </c>
      <c r="BC672" s="38">
        <f>AW672+AX672</f>
        <v>0</v>
      </c>
      <c r="BD672" s="38">
        <f>H672/(100-BE672)*100</f>
        <v>0</v>
      </c>
      <c r="BE672" s="38">
        <v>0</v>
      </c>
      <c r="BF672" s="38">
        <f>K672</f>
        <v>0</v>
      </c>
      <c r="BH672" s="38">
        <f>G672*AO672</f>
        <v>0</v>
      </c>
      <c r="BI672" s="38">
        <f>G672*AP672</f>
        <v>0</v>
      </c>
      <c r="BJ672" s="38">
        <f>G672*H672</f>
        <v>0</v>
      </c>
      <c r="BK672" s="38"/>
      <c r="BL672" s="38">
        <v>767</v>
      </c>
      <c r="BW672" s="38">
        <v>21</v>
      </c>
    </row>
    <row r="673" spans="1:12" ht="13.5" customHeight="1">
      <c r="A673" s="74"/>
      <c r="D673" s="194" t="s">
        <v>1058</v>
      </c>
      <c r="E673" s="195"/>
      <c r="F673" s="195"/>
      <c r="G673" s="195"/>
      <c r="H673" s="195"/>
      <c r="I673" s="195"/>
      <c r="J673" s="195"/>
      <c r="K673" s="195"/>
      <c r="L673" s="197"/>
    </row>
    <row r="674" spans="1:12" ht="15">
      <c r="A674" s="74"/>
      <c r="D674" s="75" t="s">
        <v>1254</v>
      </c>
      <c r="E674" s="75" t="s">
        <v>4</v>
      </c>
      <c r="G674" s="76">
        <v>1.5</v>
      </c>
      <c r="L674" s="77"/>
    </row>
    <row r="675" spans="1:75" ht="13.5" customHeight="1">
      <c r="A675" s="1" t="s">
        <v>1255</v>
      </c>
      <c r="B675" s="2" t="s">
        <v>84</v>
      </c>
      <c r="C675" s="2" t="s">
        <v>1256</v>
      </c>
      <c r="D675" s="108" t="s">
        <v>1257</v>
      </c>
      <c r="E675" s="103"/>
      <c r="F675" s="2" t="s">
        <v>263</v>
      </c>
      <c r="G675" s="38">
        <f>'Stavební rozpočet'!G675</f>
        <v>0.5</v>
      </c>
      <c r="H675" s="38">
        <f>'Stavební rozpočet'!H675</f>
        <v>0</v>
      </c>
      <c r="I675" s="38">
        <f>G675*H675</f>
        <v>0</v>
      </c>
      <c r="J675" s="38">
        <f>'Stavební rozpočet'!J675</f>
        <v>0.03681</v>
      </c>
      <c r="K675" s="38">
        <f>G675*J675</f>
        <v>0.018405</v>
      </c>
      <c r="L675" s="71" t="s">
        <v>207</v>
      </c>
      <c r="Z675" s="38">
        <f>IF(AQ675="5",BJ675,0)</f>
        <v>0</v>
      </c>
      <c r="AB675" s="38">
        <f>IF(AQ675="1",BH675,0)</f>
        <v>0</v>
      </c>
      <c r="AC675" s="38">
        <f>IF(AQ675="1",BI675,0)</f>
        <v>0</v>
      </c>
      <c r="AD675" s="38">
        <f>IF(AQ675="7",BH675,0)</f>
        <v>0</v>
      </c>
      <c r="AE675" s="38">
        <f>IF(AQ675="7",BI675,0)</f>
        <v>0</v>
      </c>
      <c r="AF675" s="38">
        <f>IF(AQ675="2",BH675,0)</f>
        <v>0</v>
      </c>
      <c r="AG675" s="38">
        <f>IF(AQ675="2",BI675,0)</f>
        <v>0</v>
      </c>
      <c r="AH675" s="38">
        <f>IF(AQ675="0",BJ675,0)</f>
        <v>0</v>
      </c>
      <c r="AI675" s="50" t="s">
        <v>84</v>
      </c>
      <c r="AJ675" s="38">
        <f>IF(AN675=0,I675,0)</f>
        <v>0</v>
      </c>
      <c r="AK675" s="38">
        <f>IF(AN675=12,I675,0)</f>
        <v>0</v>
      </c>
      <c r="AL675" s="38">
        <f>IF(AN675=21,I675,0)</f>
        <v>0</v>
      </c>
      <c r="AN675" s="38">
        <v>21</v>
      </c>
      <c r="AO675" s="38">
        <f>H675*0.929004498</f>
        <v>0</v>
      </c>
      <c r="AP675" s="38">
        <f>H675*(1-0.929004498)</f>
        <v>0</v>
      </c>
      <c r="AQ675" s="72" t="s">
        <v>169</v>
      </c>
      <c r="AV675" s="38">
        <f>AW675+AX675</f>
        <v>0</v>
      </c>
      <c r="AW675" s="38">
        <f>G675*AO675</f>
        <v>0</v>
      </c>
      <c r="AX675" s="38">
        <f>G675*AP675</f>
        <v>0</v>
      </c>
      <c r="AY675" s="72" t="s">
        <v>1200</v>
      </c>
      <c r="AZ675" s="72" t="s">
        <v>990</v>
      </c>
      <c r="BA675" s="50" t="s">
        <v>139</v>
      </c>
      <c r="BB675" s="73">
        <v>100018</v>
      </c>
      <c r="BC675" s="38">
        <f>AW675+AX675</f>
        <v>0</v>
      </c>
      <c r="BD675" s="38">
        <f>H675/(100-BE675)*100</f>
        <v>0</v>
      </c>
      <c r="BE675" s="38">
        <v>0</v>
      </c>
      <c r="BF675" s="38">
        <f>K675</f>
        <v>0.018405</v>
      </c>
      <c r="BH675" s="38">
        <f>G675*AO675</f>
        <v>0</v>
      </c>
      <c r="BI675" s="38">
        <f>G675*AP675</f>
        <v>0</v>
      </c>
      <c r="BJ675" s="38">
        <f>G675*H675</f>
        <v>0</v>
      </c>
      <c r="BK675" s="38"/>
      <c r="BL675" s="38">
        <v>767</v>
      </c>
      <c r="BW675" s="38">
        <v>21</v>
      </c>
    </row>
    <row r="676" spans="1:12" ht="13.5" customHeight="1">
      <c r="A676" s="74"/>
      <c r="D676" s="194" t="s">
        <v>1058</v>
      </c>
      <c r="E676" s="195"/>
      <c r="F676" s="195"/>
      <c r="G676" s="195"/>
      <c r="H676" s="195"/>
      <c r="I676" s="195"/>
      <c r="J676" s="195"/>
      <c r="K676" s="195"/>
      <c r="L676" s="197"/>
    </row>
    <row r="677" spans="1:12" ht="15">
      <c r="A677" s="74"/>
      <c r="D677" s="75" t="s">
        <v>1258</v>
      </c>
      <c r="E677" s="75" t="s">
        <v>4</v>
      </c>
      <c r="G677" s="76">
        <v>0.5</v>
      </c>
      <c r="L677" s="77"/>
    </row>
    <row r="678" spans="1:75" ht="13.5" customHeight="1">
      <c r="A678" s="1" t="s">
        <v>1259</v>
      </c>
      <c r="B678" s="2" t="s">
        <v>84</v>
      </c>
      <c r="C678" s="2" t="s">
        <v>1260</v>
      </c>
      <c r="D678" s="108" t="s">
        <v>1261</v>
      </c>
      <c r="E678" s="103"/>
      <c r="F678" s="2" t="s">
        <v>214</v>
      </c>
      <c r="G678" s="38">
        <f>'Stavební rozpočet'!G678</f>
        <v>23.8</v>
      </c>
      <c r="H678" s="38">
        <f>'Stavební rozpočet'!H678</f>
        <v>0</v>
      </c>
      <c r="I678" s="38">
        <f>G678*H678</f>
        <v>0</v>
      </c>
      <c r="J678" s="38">
        <f>'Stavební rozpočet'!J678</f>
        <v>0</v>
      </c>
      <c r="K678" s="38">
        <f>G678*J678</f>
        <v>0</v>
      </c>
      <c r="L678" s="71" t="s">
        <v>207</v>
      </c>
      <c r="Z678" s="38">
        <f>IF(AQ678="5",BJ678,0)</f>
        <v>0</v>
      </c>
      <c r="AB678" s="38">
        <f>IF(AQ678="1",BH678,0)</f>
        <v>0</v>
      </c>
      <c r="AC678" s="38">
        <f>IF(AQ678="1",BI678,0)</f>
        <v>0</v>
      </c>
      <c r="AD678" s="38">
        <f>IF(AQ678="7",BH678,0)</f>
        <v>0</v>
      </c>
      <c r="AE678" s="38">
        <f>IF(AQ678="7",BI678,0)</f>
        <v>0</v>
      </c>
      <c r="AF678" s="38">
        <f>IF(AQ678="2",BH678,0)</f>
        <v>0</v>
      </c>
      <c r="AG678" s="38">
        <f>IF(AQ678="2",BI678,0)</f>
        <v>0</v>
      </c>
      <c r="AH678" s="38">
        <f>IF(AQ678="0",BJ678,0)</f>
        <v>0</v>
      </c>
      <c r="AI678" s="50" t="s">
        <v>84</v>
      </c>
      <c r="AJ678" s="38">
        <f>IF(AN678=0,I678,0)</f>
        <v>0</v>
      </c>
      <c r="AK678" s="38">
        <f>IF(AN678=12,I678,0)</f>
        <v>0</v>
      </c>
      <c r="AL678" s="38">
        <f>IF(AN678=21,I678,0)</f>
        <v>0</v>
      </c>
      <c r="AN678" s="38">
        <v>21</v>
      </c>
      <c r="AO678" s="38">
        <f>H678*0</f>
        <v>0</v>
      </c>
      <c r="AP678" s="38">
        <f>H678*(1-0)</f>
        <v>0</v>
      </c>
      <c r="AQ678" s="72" t="s">
        <v>169</v>
      </c>
      <c r="AV678" s="38">
        <f>AW678+AX678</f>
        <v>0</v>
      </c>
      <c r="AW678" s="38">
        <f>G678*AO678</f>
        <v>0</v>
      </c>
      <c r="AX678" s="38">
        <f>G678*AP678</f>
        <v>0</v>
      </c>
      <c r="AY678" s="72" t="s">
        <v>1200</v>
      </c>
      <c r="AZ678" s="72" t="s">
        <v>990</v>
      </c>
      <c r="BA678" s="50" t="s">
        <v>139</v>
      </c>
      <c r="BB678" s="73">
        <v>100018</v>
      </c>
      <c r="BC678" s="38">
        <f>AW678+AX678</f>
        <v>0</v>
      </c>
      <c r="BD678" s="38">
        <f>H678/(100-BE678)*100</f>
        <v>0</v>
      </c>
      <c r="BE678" s="38">
        <v>0</v>
      </c>
      <c r="BF678" s="38">
        <f>K678</f>
        <v>0</v>
      </c>
      <c r="BH678" s="38">
        <f>G678*AO678</f>
        <v>0</v>
      </c>
      <c r="BI678" s="38">
        <f>G678*AP678</f>
        <v>0</v>
      </c>
      <c r="BJ678" s="38">
        <f>G678*H678</f>
        <v>0</v>
      </c>
      <c r="BK678" s="38"/>
      <c r="BL678" s="38">
        <v>767</v>
      </c>
      <c r="BW678" s="38">
        <v>21</v>
      </c>
    </row>
    <row r="679" spans="1:12" ht="13.5" customHeight="1">
      <c r="A679" s="74"/>
      <c r="D679" s="194" t="s">
        <v>1058</v>
      </c>
      <c r="E679" s="195"/>
      <c r="F679" s="195"/>
      <c r="G679" s="195"/>
      <c r="H679" s="195"/>
      <c r="I679" s="195"/>
      <c r="J679" s="195"/>
      <c r="K679" s="195"/>
      <c r="L679" s="197"/>
    </row>
    <row r="680" spans="1:12" ht="15">
      <c r="A680" s="74"/>
      <c r="D680" s="75" t="s">
        <v>1262</v>
      </c>
      <c r="E680" s="75" t="s">
        <v>4</v>
      </c>
      <c r="G680" s="76">
        <v>23.8</v>
      </c>
      <c r="L680" s="77"/>
    </row>
    <row r="681" spans="1:75" ht="13.5" customHeight="1">
      <c r="A681" s="1" t="s">
        <v>1263</v>
      </c>
      <c r="B681" s="2" t="s">
        <v>84</v>
      </c>
      <c r="C681" s="2" t="s">
        <v>1264</v>
      </c>
      <c r="D681" s="108" t="s">
        <v>1265</v>
      </c>
      <c r="E681" s="103"/>
      <c r="F681" s="2" t="s">
        <v>1097</v>
      </c>
      <c r="G681" s="38">
        <f>'Stavební rozpočet'!G681</f>
        <v>4</v>
      </c>
      <c r="H681" s="38">
        <f>'Stavební rozpočet'!H681</f>
        <v>0</v>
      </c>
      <c r="I681" s="38">
        <f>G681*H681</f>
        <v>0</v>
      </c>
      <c r="J681" s="38">
        <f>'Stavební rozpočet'!J681</f>
        <v>0</v>
      </c>
      <c r="K681" s="38">
        <f>G681*J681</f>
        <v>0</v>
      </c>
      <c r="L681" s="71" t="s">
        <v>207</v>
      </c>
      <c r="Z681" s="38">
        <f>IF(AQ681="5",BJ681,0)</f>
        <v>0</v>
      </c>
      <c r="AB681" s="38">
        <f>IF(AQ681="1",BH681,0)</f>
        <v>0</v>
      </c>
      <c r="AC681" s="38">
        <f>IF(AQ681="1",BI681,0)</f>
        <v>0</v>
      </c>
      <c r="AD681" s="38">
        <f>IF(AQ681="7",BH681,0)</f>
        <v>0</v>
      </c>
      <c r="AE681" s="38">
        <f>IF(AQ681="7",BI681,0)</f>
        <v>0</v>
      </c>
      <c r="AF681" s="38">
        <f>IF(AQ681="2",BH681,0)</f>
        <v>0</v>
      </c>
      <c r="AG681" s="38">
        <f>IF(AQ681="2",BI681,0)</f>
        <v>0</v>
      </c>
      <c r="AH681" s="38">
        <f>IF(AQ681="0",BJ681,0)</f>
        <v>0</v>
      </c>
      <c r="AI681" s="50" t="s">
        <v>84</v>
      </c>
      <c r="AJ681" s="38">
        <f>IF(AN681=0,I681,0)</f>
        <v>0</v>
      </c>
      <c r="AK681" s="38">
        <f>IF(AN681=12,I681,0)</f>
        <v>0</v>
      </c>
      <c r="AL681" s="38">
        <f>IF(AN681=21,I681,0)</f>
        <v>0</v>
      </c>
      <c r="AN681" s="38">
        <v>21</v>
      </c>
      <c r="AO681" s="38">
        <f>H681*0.772727273</f>
        <v>0</v>
      </c>
      <c r="AP681" s="38">
        <f>H681*(1-0.772727273)</f>
        <v>0</v>
      </c>
      <c r="AQ681" s="72" t="s">
        <v>169</v>
      </c>
      <c r="AV681" s="38">
        <f>AW681+AX681</f>
        <v>0</v>
      </c>
      <c r="AW681" s="38">
        <f>G681*AO681</f>
        <v>0</v>
      </c>
      <c r="AX681" s="38">
        <f>G681*AP681</f>
        <v>0</v>
      </c>
      <c r="AY681" s="72" t="s">
        <v>1200</v>
      </c>
      <c r="AZ681" s="72" t="s">
        <v>990</v>
      </c>
      <c r="BA681" s="50" t="s">
        <v>139</v>
      </c>
      <c r="BB681" s="73">
        <v>100018</v>
      </c>
      <c r="BC681" s="38">
        <f>AW681+AX681</f>
        <v>0</v>
      </c>
      <c r="BD681" s="38">
        <f>H681/(100-BE681)*100</f>
        <v>0</v>
      </c>
      <c r="BE681" s="38">
        <v>0</v>
      </c>
      <c r="BF681" s="38">
        <f>K681</f>
        <v>0</v>
      </c>
      <c r="BH681" s="38">
        <f>G681*AO681</f>
        <v>0</v>
      </c>
      <c r="BI681" s="38">
        <f>G681*AP681</f>
        <v>0</v>
      </c>
      <c r="BJ681" s="38">
        <f>G681*H681</f>
        <v>0</v>
      </c>
      <c r="BK681" s="38"/>
      <c r="BL681" s="38">
        <v>767</v>
      </c>
      <c r="BW681" s="38">
        <v>21</v>
      </c>
    </row>
    <row r="682" spans="1:12" ht="13.5" customHeight="1">
      <c r="A682" s="74"/>
      <c r="D682" s="194" t="s">
        <v>1058</v>
      </c>
      <c r="E682" s="195"/>
      <c r="F682" s="195"/>
      <c r="G682" s="195"/>
      <c r="H682" s="195"/>
      <c r="I682" s="195"/>
      <c r="J682" s="195"/>
      <c r="K682" s="195"/>
      <c r="L682" s="197"/>
    </row>
    <row r="683" spans="1:12" ht="15">
      <c r="A683" s="74"/>
      <c r="D683" s="75" t="s">
        <v>157</v>
      </c>
      <c r="E683" s="75" t="s">
        <v>4</v>
      </c>
      <c r="G683" s="76">
        <v>4</v>
      </c>
      <c r="L683" s="77"/>
    </row>
    <row r="684" spans="1:75" ht="13.5" customHeight="1">
      <c r="A684" s="1" t="s">
        <v>1266</v>
      </c>
      <c r="B684" s="2" t="s">
        <v>84</v>
      </c>
      <c r="C684" s="2" t="s">
        <v>1264</v>
      </c>
      <c r="D684" s="108" t="s">
        <v>1267</v>
      </c>
      <c r="E684" s="103"/>
      <c r="F684" s="2" t="s">
        <v>1097</v>
      </c>
      <c r="G684" s="38">
        <f>'Stavební rozpočet'!G684</f>
        <v>1</v>
      </c>
      <c r="H684" s="38">
        <f>'Stavební rozpočet'!H684</f>
        <v>0</v>
      </c>
      <c r="I684" s="38">
        <f>G684*H684</f>
        <v>0</v>
      </c>
      <c r="J684" s="38">
        <f>'Stavební rozpočet'!J684</f>
        <v>0</v>
      </c>
      <c r="K684" s="38">
        <f>G684*J684</f>
        <v>0</v>
      </c>
      <c r="L684" s="71" t="s">
        <v>207</v>
      </c>
      <c r="Z684" s="38">
        <f>IF(AQ684="5",BJ684,0)</f>
        <v>0</v>
      </c>
      <c r="AB684" s="38">
        <f>IF(AQ684="1",BH684,0)</f>
        <v>0</v>
      </c>
      <c r="AC684" s="38">
        <f>IF(AQ684="1",BI684,0)</f>
        <v>0</v>
      </c>
      <c r="AD684" s="38">
        <f>IF(AQ684="7",BH684,0)</f>
        <v>0</v>
      </c>
      <c r="AE684" s="38">
        <f>IF(AQ684="7",BI684,0)</f>
        <v>0</v>
      </c>
      <c r="AF684" s="38">
        <f>IF(AQ684="2",BH684,0)</f>
        <v>0</v>
      </c>
      <c r="AG684" s="38">
        <f>IF(AQ684="2",BI684,0)</f>
        <v>0</v>
      </c>
      <c r="AH684" s="38">
        <f>IF(AQ684="0",BJ684,0)</f>
        <v>0</v>
      </c>
      <c r="AI684" s="50" t="s">
        <v>84</v>
      </c>
      <c r="AJ684" s="38">
        <f>IF(AN684=0,I684,0)</f>
        <v>0</v>
      </c>
      <c r="AK684" s="38">
        <f>IF(AN684=12,I684,0)</f>
        <v>0</v>
      </c>
      <c r="AL684" s="38">
        <f>IF(AN684=21,I684,0)</f>
        <v>0</v>
      </c>
      <c r="AN684" s="38">
        <v>21</v>
      </c>
      <c r="AO684" s="38">
        <f>H684*0.958333333</f>
        <v>0</v>
      </c>
      <c r="AP684" s="38">
        <f>H684*(1-0.958333333)</f>
        <v>0</v>
      </c>
      <c r="AQ684" s="72" t="s">
        <v>169</v>
      </c>
      <c r="AV684" s="38">
        <f>AW684+AX684</f>
        <v>0</v>
      </c>
      <c r="AW684" s="38">
        <f>G684*AO684</f>
        <v>0</v>
      </c>
      <c r="AX684" s="38">
        <f>G684*AP684</f>
        <v>0</v>
      </c>
      <c r="AY684" s="72" t="s">
        <v>1200</v>
      </c>
      <c r="AZ684" s="72" t="s">
        <v>990</v>
      </c>
      <c r="BA684" s="50" t="s">
        <v>139</v>
      </c>
      <c r="BB684" s="73">
        <v>100018</v>
      </c>
      <c r="BC684" s="38">
        <f>AW684+AX684</f>
        <v>0</v>
      </c>
      <c r="BD684" s="38">
        <f>H684/(100-BE684)*100</f>
        <v>0</v>
      </c>
      <c r="BE684" s="38">
        <v>0</v>
      </c>
      <c r="BF684" s="38">
        <f>K684</f>
        <v>0</v>
      </c>
      <c r="BH684" s="38">
        <f>G684*AO684</f>
        <v>0</v>
      </c>
      <c r="BI684" s="38">
        <f>G684*AP684</f>
        <v>0</v>
      </c>
      <c r="BJ684" s="38">
        <f>G684*H684</f>
        <v>0</v>
      </c>
      <c r="BK684" s="38"/>
      <c r="BL684" s="38">
        <v>767</v>
      </c>
      <c r="BW684" s="38">
        <v>21</v>
      </c>
    </row>
    <row r="685" spans="1:12" ht="13.5" customHeight="1">
      <c r="A685" s="74"/>
      <c r="D685" s="194" t="s">
        <v>1058</v>
      </c>
      <c r="E685" s="195"/>
      <c r="F685" s="195"/>
      <c r="G685" s="195"/>
      <c r="H685" s="195"/>
      <c r="I685" s="195"/>
      <c r="J685" s="195"/>
      <c r="K685" s="195"/>
      <c r="L685" s="197"/>
    </row>
    <row r="686" spans="1:12" ht="15">
      <c r="A686" s="74"/>
      <c r="D686" s="75" t="s">
        <v>132</v>
      </c>
      <c r="E686" s="75" t="s">
        <v>4</v>
      </c>
      <c r="G686" s="76">
        <v>1</v>
      </c>
      <c r="L686" s="77"/>
    </row>
    <row r="687" spans="1:75" ht="13.5" customHeight="1">
      <c r="A687" s="1" t="s">
        <v>1268</v>
      </c>
      <c r="B687" s="2" t="s">
        <v>84</v>
      </c>
      <c r="C687" s="2" t="s">
        <v>1269</v>
      </c>
      <c r="D687" s="108" t="s">
        <v>1270</v>
      </c>
      <c r="E687" s="103"/>
      <c r="F687" s="2" t="s">
        <v>189</v>
      </c>
      <c r="G687" s="38">
        <f>'Stavební rozpočet'!G687</f>
        <v>0.64</v>
      </c>
      <c r="H687" s="38">
        <f>'Stavební rozpočet'!H687</f>
        <v>0</v>
      </c>
      <c r="I687" s="38">
        <f>G687*H687</f>
        <v>0</v>
      </c>
      <c r="J687" s="38">
        <f>'Stavební rozpočet'!J687</f>
        <v>0</v>
      </c>
      <c r="K687" s="38">
        <f>G687*J687</f>
        <v>0</v>
      </c>
      <c r="L687" s="71" t="s">
        <v>136</v>
      </c>
      <c r="Z687" s="38">
        <f>IF(AQ687="5",BJ687,0)</f>
        <v>0</v>
      </c>
      <c r="AB687" s="38">
        <f>IF(AQ687="1",BH687,0)</f>
        <v>0</v>
      </c>
      <c r="AC687" s="38">
        <f>IF(AQ687="1",BI687,0)</f>
        <v>0</v>
      </c>
      <c r="AD687" s="38">
        <f>IF(AQ687="7",BH687,0)</f>
        <v>0</v>
      </c>
      <c r="AE687" s="38">
        <f>IF(AQ687="7",BI687,0)</f>
        <v>0</v>
      </c>
      <c r="AF687" s="38">
        <f>IF(AQ687="2",BH687,0)</f>
        <v>0</v>
      </c>
      <c r="AG687" s="38">
        <f>IF(AQ687="2",BI687,0)</f>
        <v>0</v>
      </c>
      <c r="AH687" s="38">
        <f>IF(AQ687="0",BJ687,0)</f>
        <v>0</v>
      </c>
      <c r="AI687" s="50" t="s">
        <v>84</v>
      </c>
      <c r="AJ687" s="38">
        <f>IF(AN687=0,I687,0)</f>
        <v>0</v>
      </c>
      <c r="AK687" s="38">
        <f>IF(AN687=12,I687,0)</f>
        <v>0</v>
      </c>
      <c r="AL687" s="38">
        <f>IF(AN687=21,I687,0)</f>
        <v>0</v>
      </c>
      <c r="AN687" s="38">
        <v>21</v>
      </c>
      <c r="AO687" s="38">
        <f>H687*0</f>
        <v>0</v>
      </c>
      <c r="AP687" s="38">
        <f>H687*(1-0)</f>
        <v>0</v>
      </c>
      <c r="AQ687" s="72" t="s">
        <v>162</v>
      </c>
      <c r="AV687" s="38">
        <f>AW687+AX687</f>
        <v>0</v>
      </c>
      <c r="AW687" s="38">
        <f>G687*AO687</f>
        <v>0</v>
      </c>
      <c r="AX687" s="38">
        <f>G687*AP687</f>
        <v>0</v>
      </c>
      <c r="AY687" s="72" t="s">
        <v>1200</v>
      </c>
      <c r="AZ687" s="72" t="s">
        <v>990</v>
      </c>
      <c r="BA687" s="50" t="s">
        <v>139</v>
      </c>
      <c r="BC687" s="38">
        <f>AW687+AX687</f>
        <v>0</v>
      </c>
      <c r="BD687" s="38">
        <f>H687/(100-BE687)*100</f>
        <v>0</v>
      </c>
      <c r="BE687" s="38">
        <v>0</v>
      </c>
      <c r="BF687" s="38">
        <f>K687</f>
        <v>0</v>
      </c>
      <c r="BH687" s="38">
        <f>G687*AO687</f>
        <v>0</v>
      </c>
      <c r="BI687" s="38">
        <f>G687*AP687</f>
        <v>0</v>
      </c>
      <c r="BJ687" s="38">
        <f>G687*H687</f>
        <v>0</v>
      </c>
      <c r="BK687" s="38"/>
      <c r="BL687" s="38">
        <v>767</v>
      </c>
      <c r="BW687" s="38">
        <v>21</v>
      </c>
    </row>
    <row r="688" spans="1:12" ht="15">
      <c r="A688" s="74"/>
      <c r="D688" s="75" t="s">
        <v>1271</v>
      </c>
      <c r="E688" s="75" t="s">
        <v>4</v>
      </c>
      <c r="G688" s="76">
        <v>0.64</v>
      </c>
      <c r="L688" s="77"/>
    </row>
    <row r="689" spans="1:47" ht="15">
      <c r="A689" s="65" t="s">
        <v>4</v>
      </c>
      <c r="B689" s="66" t="s">
        <v>84</v>
      </c>
      <c r="C689" s="66" t="s">
        <v>1272</v>
      </c>
      <c r="D689" s="192" t="s">
        <v>1273</v>
      </c>
      <c r="E689" s="193"/>
      <c r="F689" s="67" t="s">
        <v>78</v>
      </c>
      <c r="G689" s="67" t="s">
        <v>78</v>
      </c>
      <c r="H689" s="67" t="s">
        <v>78</v>
      </c>
      <c r="I689" s="44">
        <f>SUM(I690:I753)</f>
        <v>0</v>
      </c>
      <c r="J689" s="50" t="s">
        <v>4</v>
      </c>
      <c r="K689" s="44">
        <f>SUM(K690:K753)</f>
        <v>10.576795799999998</v>
      </c>
      <c r="L689" s="69" t="s">
        <v>4</v>
      </c>
      <c r="AI689" s="50" t="s">
        <v>84</v>
      </c>
      <c r="AS689" s="44">
        <f>SUM(AJ690:AJ753)</f>
        <v>0</v>
      </c>
      <c r="AT689" s="44">
        <f>SUM(AK690:AK753)</f>
        <v>0</v>
      </c>
      <c r="AU689" s="44">
        <f>SUM(AL690:AL753)</f>
        <v>0</v>
      </c>
    </row>
    <row r="690" spans="1:75" ht="13.5" customHeight="1">
      <c r="A690" s="1" t="s">
        <v>1274</v>
      </c>
      <c r="B690" s="2" t="s">
        <v>84</v>
      </c>
      <c r="C690" s="2" t="s">
        <v>1275</v>
      </c>
      <c r="D690" s="108" t="s">
        <v>1276</v>
      </c>
      <c r="E690" s="103"/>
      <c r="F690" s="2" t="s">
        <v>263</v>
      </c>
      <c r="G690" s="38">
        <f>'Stavební rozpočet'!G690</f>
        <v>29.73</v>
      </c>
      <c r="H690" s="38">
        <f>'Stavební rozpočet'!H690</f>
        <v>0</v>
      </c>
      <c r="I690" s="38">
        <f>G690*H690</f>
        <v>0</v>
      </c>
      <c r="J690" s="38">
        <f>'Stavební rozpočet'!J690</f>
        <v>0.06378</v>
      </c>
      <c r="K690" s="38">
        <f>G690*J690</f>
        <v>1.8961794</v>
      </c>
      <c r="L690" s="71" t="s">
        <v>207</v>
      </c>
      <c r="Z690" s="38">
        <f>IF(AQ690="5",BJ690,0)</f>
        <v>0</v>
      </c>
      <c r="AB690" s="38">
        <f>IF(AQ690="1",BH690,0)</f>
        <v>0</v>
      </c>
      <c r="AC690" s="38">
        <f>IF(AQ690="1",BI690,0)</f>
        <v>0</v>
      </c>
      <c r="AD690" s="38">
        <f>IF(AQ690="7",BH690,0)</f>
        <v>0</v>
      </c>
      <c r="AE690" s="38">
        <f>IF(AQ690="7",BI690,0)</f>
        <v>0</v>
      </c>
      <c r="AF690" s="38">
        <f>IF(AQ690="2",BH690,0)</f>
        <v>0</v>
      </c>
      <c r="AG690" s="38">
        <f>IF(AQ690="2",BI690,0)</f>
        <v>0</v>
      </c>
      <c r="AH690" s="38">
        <f>IF(AQ690="0",BJ690,0)</f>
        <v>0</v>
      </c>
      <c r="AI690" s="50" t="s">
        <v>84</v>
      </c>
      <c r="AJ690" s="38">
        <f>IF(AN690=0,I690,0)</f>
        <v>0</v>
      </c>
      <c r="AK690" s="38">
        <f>IF(AN690=12,I690,0)</f>
        <v>0</v>
      </c>
      <c r="AL690" s="38">
        <f>IF(AN690=21,I690,0)</f>
        <v>0</v>
      </c>
      <c r="AN690" s="38">
        <v>21</v>
      </c>
      <c r="AO690" s="38">
        <f>H690*0.126575901</f>
        <v>0</v>
      </c>
      <c r="AP690" s="38">
        <f>H690*(1-0.126575901)</f>
        <v>0</v>
      </c>
      <c r="AQ690" s="72" t="s">
        <v>169</v>
      </c>
      <c r="AV690" s="38">
        <f>AW690+AX690</f>
        <v>0</v>
      </c>
      <c r="AW690" s="38">
        <f>G690*AO690</f>
        <v>0</v>
      </c>
      <c r="AX690" s="38">
        <f>G690*AP690</f>
        <v>0</v>
      </c>
      <c r="AY690" s="72" t="s">
        <v>1277</v>
      </c>
      <c r="AZ690" s="72" t="s">
        <v>1278</v>
      </c>
      <c r="BA690" s="50" t="s">
        <v>139</v>
      </c>
      <c r="BB690" s="73">
        <v>100029</v>
      </c>
      <c r="BC690" s="38">
        <f>AW690+AX690</f>
        <v>0</v>
      </c>
      <c r="BD690" s="38">
        <f>H690/(100-BE690)*100</f>
        <v>0</v>
      </c>
      <c r="BE690" s="38">
        <v>0</v>
      </c>
      <c r="BF690" s="38">
        <f>K690</f>
        <v>1.8961794</v>
      </c>
      <c r="BH690" s="38">
        <f>G690*AO690</f>
        <v>0</v>
      </c>
      <c r="BI690" s="38">
        <f>G690*AP690</f>
        <v>0</v>
      </c>
      <c r="BJ690" s="38">
        <f>G690*H690</f>
        <v>0</v>
      </c>
      <c r="BK690" s="38"/>
      <c r="BL690" s="38">
        <v>771</v>
      </c>
      <c r="BW690" s="38">
        <v>21</v>
      </c>
    </row>
    <row r="691" spans="1:12" ht="13.5" customHeight="1">
      <c r="A691" s="74"/>
      <c r="D691" s="194" t="s">
        <v>1279</v>
      </c>
      <c r="E691" s="195"/>
      <c r="F691" s="195"/>
      <c r="G691" s="195"/>
      <c r="H691" s="195"/>
      <c r="I691" s="195"/>
      <c r="J691" s="195"/>
      <c r="K691" s="195"/>
      <c r="L691" s="197"/>
    </row>
    <row r="692" spans="1:12" ht="15">
      <c r="A692" s="74"/>
      <c r="D692" s="75" t="s">
        <v>1280</v>
      </c>
      <c r="E692" s="75" t="s">
        <v>609</v>
      </c>
      <c r="G692" s="76">
        <v>6.5</v>
      </c>
      <c r="L692" s="77"/>
    </row>
    <row r="693" spans="1:12" ht="15">
      <c r="A693" s="74"/>
      <c r="D693" s="75" t="s">
        <v>1281</v>
      </c>
      <c r="E693" s="75" t="s">
        <v>580</v>
      </c>
      <c r="G693" s="76">
        <v>18.23</v>
      </c>
      <c r="L693" s="77"/>
    </row>
    <row r="694" spans="1:12" ht="15">
      <c r="A694" s="74"/>
      <c r="D694" s="75" t="s">
        <v>1051</v>
      </c>
      <c r="E694" s="75" t="s">
        <v>1282</v>
      </c>
      <c r="G694" s="76">
        <v>2.5</v>
      </c>
      <c r="L694" s="77"/>
    </row>
    <row r="695" spans="1:12" ht="15">
      <c r="A695" s="74"/>
      <c r="D695" s="75" t="s">
        <v>1051</v>
      </c>
      <c r="E695" s="75" t="s">
        <v>1283</v>
      </c>
      <c r="G695" s="76">
        <v>2.5</v>
      </c>
      <c r="L695" s="77"/>
    </row>
    <row r="696" spans="1:75" ht="27" customHeight="1">
      <c r="A696" s="78" t="s">
        <v>1284</v>
      </c>
      <c r="B696" s="79" t="s">
        <v>84</v>
      </c>
      <c r="C696" s="79" t="s">
        <v>1285</v>
      </c>
      <c r="D696" s="198" t="s">
        <v>1286</v>
      </c>
      <c r="E696" s="199"/>
      <c r="F696" s="79" t="s">
        <v>263</v>
      </c>
      <c r="G696" s="80">
        <f>'Stavební rozpočet'!G696</f>
        <v>29.31</v>
      </c>
      <c r="H696" s="80">
        <f>'Stavební rozpočet'!H696</f>
        <v>0</v>
      </c>
      <c r="I696" s="80">
        <f>G696*H696</f>
        <v>0</v>
      </c>
      <c r="J696" s="80">
        <f>'Stavební rozpočet'!J696</f>
        <v>0.03</v>
      </c>
      <c r="K696" s="80">
        <f>G696*J696</f>
        <v>0.8793</v>
      </c>
      <c r="L696" s="82" t="s">
        <v>207</v>
      </c>
      <c r="Z696" s="38">
        <f>IF(AQ696="5",BJ696,0)</f>
        <v>0</v>
      </c>
      <c r="AB696" s="38">
        <f>IF(AQ696="1",BH696,0)</f>
        <v>0</v>
      </c>
      <c r="AC696" s="38">
        <f>IF(AQ696="1",BI696,0)</f>
        <v>0</v>
      </c>
      <c r="AD696" s="38">
        <f>IF(AQ696="7",BH696,0)</f>
        <v>0</v>
      </c>
      <c r="AE696" s="38">
        <f>IF(AQ696="7",BI696,0)</f>
        <v>0</v>
      </c>
      <c r="AF696" s="38">
        <f>IF(AQ696="2",BH696,0)</f>
        <v>0</v>
      </c>
      <c r="AG696" s="38">
        <f>IF(AQ696="2",BI696,0)</f>
        <v>0</v>
      </c>
      <c r="AH696" s="38">
        <f>IF(AQ696="0",BJ696,0)</f>
        <v>0</v>
      </c>
      <c r="AI696" s="50" t="s">
        <v>84</v>
      </c>
      <c r="AJ696" s="80">
        <f>IF(AN696=0,I696,0)</f>
        <v>0</v>
      </c>
      <c r="AK696" s="80">
        <f>IF(AN696=12,I696,0)</f>
        <v>0</v>
      </c>
      <c r="AL696" s="80">
        <f>IF(AN696=21,I696,0)</f>
        <v>0</v>
      </c>
      <c r="AN696" s="38">
        <v>21</v>
      </c>
      <c r="AO696" s="38">
        <f>H696*1</f>
        <v>0</v>
      </c>
      <c r="AP696" s="38">
        <f>H696*(1-1)</f>
        <v>0</v>
      </c>
      <c r="AQ696" s="83" t="s">
        <v>169</v>
      </c>
      <c r="AV696" s="38">
        <f>AW696+AX696</f>
        <v>0</v>
      </c>
      <c r="AW696" s="38">
        <f>G696*AO696</f>
        <v>0</v>
      </c>
      <c r="AX696" s="38">
        <f>G696*AP696</f>
        <v>0</v>
      </c>
      <c r="AY696" s="72" t="s">
        <v>1277</v>
      </c>
      <c r="AZ696" s="72" t="s">
        <v>1278</v>
      </c>
      <c r="BA696" s="50" t="s">
        <v>139</v>
      </c>
      <c r="BC696" s="38">
        <f>AW696+AX696</f>
        <v>0</v>
      </c>
      <c r="BD696" s="38">
        <f>H696/(100-BE696)*100</f>
        <v>0</v>
      </c>
      <c r="BE696" s="38">
        <v>0</v>
      </c>
      <c r="BF696" s="38">
        <f>K696</f>
        <v>0.8793</v>
      </c>
      <c r="BH696" s="80">
        <f>G696*AO696</f>
        <v>0</v>
      </c>
      <c r="BI696" s="80">
        <f>G696*AP696</f>
        <v>0</v>
      </c>
      <c r="BJ696" s="80">
        <f>G696*H696</f>
        <v>0</v>
      </c>
      <c r="BK696" s="80"/>
      <c r="BL696" s="38">
        <v>771</v>
      </c>
      <c r="BW696" s="38">
        <v>21</v>
      </c>
    </row>
    <row r="697" spans="1:12" ht="15">
      <c r="A697" s="74"/>
      <c r="D697" s="75" t="s">
        <v>564</v>
      </c>
      <c r="E697" s="75" t="s">
        <v>1287</v>
      </c>
      <c r="G697" s="76">
        <v>5</v>
      </c>
      <c r="L697" s="77"/>
    </row>
    <row r="698" spans="1:12" ht="15">
      <c r="A698" s="74"/>
      <c r="D698" s="75" t="s">
        <v>1280</v>
      </c>
      <c r="E698" s="75" t="s">
        <v>609</v>
      </c>
      <c r="G698" s="76">
        <v>6.5</v>
      </c>
      <c r="L698" s="77"/>
    </row>
    <row r="699" spans="1:12" ht="15">
      <c r="A699" s="74"/>
      <c r="D699" s="75" t="s">
        <v>1288</v>
      </c>
      <c r="E699" s="75" t="s">
        <v>580</v>
      </c>
      <c r="G699" s="76">
        <v>16.41</v>
      </c>
      <c r="L699" s="77"/>
    </row>
    <row r="700" spans="1:12" ht="15">
      <c r="A700" s="74"/>
      <c r="D700" s="75" t="s">
        <v>1289</v>
      </c>
      <c r="E700" s="75" t="s">
        <v>4</v>
      </c>
      <c r="G700" s="76">
        <v>1.4</v>
      </c>
      <c r="L700" s="77"/>
    </row>
    <row r="701" spans="1:75" ht="13.5" customHeight="1">
      <c r="A701" s="1" t="s">
        <v>1290</v>
      </c>
      <c r="B701" s="2" t="s">
        <v>84</v>
      </c>
      <c r="C701" s="2" t="s">
        <v>1291</v>
      </c>
      <c r="D701" s="108" t="s">
        <v>1292</v>
      </c>
      <c r="E701" s="103"/>
      <c r="F701" s="2" t="s">
        <v>214</v>
      </c>
      <c r="G701" s="38">
        <f>'Stavební rozpočet'!G701</f>
        <v>34.3</v>
      </c>
      <c r="H701" s="38">
        <f>'Stavební rozpočet'!H701</f>
        <v>0</v>
      </c>
      <c r="I701" s="38">
        <f>G701*H701</f>
        <v>0</v>
      </c>
      <c r="J701" s="38">
        <f>'Stavební rozpočet'!J701</f>
        <v>0.00032</v>
      </c>
      <c r="K701" s="38">
        <f>G701*J701</f>
        <v>0.010976</v>
      </c>
      <c r="L701" s="71" t="s">
        <v>207</v>
      </c>
      <c r="Z701" s="38">
        <f>IF(AQ701="5",BJ701,0)</f>
        <v>0</v>
      </c>
      <c r="AB701" s="38">
        <f>IF(AQ701="1",BH701,0)</f>
        <v>0</v>
      </c>
      <c r="AC701" s="38">
        <f>IF(AQ701="1",BI701,0)</f>
        <v>0</v>
      </c>
      <c r="AD701" s="38">
        <f>IF(AQ701="7",BH701,0)</f>
        <v>0</v>
      </c>
      <c r="AE701" s="38">
        <f>IF(AQ701="7",BI701,0)</f>
        <v>0</v>
      </c>
      <c r="AF701" s="38">
        <f>IF(AQ701="2",BH701,0)</f>
        <v>0</v>
      </c>
      <c r="AG701" s="38">
        <f>IF(AQ701="2",BI701,0)</f>
        <v>0</v>
      </c>
      <c r="AH701" s="38">
        <f>IF(AQ701="0",BJ701,0)</f>
        <v>0</v>
      </c>
      <c r="AI701" s="50" t="s">
        <v>84</v>
      </c>
      <c r="AJ701" s="38">
        <f>IF(AN701=0,I701,0)</f>
        <v>0</v>
      </c>
      <c r="AK701" s="38">
        <f>IF(AN701=12,I701,0)</f>
        <v>0</v>
      </c>
      <c r="AL701" s="38">
        <f>IF(AN701=21,I701,0)</f>
        <v>0</v>
      </c>
      <c r="AN701" s="38">
        <v>21</v>
      </c>
      <c r="AO701" s="38">
        <f>H701*0.079321569</f>
        <v>0</v>
      </c>
      <c r="AP701" s="38">
        <f>H701*(1-0.079321569)</f>
        <v>0</v>
      </c>
      <c r="AQ701" s="72" t="s">
        <v>169</v>
      </c>
      <c r="AV701" s="38">
        <f>AW701+AX701</f>
        <v>0</v>
      </c>
      <c r="AW701" s="38">
        <f>G701*AO701</f>
        <v>0</v>
      </c>
      <c r="AX701" s="38">
        <f>G701*AP701</f>
        <v>0</v>
      </c>
      <c r="AY701" s="72" t="s">
        <v>1277</v>
      </c>
      <c r="AZ701" s="72" t="s">
        <v>1278</v>
      </c>
      <c r="BA701" s="50" t="s">
        <v>139</v>
      </c>
      <c r="BB701" s="73">
        <v>100029</v>
      </c>
      <c r="BC701" s="38">
        <f>AW701+AX701</f>
        <v>0</v>
      </c>
      <c r="BD701" s="38">
        <f>H701/(100-BE701)*100</f>
        <v>0</v>
      </c>
      <c r="BE701" s="38">
        <v>0</v>
      </c>
      <c r="BF701" s="38">
        <f>K701</f>
        <v>0.010976</v>
      </c>
      <c r="BH701" s="38">
        <f>G701*AO701</f>
        <v>0</v>
      </c>
      <c r="BI701" s="38">
        <f>G701*AP701</f>
        <v>0</v>
      </c>
      <c r="BJ701" s="38">
        <f>G701*H701</f>
        <v>0</v>
      </c>
      <c r="BK701" s="38"/>
      <c r="BL701" s="38">
        <v>771</v>
      </c>
      <c r="BW701" s="38">
        <v>21</v>
      </c>
    </row>
    <row r="702" spans="1:12" ht="13.5" customHeight="1">
      <c r="A702" s="74"/>
      <c r="D702" s="194" t="s">
        <v>1293</v>
      </c>
      <c r="E702" s="195"/>
      <c r="F702" s="195"/>
      <c r="G702" s="195"/>
      <c r="H702" s="195"/>
      <c r="I702" s="195"/>
      <c r="J702" s="195"/>
      <c r="K702" s="195"/>
      <c r="L702" s="197"/>
    </row>
    <row r="703" spans="1:12" ht="15">
      <c r="A703" s="74"/>
      <c r="D703" s="75" t="s">
        <v>1294</v>
      </c>
      <c r="E703" s="75" t="s">
        <v>1295</v>
      </c>
      <c r="G703" s="76">
        <v>34.3</v>
      </c>
      <c r="L703" s="77"/>
    </row>
    <row r="704" spans="1:75" ht="13.5" customHeight="1">
      <c r="A704" s="1" t="s">
        <v>1296</v>
      </c>
      <c r="B704" s="2" t="s">
        <v>84</v>
      </c>
      <c r="C704" s="2" t="s">
        <v>1297</v>
      </c>
      <c r="D704" s="108" t="s">
        <v>1298</v>
      </c>
      <c r="E704" s="103"/>
      <c r="F704" s="2" t="s">
        <v>263</v>
      </c>
      <c r="G704" s="38">
        <f>'Stavební rozpočet'!G704</f>
        <v>12.65</v>
      </c>
      <c r="H704" s="38">
        <f>'Stavební rozpočet'!H704</f>
        <v>0</v>
      </c>
      <c r="I704" s="38">
        <f>G704*H704</f>
        <v>0</v>
      </c>
      <c r="J704" s="38">
        <f>'Stavební rozpočet'!J704</f>
        <v>0.06378</v>
      </c>
      <c r="K704" s="38">
        <f>G704*J704</f>
        <v>0.8068170000000001</v>
      </c>
      <c r="L704" s="71" t="s">
        <v>207</v>
      </c>
      <c r="Z704" s="38">
        <f>IF(AQ704="5",BJ704,0)</f>
        <v>0</v>
      </c>
      <c r="AB704" s="38">
        <f>IF(AQ704="1",BH704,0)</f>
        <v>0</v>
      </c>
      <c r="AC704" s="38">
        <f>IF(AQ704="1",BI704,0)</f>
        <v>0</v>
      </c>
      <c r="AD704" s="38">
        <f>IF(AQ704="7",BH704,0)</f>
        <v>0</v>
      </c>
      <c r="AE704" s="38">
        <f>IF(AQ704="7",BI704,0)</f>
        <v>0</v>
      </c>
      <c r="AF704" s="38">
        <f>IF(AQ704="2",BH704,0)</f>
        <v>0</v>
      </c>
      <c r="AG704" s="38">
        <f>IF(AQ704="2",BI704,0)</f>
        <v>0</v>
      </c>
      <c r="AH704" s="38">
        <f>IF(AQ704="0",BJ704,0)</f>
        <v>0</v>
      </c>
      <c r="AI704" s="50" t="s">
        <v>84</v>
      </c>
      <c r="AJ704" s="38">
        <f>IF(AN704=0,I704,0)</f>
        <v>0</v>
      </c>
      <c r="AK704" s="38">
        <f>IF(AN704=12,I704,0)</f>
        <v>0</v>
      </c>
      <c r="AL704" s="38">
        <f>IF(AN704=21,I704,0)</f>
        <v>0</v>
      </c>
      <c r="AN704" s="38">
        <v>21</v>
      </c>
      <c r="AO704" s="38">
        <f>H704*0.137629299</f>
        <v>0</v>
      </c>
      <c r="AP704" s="38">
        <f>H704*(1-0.137629299)</f>
        <v>0</v>
      </c>
      <c r="AQ704" s="72" t="s">
        <v>169</v>
      </c>
      <c r="AV704" s="38">
        <f>AW704+AX704</f>
        <v>0</v>
      </c>
      <c r="AW704" s="38">
        <f>G704*AO704</f>
        <v>0</v>
      </c>
      <c r="AX704" s="38">
        <f>G704*AP704</f>
        <v>0</v>
      </c>
      <c r="AY704" s="72" t="s">
        <v>1277</v>
      </c>
      <c r="AZ704" s="72" t="s">
        <v>1278</v>
      </c>
      <c r="BA704" s="50" t="s">
        <v>139</v>
      </c>
      <c r="BB704" s="73">
        <v>100029</v>
      </c>
      <c r="BC704" s="38">
        <f>AW704+AX704</f>
        <v>0</v>
      </c>
      <c r="BD704" s="38">
        <f>H704/(100-BE704)*100</f>
        <v>0</v>
      </c>
      <c r="BE704" s="38">
        <v>0</v>
      </c>
      <c r="BF704" s="38">
        <f>K704</f>
        <v>0.8068170000000001</v>
      </c>
      <c r="BH704" s="38">
        <f>G704*AO704</f>
        <v>0</v>
      </c>
      <c r="BI704" s="38">
        <f>G704*AP704</f>
        <v>0</v>
      </c>
      <c r="BJ704" s="38">
        <f>G704*H704</f>
        <v>0</v>
      </c>
      <c r="BK704" s="38"/>
      <c r="BL704" s="38">
        <v>771</v>
      </c>
      <c r="BW704" s="38">
        <v>21</v>
      </c>
    </row>
    <row r="705" spans="1:12" ht="15">
      <c r="A705" s="74"/>
      <c r="D705" s="75" t="s">
        <v>1299</v>
      </c>
      <c r="E705" s="75" t="s">
        <v>1300</v>
      </c>
      <c r="G705" s="76">
        <v>12.65</v>
      </c>
      <c r="L705" s="77"/>
    </row>
    <row r="706" spans="1:75" ht="13.5" customHeight="1">
      <c r="A706" s="78" t="s">
        <v>1301</v>
      </c>
      <c r="B706" s="79" t="s">
        <v>84</v>
      </c>
      <c r="C706" s="79" t="s">
        <v>1302</v>
      </c>
      <c r="D706" s="198" t="s">
        <v>1303</v>
      </c>
      <c r="E706" s="199"/>
      <c r="F706" s="79" t="s">
        <v>263</v>
      </c>
      <c r="G706" s="80">
        <f>'Stavební rozpočet'!G706</f>
        <v>17.65</v>
      </c>
      <c r="H706" s="80">
        <f>'Stavební rozpočet'!H706</f>
        <v>0</v>
      </c>
      <c r="I706" s="80">
        <f>G706*H706</f>
        <v>0</v>
      </c>
      <c r="J706" s="80">
        <f>'Stavební rozpočet'!J706</f>
        <v>0.059</v>
      </c>
      <c r="K706" s="80">
        <f>G706*J706</f>
        <v>1.0413499999999998</v>
      </c>
      <c r="L706" s="82" t="s">
        <v>136</v>
      </c>
      <c r="Z706" s="38">
        <f>IF(AQ706="5",BJ706,0)</f>
        <v>0</v>
      </c>
      <c r="AB706" s="38">
        <f>IF(AQ706="1",BH706,0)</f>
        <v>0</v>
      </c>
      <c r="AC706" s="38">
        <f>IF(AQ706="1",BI706,0)</f>
        <v>0</v>
      </c>
      <c r="AD706" s="38">
        <f>IF(AQ706="7",BH706,0)</f>
        <v>0</v>
      </c>
      <c r="AE706" s="38">
        <f>IF(AQ706="7",BI706,0)</f>
        <v>0</v>
      </c>
      <c r="AF706" s="38">
        <f>IF(AQ706="2",BH706,0)</f>
        <v>0</v>
      </c>
      <c r="AG706" s="38">
        <f>IF(AQ706="2",BI706,0)</f>
        <v>0</v>
      </c>
      <c r="AH706" s="38">
        <f>IF(AQ706="0",BJ706,0)</f>
        <v>0</v>
      </c>
      <c r="AI706" s="50" t="s">
        <v>84</v>
      </c>
      <c r="AJ706" s="80">
        <f>IF(AN706=0,I706,0)</f>
        <v>0</v>
      </c>
      <c r="AK706" s="80">
        <f>IF(AN706=12,I706,0)</f>
        <v>0</v>
      </c>
      <c r="AL706" s="80">
        <f>IF(AN706=21,I706,0)</f>
        <v>0</v>
      </c>
      <c r="AN706" s="38">
        <v>21</v>
      </c>
      <c r="AO706" s="38">
        <f>H706*1</f>
        <v>0</v>
      </c>
      <c r="AP706" s="38">
        <f>H706*(1-1)</f>
        <v>0</v>
      </c>
      <c r="AQ706" s="83" t="s">
        <v>169</v>
      </c>
      <c r="AV706" s="38">
        <f>AW706+AX706</f>
        <v>0</v>
      </c>
      <c r="AW706" s="38">
        <f>G706*AO706</f>
        <v>0</v>
      </c>
      <c r="AX706" s="38">
        <f>G706*AP706</f>
        <v>0</v>
      </c>
      <c r="AY706" s="72" t="s">
        <v>1277</v>
      </c>
      <c r="AZ706" s="72" t="s">
        <v>1278</v>
      </c>
      <c r="BA706" s="50" t="s">
        <v>139</v>
      </c>
      <c r="BC706" s="38">
        <f>AW706+AX706</f>
        <v>0</v>
      </c>
      <c r="BD706" s="38">
        <f>H706/(100-BE706)*100</f>
        <v>0</v>
      </c>
      <c r="BE706" s="38">
        <v>0</v>
      </c>
      <c r="BF706" s="38">
        <f>K706</f>
        <v>1.0413499999999998</v>
      </c>
      <c r="BH706" s="80">
        <f>G706*AO706</f>
        <v>0</v>
      </c>
      <c r="BI706" s="80">
        <f>G706*AP706</f>
        <v>0</v>
      </c>
      <c r="BJ706" s="80">
        <f>G706*H706</f>
        <v>0</v>
      </c>
      <c r="BK706" s="80"/>
      <c r="BL706" s="38">
        <v>771</v>
      </c>
      <c r="BW706" s="38">
        <v>21</v>
      </c>
    </row>
    <row r="707" spans="1:12" ht="15">
      <c r="A707" s="74"/>
      <c r="D707" s="75" t="s">
        <v>1299</v>
      </c>
      <c r="E707" s="75" t="s">
        <v>1304</v>
      </c>
      <c r="G707" s="76">
        <v>12.65</v>
      </c>
      <c r="L707" s="77"/>
    </row>
    <row r="708" spans="1:12" ht="15">
      <c r="A708" s="74"/>
      <c r="D708" s="75" t="s">
        <v>1305</v>
      </c>
      <c r="E708" s="75" t="s">
        <v>1306</v>
      </c>
      <c r="G708" s="76">
        <v>3.4</v>
      </c>
      <c r="L708" s="77"/>
    </row>
    <row r="709" spans="1:12" ht="15">
      <c r="A709" s="74"/>
      <c r="D709" s="75" t="s">
        <v>1307</v>
      </c>
      <c r="E709" s="75" t="s">
        <v>4</v>
      </c>
      <c r="G709" s="76">
        <v>1.6</v>
      </c>
      <c r="L709" s="77"/>
    </row>
    <row r="710" spans="1:75" ht="13.5" customHeight="1">
      <c r="A710" s="1" t="s">
        <v>1308</v>
      </c>
      <c r="B710" s="2" t="s">
        <v>84</v>
      </c>
      <c r="C710" s="2" t="s">
        <v>1309</v>
      </c>
      <c r="D710" s="108" t="s">
        <v>1310</v>
      </c>
      <c r="E710" s="103"/>
      <c r="F710" s="2" t="s">
        <v>263</v>
      </c>
      <c r="G710" s="38">
        <f>'Stavební rozpočet'!G710</f>
        <v>218.48</v>
      </c>
      <c r="H710" s="38">
        <f>'Stavební rozpočet'!H710</f>
        <v>0</v>
      </c>
      <c r="I710" s="38">
        <f>G710*H710</f>
        <v>0</v>
      </c>
      <c r="J710" s="38">
        <f>'Stavební rozpočet'!J710</f>
        <v>0</v>
      </c>
      <c r="K710" s="38">
        <f>G710*J710</f>
        <v>0</v>
      </c>
      <c r="L710" s="71" t="s">
        <v>136</v>
      </c>
      <c r="Z710" s="38">
        <f>IF(AQ710="5",BJ710,0)</f>
        <v>0</v>
      </c>
      <c r="AB710" s="38">
        <f>IF(AQ710="1",BH710,0)</f>
        <v>0</v>
      </c>
      <c r="AC710" s="38">
        <f>IF(AQ710="1",BI710,0)</f>
        <v>0</v>
      </c>
      <c r="AD710" s="38">
        <f>IF(AQ710="7",BH710,0)</f>
        <v>0</v>
      </c>
      <c r="AE710" s="38">
        <f>IF(AQ710="7",BI710,0)</f>
        <v>0</v>
      </c>
      <c r="AF710" s="38">
        <f>IF(AQ710="2",BH710,0)</f>
        <v>0</v>
      </c>
      <c r="AG710" s="38">
        <f>IF(AQ710="2",BI710,0)</f>
        <v>0</v>
      </c>
      <c r="AH710" s="38">
        <f>IF(AQ710="0",BJ710,0)</f>
        <v>0</v>
      </c>
      <c r="AI710" s="50" t="s">
        <v>84</v>
      </c>
      <c r="AJ710" s="38">
        <f>IF(AN710=0,I710,0)</f>
        <v>0</v>
      </c>
      <c r="AK710" s="38">
        <f>IF(AN710=12,I710,0)</f>
        <v>0</v>
      </c>
      <c r="AL710" s="38">
        <f>IF(AN710=21,I710,0)</f>
        <v>0</v>
      </c>
      <c r="AN710" s="38">
        <v>21</v>
      </c>
      <c r="AO710" s="38">
        <f>H710*0</f>
        <v>0</v>
      </c>
      <c r="AP710" s="38">
        <f>H710*(1-0)</f>
        <v>0</v>
      </c>
      <c r="AQ710" s="72" t="s">
        <v>169</v>
      </c>
      <c r="AV710" s="38">
        <f>AW710+AX710</f>
        <v>0</v>
      </c>
      <c r="AW710" s="38">
        <f>G710*AO710</f>
        <v>0</v>
      </c>
      <c r="AX710" s="38">
        <f>G710*AP710</f>
        <v>0</v>
      </c>
      <c r="AY710" s="72" t="s">
        <v>1277</v>
      </c>
      <c r="AZ710" s="72" t="s">
        <v>1278</v>
      </c>
      <c r="BA710" s="50" t="s">
        <v>139</v>
      </c>
      <c r="BB710" s="73">
        <v>100029</v>
      </c>
      <c r="BC710" s="38">
        <f>AW710+AX710</f>
        <v>0</v>
      </c>
      <c r="BD710" s="38">
        <f>H710/(100-BE710)*100</f>
        <v>0</v>
      </c>
      <c r="BE710" s="38">
        <v>0</v>
      </c>
      <c r="BF710" s="38">
        <f>K710</f>
        <v>0</v>
      </c>
      <c r="BH710" s="38">
        <f>G710*AO710</f>
        <v>0</v>
      </c>
      <c r="BI710" s="38">
        <f>G710*AP710</f>
        <v>0</v>
      </c>
      <c r="BJ710" s="38">
        <f>G710*H710</f>
        <v>0</v>
      </c>
      <c r="BK710" s="38"/>
      <c r="BL710" s="38">
        <v>771</v>
      </c>
      <c r="BW710" s="38">
        <v>21</v>
      </c>
    </row>
    <row r="711" spans="1:12" ht="13.5" customHeight="1">
      <c r="A711" s="74"/>
      <c r="D711" s="194" t="s">
        <v>1311</v>
      </c>
      <c r="E711" s="195"/>
      <c r="F711" s="195"/>
      <c r="G711" s="195"/>
      <c r="H711" s="195"/>
      <c r="I711" s="195"/>
      <c r="J711" s="195"/>
      <c r="K711" s="195"/>
      <c r="L711" s="197"/>
    </row>
    <row r="712" spans="1:12" ht="15">
      <c r="A712" s="74"/>
      <c r="D712" s="75" t="s">
        <v>1312</v>
      </c>
      <c r="E712" s="75" t="s">
        <v>847</v>
      </c>
      <c r="G712" s="76">
        <v>183.6</v>
      </c>
      <c r="L712" s="77"/>
    </row>
    <row r="713" spans="1:12" ht="15">
      <c r="A713" s="74"/>
      <c r="D713" s="75" t="s">
        <v>1313</v>
      </c>
      <c r="E713" s="75" t="s">
        <v>1314</v>
      </c>
      <c r="G713" s="76">
        <v>3.48</v>
      </c>
      <c r="L713" s="77"/>
    </row>
    <row r="714" spans="1:12" ht="15">
      <c r="A714" s="74"/>
      <c r="D714" s="75" t="s">
        <v>1315</v>
      </c>
      <c r="E714" s="75" t="s">
        <v>1236</v>
      </c>
      <c r="G714" s="76">
        <v>19.3</v>
      </c>
      <c r="L714" s="77"/>
    </row>
    <row r="715" spans="1:12" ht="15">
      <c r="A715" s="74"/>
      <c r="D715" s="75" t="s">
        <v>1316</v>
      </c>
      <c r="E715" s="75" t="s">
        <v>1317</v>
      </c>
      <c r="G715" s="76">
        <v>4</v>
      </c>
      <c r="L715" s="77"/>
    </row>
    <row r="716" spans="1:12" ht="15">
      <c r="A716" s="74"/>
      <c r="D716" s="75" t="s">
        <v>1318</v>
      </c>
      <c r="E716" s="75" t="s">
        <v>1319</v>
      </c>
      <c r="G716" s="76">
        <v>8.1</v>
      </c>
      <c r="L716" s="77"/>
    </row>
    <row r="717" spans="1:75" ht="13.5" customHeight="1">
      <c r="A717" s="78" t="s">
        <v>1320</v>
      </c>
      <c r="B717" s="79" t="s">
        <v>84</v>
      </c>
      <c r="C717" s="79" t="s">
        <v>1321</v>
      </c>
      <c r="D717" s="198" t="s">
        <v>1322</v>
      </c>
      <c r="E717" s="199"/>
      <c r="F717" s="79" t="s">
        <v>263</v>
      </c>
      <c r="G717" s="80">
        <f>'Stavební rozpočet'!G717</f>
        <v>275.42</v>
      </c>
      <c r="H717" s="80">
        <f>'Stavební rozpočet'!H717</f>
        <v>0</v>
      </c>
      <c r="I717" s="80">
        <f>G717*H717</f>
        <v>0</v>
      </c>
      <c r="J717" s="80">
        <f>'Stavební rozpočet'!J717</f>
        <v>0.0182</v>
      </c>
      <c r="K717" s="80">
        <f>G717*J717</f>
        <v>5.012644000000001</v>
      </c>
      <c r="L717" s="82" t="s">
        <v>829</v>
      </c>
      <c r="Z717" s="38">
        <f>IF(AQ717="5",BJ717,0)</f>
        <v>0</v>
      </c>
      <c r="AB717" s="38">
        <f>IF(AQ717="1",BH717,0)</f>
        <v>0</v>
      </c>
      <c r="AC717" s="38">
        <f>IF(AQ717="1",BI717,0)</f>
        <v>0</v>
      </c>
      <c r="AD717" s="38">
        <f>IF(AQ717="7",BH717,0)</f>
        <v>0</v>
      </c>
      <c r="AE717" s="38">
        <f>IF(AQ717="7",BI717,0)</f>
        <v>0</v>
      </c>
      <c r="AF717" s="38">
        <f>IF(AQ717="2",BH717,0)</f>
        <v>0</v>
      </c>
      <c r="AG717" s="38">
        <f>IF(AQ717="2",BI717,0)</f>
        <v>0</v>
      </c>
      <c r="AH717" s="38">
        <f>IF(AQ717="0",BJ717,0)</f>
        <v>0</v>
      </c>
      <c r="AI717" s="50" t="s">
        <v>84</v>
      </c>
      <c r="AJ717" s="80">
        <f>IF(AN717=0,I717,0)</f>
        <v>0</v>
      </c>
      <c r="AK717" s="80">
        <f>IF(AN717=12,I717,0)</f>
        <v>0</v>
      </c>
      <c r="AL717" s="80">
        <f>IF(AN717=21,I717,0)</f>
        <v>0</v>
      </c>
      <c r="AN717" s="38">
        <v>21</v>
      </c>
      <c r="AO717" s="38">
        <f>H717*1</f>
        <v>0</v>
      </c>
      <c r="AP717" s="38">
        <f>H717*(1-1)</f>
        <v>0</v>
      </c>
      <c r="AQ717" s="83" t="s">
        <v>169</v>
      </c>
      <c r="AV717" s="38">
        <f>AW717+AX717</f>
        <v>0</v>
      </c>
      <c r="AW717" s="38">
        <f>G717*AO717</f>
        <v>0</v>
      </c>
      <c r="AX717" s="38">
        <f>G717*AP717</f>
        <v>0</v>
      </c>
      <c r="AY717" s="72" t="s">
        <v>1277</v>
      </c>
      <c r="AZ717" s="72" t="s">
        <v>1278</v>
      </c>
      <c r="BA717" s="50" t="s">
        <v>139</v>
      </c>
      <c r="BC717" s="38">
        <f>AW717+AX717</f>
        <v>0</v>
      </c>
      <c r="BD717" s="38">
        <f>H717/(100-BE717)*100</f>
        <v>0</v>
      </c>
      <c r="BE717" s="38">
        <v>0</v>
      </c>
      <c r="BF717" s="38">
        <f>K717</f>
        <v>5.012644000000001</v>
      </c>
      <c r="BH717" s="80">
        <f>G717*AO717</f>
        <v>0</v>
      </c>
      <c r="BI717" s="80">
        <f>G717*AP717</f>
        <v>0</v>
      </c>
      <c r="BJ717" s="80">
        <f>G717*H717</f>
        <v>0</v>
      </c>
      <c r="BK717" s="80"/>
      <c r="BL717" s="38">
        <v>771</v>
      </c>
      <c r="BW717" s="38">
        <v>21</v>
      </c>
    </row>
    <row r="718" spans="1:12" ht="15">
      <c r="A718" s="74"/>
      <c r="D718" s="75" t="s">
        <v>1323</v>
      </c>
      <c r="E718" s="75" t="s">
        <v>1324</v>
      </c>
      <c r="G718" s="76">
        <v>218.48</v>
      </c>
      <c r="L718" s="77"/>
    </row>
    <row r="719" spans="1:12" ht="15">
      <c r="A719" s="74"/>
      <c r="D719" s="75" t="s">
        <v>1325</v>
      </c>
      <c r="E719" s="75" t="s">
        <v>1326</v>
      </c>
      <c r="G719" s="76">
        <v>13.59</v>
      </c>
      <c r="L719" s="77"/>
    </row>
    <row r="720" spans="1:12" ht="15">
      <c r="A720" s="74"/>
      <c r="D720" s="75" t="s">
        <v>1327</v>
      </c>
      <c r="E720" s="75" t="s">
        <v>1328</v>
      </c>
      <c r="G720" s="76">
        <v>0.97</v>
      </c>
      <c r="L720" s="77"/>
    </row>
    <row r="721" spans="1:12" ht="15">
      <c r="A721" s="74"/>
      <c r="D721" s="75" t="s">
        <v>1329</v>
      </c>
      <c r="E721" s="75" t="s">
        <v>4</v>
      </c>
      <c r="G721" s="76">
        <v>35.92</v>
      </c>
      <c r="L721" s="77"/>
    </row>
    <row r="722" spans="1:12" ht="15">
      <c r="A722" s="74"/>
      <c r="D722" s="75" t="s">
        <v>1330</v>
      </c>
      <c r="E722" s="75" t="s">
        <v>1331</v>
      </c>
      <c r="G722" s="76">
        <v>6.46</v>
      </c>
      <c r="L722" s="77"/>
    </row>
    <row r="723" spans="1:75" ht="13.5" customHeight="1">
      <c r="A723" s="1" t="s">
        <v>1332</v>
      </c>
      <c r="B723" s="2" t="s">
        <v>84</v>
      </c>
      <c r="C723" s="2" t="s">
        <v>1333</v>
      </c>
      <c r="D723" s="108" t="s">
        <v>1334</v>
      </c>
      <c r="E723" s="103"/>
      <c r="F723" s="2" t="s">
        <v>214</v>
      </c>
      <c r="G723" s="38">
        <f>'Stavební rozpočet'!G723</f>
        <v>169.9</v>
      </c>
      <c r="H723" s="38">
        <f>'Stavební rozpočet'!H723</f>
        <v>0</v>
      </c>
      <c r="I723" s="38">
        <f>G723*H723</f>
        <v>0</v>
      </c>
      <c r="J723" s="38">
        <f>'Stavební rozpočet'!J723</f>
        <v>0.00032</v>
      </c>
      <c r="K723" s="38">
        <f>G723*J723</f>
        <v>0.05436800000000001</v>
      </c>
      <c r="L723" s="71" t="s">
        <v>136</v>
      </c>
      <c r="Z723" s="38">
        <f>IF(AQ723="5",BJ723,0)</f>
        <v>0</v>
      </c>
      <c r="AB723" s="38">
        <f>IF(AQ723="1",BH723,0)</f>
        <v>0</v>
      </c>
      <c r="AC723" s="38">
        <f>IF(AQ723="1",BI723,0)</f>
        <v>0</v>
      </c>
      <c r="AD723" s="38">
        <f>IF(AQ723="7",BH723,0)</f>
        <v>0</v>
      </c>
      <c r="AE723" s="38">
        <f>IF(AQ723="7",BI723,0)</f>
        <v>0</v>
      </c>
      <c r="AF723" s="38">
        <f>IF(AQ723="2",BH723,0)</f>
        <v>0</v>
      </c>
      <c r="AG723" s="38">
        <f>IF(AQ723="2",BI723,0)</f>
        <v>0</v>
      </c>
      <c r="AH723" s="38">
        <f>IF(AQ723="0",BJ723,0)</f>
        <v>0</v>
      </c>
      <c r="AI723" s="50" t="s">
        <v>84</v>
      </c>
      <c r="AJ723" s="38">
        <f>IF(AN723=0,I723,0)</f>
        <v>0</v>
      </c>
      <c r="AK723" s="38">
        <f>IF(AN723=12,I723,0)</f>
        <v>0</v>
      </c>
      <c r="AL723" s="38">
        <f>IF(AN723=21,I723,0)</f>
        <v>0</v>
      </c>
      <c r="AN723" s="38">
        <v>21</v>
      </c>
      <c r="AO723" s="38">
        <f>H723*0.104564171</f>
        <v>0</v>
      </c>
      <c r="AP723" s="38">
        <f>H723*(1-0.104564171)</f>
        <v>0</v>
      </c>
      <c r="AQ723" s="72" t="s">
        <v>169</v>
      </c>
      <c r="AV723" s="38">
        <f>AW723+AX723</f>
        <v>0</v>
      </c>
      <c r="AW723" s="38">
        <f>G723*AO723</f>
        <v>0</v>
      </c>
      <c r="AX723" s="38">
        <f>G723*AP723</f>
        <v>0</v>
      </c>
      <c r="AY723" s="72" t="s">
        <v>1277</v>
      </c>
      <c r="AZ723" s="72" t="s">
        <v>1278</v>
      </c>
      <c r="BA723" s="50" t="s">
        <v>139</v>
      </c>
      <c r="BB723" s="73">
        <v>100029</v>
      </c>
      <c r="BC723" s="38">
        <f>AW723+AX723</f>
        <v>0</v>
      </c>
      <c r="BD723" s="38">
        <f>H723/(100-BE723)*100</f>
        <v>0</v>
      </c>
      <c r="BE723" s="38">
        <v>0</v>
      </c>
      <c r="BF723" s="38">
        <f>K723</f>
        <v>0.05436800000000001</v>
      </c>
      <c r="BH723" s="38">
        <f>G723*AO723</f>
        <v>0</v>
      </c>
      <c r="BI723" s="38">
        <f>G723*AP723</f>
        <v>0</v>
      </c>
      <c r="BJ723" s="38">
        <f>G723*H723</f>
        <v>0</v>
      </c>
      <c r="BK723" s="38"/>
      <c r="BL723" s="38">
        <v>771</v>
      </c>
      <c r="BW723" s="38">
        <v>21</v>
      </c>
    </row>
    <row r="724" spans="1:12" ht="13.5" customHeight="1">
      <c r="A724" s="74"/>
      <c r="D724" s="194" t="s">
        <v>1311</v>
      </c>
      <c r="E724" s="195"/>
      <c r="F724" s="195"/>
      <c r="G724" s="195"/>
      <c r="H724" s="195"/>
      <c r="I724" s="195"/>
      <c r="J724" s="195"/>
      <c r="K724" s="195"/>
      <c r="L724" s="197"/>
    </row>
    <row r="725" spans="1:12" ht="15">
      <c r="A725" s="74"/>
      <c r="D725" s="75" t="s">
        <v>1335</v>
      </c>
      <c r="E725" s="75" t="s">
        <v>847</v>
      </c>
      <c r="G725" s="76">
        <v>131.7</v>
      </c>
      <c r="L725" s="77"/>
    </row>
    <row r="726" spans="1:12" ht="15">
      <c r="A726" s="74"/>
      <c r="D726" s="75" t="s">
        <v>1336</v>
      </c>
      <c r="E726" s="75" t="s">
        <v>1337</v>
      </c>
      <c r="G726" s="76">
        <v>5.28</v>
      </c>
      <c r="L726" s="77"/>
    </row>
    <row r="727" spans="1:12" ht="15">
      <c r="A727" s="74"/>
      <c r="D727" s="75" t="s">
        <v>1338</v>
      </c>
      <c r="E727" s="75" t="s">
        <v>953</v>
      </c>
      <c r="G727" s="76">
        <v>26.39</v>
      </c>
      <c r="L727" s="77"/>
    </row>
    <row r="728" spans="1:12" ht="15">
      <c r="A728" s="74"/>
      <c r="D728" s="75" t="s">
        <v>1339</v>
      </c>
      <c r="E728" s="75" t="s">
        <v>1340</v>
      </c>
      <c r="G728" s="76">
        <v>6.53</v>
      </c>
      <c r="L728" s="77"/>
    </row>
    <row r="729" spans="1:75" ht="13.5" customHeight="1">
      <c r="A729" s="1" t="s">
        <v>1341</v>
      </c>
      <c r="B729" s="2" t="s">
        <v>84</v>
      </c>
      <c r="C729" s="2" t="s">
        <v>1342</v>
      </c>
      <c r="D729" s="108" t="s">
        <v>1343</v>
      </c>
      <c r="E729" s="103"/>
      <c r="F729" s="2" t="s">
        <v>214</v>
      </c>
      <c r="G729" s="38">
        <f>'Stavební rozpočet'!G729</f>
        <v>197.72</v>
      </c>
      <c r="H729" s="38">
        <f>'Stavební rozpočet'!H729</f>
        <v>0</v>
      </c>
      <c r="I729" s="38">
        <f>G729*H729</f>
        <v>0</v>
      </c>
      <c r="J729" s="38">
        <f>'Stavební rozpočet'!J729</f>
        <v>4E-05</v>
      </c>
      <c r="K729" s="38">
        <f>G729*J729</f>
        <v>0.0079088</v>
      </c>
      <c r="L729" s="71" t="s">
        <v>136</v>
      </c>
      <c r="Z729" s="38">
        <f>IF(AQ729="5",BJ729,0)</f>
        <v>0</v>
      </c>
      <c r="AB729" s="38">
        <f>IF(AQ729="1",BH729,0)</f>
        <v>0</v>
      </c>
      <c r="AC729" s="38">
        <f>IF(AQ729="1",BI729,0)</f>
        <v>0</v>
      </c>
      <c r="AD729" s="38">
        <f>IF(AQ729="7",BH729,0)</f>
        <v>0</v>
      </c>
      <c r="AE729" s="38">
        <f>IF(AQ729="7",BI729,0)</f>
        <v>0</v>
      </c>
      <c r="AF729" s="38">
        <f>IF(AQ729="2",BH729,0)</f>
        <v>0</v>
      </c>
      <c r="AG729" s="38">
        <f>IF(AQ729="2",BI729,0)</f>
        <v>0</v>
      </c>
      <c r="AH729" s="38">
        <f>IF(AQ729="0",BJ729,0)</f>
        <v>0</v>
      </c>
      <c r="AI729" s="50" t="s">
        <v>84</v>
      </c>
      <c r="AJ729" s="38">
        <f>IF(AN729=0,I729,0)</f>
        <v>0</v>
      </c>
      <c r="AK729" s="38">
        <f>IF(AN729=12,I729,0)</f>
        <v>0</v>
      </c>
      <c r="AL729" s="38">
        <f>IF(AN729=21,I729,0)</f>
        <v>0</v>
      </c>
      <c r="AN729" s="38">
        <v>21</v>
      </c>
      <c r="AO729" s="38">
        <f>H729*0.500130205</f>
        <v>0</v>
      </c>
      <c r="AP729" s="38">
        <f>H729*(1-0.500130205)</f>
        <v>0</v>
      </c>
      <c r="AQ729" s="72" t="s">
        <v>169</v>
      </c>
      <c r="AV729" s="38">
        <f>AW729+AX729</f>
        <v>0</v>
      </c>
      <c r="AW729" s="38">
        <f>G729*AO729</f>
        <v>0</v>
      </c>
      <c r="AX729" s="38">
        <f>G729*AP729</f>
        <v>0</v>
      </c>
      <c r="AY729" s="72" t="s">
        <v>1277</v>
      </c>
      <c r="AZ729" s="72" t="s">
        <v>1278</v>
      </c>
      <c r="BA729" s="50" t="s">
        <v>139</v>
      </c>
      <c r="BB729" s="73">
        <v>100029</v>
      </c>
      <c r="BC729" s="38">
        <f>AW729+AX729</f>
        <v>0</v>
      </c>
      <c r="BD729" s="38">
        <f>H729/(100-BE729)*100</f>
        <v>0</v>
      </c>
      <c r="BE729" s="38">
        <v>0</v>
      </c>
      <c r="BF729" s="38">
        <f>K729</f>
        <v>0.0079088</v>
      </c>
      <c r="BH729" s="38">
        <f>G729*AO729</f>
        <v>0</v>
      </c>
      <c r="BI729" s="38">
        <f>G729*AP729</f>
        <v>0</v>
      </c>
      <c r="BJ729" s="38">
        <f>G729*H729</f>
        <v>0</v>
      </c>
      <c r="BK729" s="38"/>
      <c r="BL729" s="38">
        <v>771</v>
      </c>
      <c r="BW729" s="38">
        <v>21</v>
      </c>
    </row>
    <row r="730" spans="1:12" ht="13.5" customHeight="1">
      <c r="A730" s="74"/>
      <c r="D730" s="194" t="s">
        <v>1344</v>
      </c>
      <c r="E730" s="195"/>
      <c r="F730" s="195"/>
      <c r="G730" s="195"/>
      <c r="H730" s="195"/>
      <c r="I730" s="195"/>
      <c r="J730" s="195"/>
      <c r="K730" s="195"/>
      <c r="L730" s="197"/>
    </row>
    <row r="731" spans="1:12" ht="15">
      <c r="A731" s="74"/>
      <c r="D731" s="75" t="s">
        <v>1345</v>
      </c>
      <c r="E731" s="75" t="s">
        <v>847</v>
      </c>
      <c r="G731" s="76">
        <v>133.2</v>
      </c>
      <c r="L731" s="77"/>
    </row>
    <row r="732" spans="1:12" ht="15">
      <c r="A732" s="74"/>
      <c r="D732" s="75" t="s">
        <v>1346</v>
      </c>
      <c r="E732" s="75" t="s">
        <v>1347</v>
      </c>
      <c r="G732" s="76">
        <v>64.52</v>
      </c>
      <c r="L732" s="77"/>
    </row>
    <row r="733" spans="1:75" ht="13.5" customHeight="1">
      <c r="A733" s="1" t="s">
        <v>1348</v>
      </c>
      <c r="B733" s="2" t="s">
        <v>84</v>
      </c>
      <c r="C733" s="2" t="s">
        <v>1349</v>
      </c>
      <c r="D733" s="108" t="s">
        <v>1350</v>
      </c>
      <c r="E733" s="103"/>
      <c r="F733" s="2" t="s">
        <v>214</v>
      </c>
      <c r="G733" s="38">
        <f>'Stavební rozpočet'!G733</f>
        <v>20</v>
      </c>
      <c r="H733" s="38">
        <f>'Stavební rozpočet'!H733</f>
        <v>0</v>
      </c>
      <c r="I733" s="38">
        <f>G733*H733</f>
        <v>0</v>
      </c>
      <c r="J733" s="38">
        <f>'Stavební rozpočet'!J733</f>
        <v>0.00244</v>
      </c>
      <c r="K733" s="38">
        <f>G733*J733</f>
        <v>0.048799999999999996</v>
      </c>
      <c r="L733" s="71" t="s">
        <v>207</v>
      </c>
      <c r="Z733" s="38">
        <f>IF(AQ733="5",BJ733,0)</f>
        <v>0</v>
      </c>
      <c r="AB733" s="38">
        <f>IF(AQ733="1",BH733,0)</f>
        <v>0</v>
      </c>
      <c r="AC733" s="38">
        <f>IF(AQ733="1",BI733,0)</f>
        <v>0</v>
      </c>
      <c r="AD733" s="38">
        <f>IF(AQ733="7",BH733,0)</f>
        <v>0</v>
      </c>
      <c r="AE733" s="38">
        <f>IF(AQ733="7",BI733,0)</f>
        <v>0</v>
      </c>
      <c r="AF733" s="38">
        <f>IF(AQ733="2",BH733,0)</f>
        <v>0</v>
      </c>
      <c r="AG733" s="38">
        <f>IF(AQ733="2",BI733,0)</f>
        <v>0</v>
      </c>
      <c r="AH733" s="38">
        <f>IF(AQ733="0",BJ733,0)</f>
        <v>0</v>
      </c>
      <c r="AI733" s="50" t="s">
        <v>84</v>
      </c>
      <c r="AJ733" s="38">
        <f>IF(AN733=0,I733,0)</f>
        <v>0</v>
      </c>
      <c r="AK733" s="38">
        <f>IF(AN733=12,I733,0)</f>
        <v>0</v>
      </c>
      <c r="AL733" s="38">
        <f>IF(AN733=21,I733,0)</f>
        <v>0</v>
      </c>
      <c r="AN733" s="38">
        <v>21</v>
      </c>
      <c r="AO733" s="38">
        <f>H733*0.36562963</f>
        <v>0</v>
      </c>
      <c r="AP733" s="38">
        <f>H733*(1-0.36562963)</f>
        <v>0</v>
      </c>
      <c r="AQ733" s="72" t="s">
        <v>169</v>
      </c>
      <c r="AV733" s="38">
        <f>AW733+AX733</f>
        <v>0</v>
      </c>
      <c r="AW733" s="38">
        <f>G733*AO733</f>
        <v>0</v>
      </c>
      <c r="AX733" s="38">
        <f>G733*AP733</f>
        <v>0</v>
      </c>
      <c r="AY733" s="72" t="s">
        <v>1277</v>
      </c>
      <c r="AZ733" s="72" t="s">
        <v>1278</v>
      </c>
      <c r="BA733" s="50" t="s">
        <v>139</v>
      </c>
      <c r="BB733" s="73">
        <v>100029</v>
      </c>
      <c r="BC733" s="38">
        <f>AW733+AX733</f>
        <v>0</v>
      </c>
      <c r="BD733" s="38">
        <f>H733/(100-BE733)*100</f>
        <v>0</v>
      </c>
      <c r="BE733" s="38">
        <v>0</v>
      </c>
      <c r="BF733" s="38">
        <f>K733</f>
        <v>0.048799999999999996</v>
      </c>
      <c r="BH733" s="38">
        <f>G733*AO733</f>
        <v>0</v>
      </c>
      <c r="BI733" s="38">
        <f>G733*AP733</f>
        <v>0</v>
      </c>
      <c r="BJ733" s="38">
        <f>G733*H733</f>
        <v>0</v>
      </c>
      <c r="BK733" s="38"/>
      <c r="BL733" s="38">
        <v>771</v>
      </c>
      <c r="BW733" s="38">
        <v>21</v>
      </c>
    </row>
    <row r="734" spans="1:12" ht="15">
      <c r="A734" s="74"/>
      <c r="D734" s="75" t="s">
        <v>444</v>
      </c>
      <c r="E734" s="75" t="s">
        <v>454</v>
      </c>
      <c r="G734" s="76">
        <v>20</v>
      </c>
      <c r="L734" s="77"/>
    </row>
    <row r="735" spans="1:75" ht="13.5" customHeight="1">
      <c r="A735" s="78" t="s">
        <v>1351</v>
      </c>
      <c r="B735" s="79" t="s">
        <v>84</v>
      </c>
      <c r="C735" s="79" t="s">
        <v>1352</v>
      </c>
      <c r="D735" s="198" t="s">
        <v>1353</v>
      </c>
      <c r="E735" s="199"/>
      <c r="F735" s="79" t="s">
        <v>1097</v>
      </c>
      <c r="G735" s="80">
        <f>'Stavební rozpočet'!G735</f>
        <v>80</v>
      </c>
      <c r="H735" s="80">
        <f>'Stavební rozpočet'!H735</f>
        <v>0</v>
      </c>
      <c r="I735" s="80">
        <f>G735*H735</f>
        <v>0</v>
      </c>
      <c r="J735" s="80">
        <f>'Stavební rozpočet'!J735</f>
        <v>0.0045</v>
      </c>
      <c r="K735" s="80">
        <f>G735*J735</f>
        <v>0.36</v>
      </c>
      <c r="L735" s="82" t="s">
        <v>207</v>
      </c>
      <c r="Z735" s="38">
        <f>IF(AQ735="5",BJ735,0)</f>
        <v>0</v>
      </c>
      <c r="AB735" s="38">
        <f>IF(AQ735="1",BH735,0)</f>
        <v>0</v>
      </c>
      <c r="AC735" s="38">
        <f>IF(AQ735="1",BI735,0)</f>
        <v>0</v>
      </c>
      <c r="AD735" s="38">
        <f>IF(AQ735="7",BH735,0)</f>
        <v>0</v>
      </c>
      <c r="AE735" s="38">
        <f>IF(AQ735="7",BI735,0)</f>
        <v>0</v>
      </c>
      <c r="AF735" s="38">
        <f>IF(AQ735="2",BH735,0)</f>
        <v>0</v>
      </c>
      <c r="AG735" s="38">
        <f>IF(AQ735="2",BI735,0)</f>
        <v>0</v>
      </c>
      <c r="AH735" s="38">
        <f>IF(AQ735="0",BJ735,0)</f>
        <v>0</v>
      </c>
      <c r="AI735" s="50" t="s">
        <v>84</v>
      </c>
      <c r="AJ735" s="80">
        <f>IF(AN735=0,I735,0)</f>
        <v>0</v>
      </c>
      <c r="AK735" s="80">
        <f>IF(AN735=12,I735,0)</f>
        <v>0</v>
      </c>
      <c r="AL735" s="80">
        <f>IF(AN735=21,I735,0)</f>
        <v>0</v>
      </c>
      <c r="AN735" s="38">
        <v>21</v>
      </c>
      <c r="AO735" s="38">
        <f>H735*1</f>
        <v>0</v>
      </c>
      <c r="AP735" s="38">
        <f>H735*(1-1)</f>
        <v>0</v>
      </c>
      <c r="AQ735" s="83" t="s">
        <v>169</v>
      </c>
      <c r="AV735" s="38">
        <f>AW735+AX735</f>
        <v>0</v>
      </c>
      <c r="AW735" s="38">
        <f>G735*AO735</f>
        <v>0</v>
      </c>
      <c r="AX735" s="38">
        <f>G735*AP735</f>
        <v>0</v>
      </c>
      <c r="AY735" s="72" t="s">
        <v>1277</v>
      </c>
      <c r="AZ735" s="72" t="s">
        <v>1278</v>
      </c>
      <c r="BA735" s="50" t="s">
        <v>139</v>
      </c>
      <c r="BC735" s="38">
        <f>AW735+AX735</f>
        <v>0</v>
      </c>
      <c r="BD735" s="38">
        <f>H735/(100-BE735)*100</f>
        <v>0</v>
      </c>
      <c r="BE735" s="38">
        <v>0</v>
      </c>
      <c r="BF735" s="38">
        <f>K735</f>
        <v>0.36</v>
      </c>
      <c r="BH735" s="80">
        <f>G735*AO735</f>
        <v>0</v>
      </c>
      <c r="BI735" s="80">
        <f>G735*AP735</f>
        <v>0</v>
      </c>
      <c r="BJ735" s="80">
        <f>G735*H735</f>
        <v>0</v>
      </c>
      <c r="BK735" s="80"/>
      <c r="BL735" s="38">
        <v>771</v>
      </c>
      <c r="BW735" s="38">
        <v>21</v>
      </c>
    </row>
    <row r="736" spans="1:12" ht="15">
      <c r="A736" s="74"/>
      <c r="D736" s="75" t="s">
        <v>1354</v>
      </c>
      <c r="E736" s="75" t="s">
        <v>4</v>
      </c>
      <c r="G736" s="76">
        <v>80</v>
      </c>
      <c r="L736" s="77"/>
    </row>
    <row r="737" spans="1:75" ht="13.5" customHeight="1">
      <c r="A737" s="1" t="s">
        <v>1355</v>
      </c>
      <c r="B737" s="2" t="s">
        <v>84</v>
      </c>
      <c r="C737" s="2" t="s">
        <v>1356</v>
      </c>
      <c r="D737" s="108" t="s">
        <v>1357</v>
      </c>
      <c r="E737" s="103"/>
      <c r="F737" s="2" t="s">
        <v>214</v>
      </c>
      <c r="G737" s="38">
        <f>'Stavební rozpočet'!G737</f>
        <v>20</v>
      </c>
      <c r="H737" s="38">
        <f>'Stavební rozpočet'!H737</f>
        <v>0</v>
      </c>
      <c r="I737" s="38">
        <f>G737*H737</f>
        <v>0</v>
      </c>
      <c r="J737" s="38">
        <f>'Stavební rozpočet'!J737</f>
        <v>0.00202</v>
      </c>
      <c r="K737" s="38">
        <f>G737*J737</f>
        <v>0.040400000000000005</v>
      </c>
      <c r="L737" s="71" t="s">
        <v>207</v>
      </c>
      <c r="Z737" s="38">
        <f>IF(AQ737="5",BJ737,0)</f>
        <v>0</v>
      </c>
      <c r="AB737" s="38">
        <f>IF(AQ737="1",BH737,0)</f>
        <v>0</v>
      </c>
      <c r="AC737" s="38">
        <f>IF(AQ737="1",BI737,0)</f>
        <v>0</v>
      </c>
      <c r="AD737" s="38">
        <f>IF(AQ737="7",BH737,0)</f>
        <v>0</v>
      </c>
      <c r="AE737" s="38">
        <f>IF(AQ737="7",BI737,0)</f>
        <v>0</v>
      </c>
      <c r="AF737" s="38">
        <f>IF(AQ737="2",BH737,0)</f>
        <v>0</v>
      </c>
      <c r="AG737" s="38">
        <f>IF(AQ737="2",BI737,0)</f>
        <v>0</v>
      </c>
      <c r="AH737" s="38">
        <f>IF(AQ737="0",BJ737,0)</f>
        <v>0</v>
      </c>
      <c r="AI737" s="50" t="s">
        <v>84</v>
      </c>
      <c r="AJ737" s="38">
        <f>IF(AN737=0,I737,0)</f>
        <v>0</v>
      </c>
      <c r="AK737" s="38">
        <f>IF(AN737=12,I737,0)</f>
        <v>0</v>
      </c>
      <c r="AL737" s="38">
        <f>IF(AN737=21,I737,0)</f>
        <v>0</v>
      </c>
      <c r="AN737" s="38">
        <v>21</v>
      </c>
      <c r="AO737" s="38">
        <f>H737*0.515588785</f>
        <v>0</v>
      </c>
      <c r="AP737" s="38">
        <f>H737*(1-0.515588785)</f>
        <v>0</v>
      </c>
      <c r="AQ737" s="72" t="s">
        <v>169</v>
      </c>
      <c r="AV737" s="38">
        <f>AW737+AX737</f>
        <v>0</v>
      </c>
      <c r="AW737" s="38">
        <f>G737*AO737</f>
        <v>0</v>
      </c>
      <c r="AX737" s="38">
        <f>G737*AP737</f>
        <v>0</v>
      </c>
      <c r="AY737" s="72" t="s">
        <v>1277</v>
      </c>
      <c r="AZ737" s="72" t="s">
        <v>1278</v>
      </c>
      <c r="BA737" s="50" t="s">
        <v>139</v>
      </c>
      <c r="BB737" s="73">
        <v>100029</v>
      </c>
      <c r="BC737" s="38">
        <f>AW737+AX737</f>
        <v>0</v>
      </c>
      <c r="BD737" s="38">
        <f>H737/(100-BE737)*100</f>
        <v>0</v>
      </c>
      <c r="BE737" s="38">
        <v>0</v>
      </c>
      <c r="BF737" s="38">
        <f>K737</f>
        <v>0.040400000000000005</v>
      </c>
      <c r="BH737" s="38">
        <f>G737*AO737</f>
        <v>0</v>
      </c>
      <c r="BI737" s="38">
        <f>G737*AP737</f>
        <v>0</v>
      </c>
      <c r="BJ737" s="38">
        <f>G737*H737</f>
        <v>0</v>
      </c>
      <c r="BK737" s="38"/>
      <c r="BL737" s="38">
        <v>771</v>
      </c>
      <c r="BW737" s="38">
        <v>21</v>
      </c>
    </row>
    <row r="738" spans="1:12" ht="15">
      <c r="A738" s="74"/>
      <c r="D738" s="75" t="s">
        <v>444</v>
      </c>
      <c r="E738" s="75" t="s">
        <v>454</v>
      </c>
      <c r="G738" s="76">
        <v>20</v>
      </c>
      <c r="L738" s="77"/>
    </row>
    <row r="739" spans="1:75" ht="13.5" customHeight="1">
      <c r="A739" s="1" t="s">
        <v>1358</v>
      </c>
      <c r="B739" s="2" t="s">
        <v>84</v>
      </c>
      <c r="C739" s="2" t="s">
        <v>1359</v>
      </c>
      <c r="D739" s="108" t="s">
        <v>1360</v>
      </c>
      <c r="E739" s="103"/>
      <c r="F739" s="2" t="s">
        <v>214</v>
      </c>
      <c r="G739" s="38">
        <f>'Stavební rozpočet'!G739</f>
        <v>40</v>
      </c>
      <c r="H739" s="38">
        <f>'Stavební rozpočet'!H739</f>
        <v>0</v>
      </c>
      <c r="I739" s="38">
        <f>G739*H739</f>
        <v>0</v>
      </c>
      <c r="J739" s="38">
        <f>'Stavební rozpočet'!J739</f>
        <v>0</v>
      </c>
      <c r="K739" s="38">
        <f>G739*J739</f>
        <v>0</v>
      </c>
      <c r="L739" s="71" t="s">
        <v>136</v>
      </c>
      <c r="Z739" s="38">
        <f>IF(AQ739="5",BJ739,0)</f>
        <v>0</v>
      </c>
      <c r="AB739" s="38">
        <f>IF(AQ739="1",BH739,0)</f>
        <v>0</v>
      </c>
      <c r="AC739" s="38">
        <f>IF(AQ739="1",BI739,0)</f>
        <v>0</v>
      </c>
      <c r="AD739" s="38">
        <f>IF(AQ739="7",BH739,0)</f>
        <v>0</v>
      </c>
      <c r="AE739" s="38">
        <f>IF(AQ739="7",BI739,0)</f>
        <v>0</v>
      </c>
      <c r="AF739" s="38">
        <f>IF(AQ739="2",BH739,0)</f>
        <v>0</v>
      </c>
      <c r="AG739" s="38">
        <f>IF(AQ739="2",BI739,0)</f>
        <v>0</v>
      </c>
      <c r="AH739" s="38">
        <f>IF(AQ739="0",BJ739,0)</f>
        <v>0</v>
      </c>
      <c r="AI739" s="50" t="s">
        <v>84</v>
      </c>
      <c r="AJ739" s="38">
        <f>IF(AN739=0,I739,0)</f>
        <v>0</v>
      </c>
      <c r="AK739" s="38">
        <f>IF(AN739=12,I739,0)</f>
        <v>0</v>
      </c>
      <c r="AL739" s="38">
        <f>IF(AN739=21,I739,0)</f>
        <v>0</v>
      </c>
      <c r="AN739" s="38">
        <v>21</v>
      </c>
      <c r="AO739" s="38">
        <f>H739*0.039878049</f>
        <v>0</v>
      </c>
      <c r="AP739" s="38">
        <f>H739*(1-0.039878049)</f>
        <v>0</v>
      </c>
      <c r="AQ739" s="72" t="s">
        <v>169</v>
      </c>
      <c r="AV739" s="38">
        <f>AW739+AX739</f>
        <v>0</v>
      </c>
      <c r="AW739" s="38">
        <f>G739*AO739</f>
        <v>0</v>
      </c>
      <c r="AX739" s="38">
        <f>G739*AP739</f>
        <v>0</v>
      </c>
      <c r="AY739" s="72" t="s">
        <v>1277</v>
      </c>
      <c r="AZ739" s="72" t="s">
        <v>1278</v>
      </c>
      <c r="BA739" s="50" t="s">
        <v>139</v>
      </c>
      <c r="BB739" s="73">
        <v>100029</v>
      </c>
      <c r="BC739" s="38">
        <f>AW739+AX739</f>
        <v>0</v>
      </c>
      <c r="BD739" s="38">
        <f>H739/(100-BE739)*100</f>
        <v>0</v>
      </c>
      <c r="BE739" s="38">
        <v>0</v>
      </c>
      <c r="BF739" s="38">
        <f>K739</f>
        <v>0</v>
      </c>
      <c r="BH739" s="38">
        <f>G739*AO739</f>
        <v>0</v>
      </c>
      <c r="BI739" s="38">
        <f>G739*AP739</f>
        <v>0</v>
      </c>
      <c r="BJ739" s="38">
        <f>G739*H739</f>
        <v>0</v>
      </c>
      <c r="BK739" s="38"/>
      <c r="BL739" s="38">
        <v>771</v>
      </c>
      <c r="BW739" s="38">
        <v>21</v>
      </c>
    </row>
    <row r="740" spans="1:12" ht="15">
      <c r="A740" s="74"/>
      <c r="D740" s="75" t="s">
        <v>444</v>
      </c>
      <c r="E740" s="75" t="s">
        <v>1361</v>
      </c>
      <c r="G740" s="76">
        <v>20</v>
      </c>
      <c r="L740" s="77"/>
    </row>
    <row r="741" spans="1:12" ht="15">
      <c r="A741" s="74"/>
      <c r="D741" s="75" t="s">
        <v>444</v>
      </c>
      <c r="E741" s="75" t="s">
        <v>1362</v>
      </c>
      <c r="G741" s="76">
        <v>20</v>
      </c>
      <c r="L741" s="77"/>
    </row>
    <row r="742" spans="1:75" ht="13.5" customHeight="1">
      <c r="A742" s="1" t="s">
        <v>1363</v>
      </c>
      <c r="B742" s="2" t="s">
        <v>84</v>
      </c>
      <c r="C742" s="2" t="s">
        <v>1364</v>
      </c>
      <c r="D742" s="108" t="s">
        <v>1365</v>
      </c>
      <c r="E742" s="103"/>
      <c r="F742" s="2" t="s">
        <v>214</v>
      </c>
      <c r="G742" s="38">
        <f>'Stavební rozpočet'!G742</f>
        <v>37.93</v>
      </c>
      <c r="H742" s="38">
        <f>'Stavební rozpočet'!H742</f>
        <v>0</v>
      </c>
      <c r="I742" s="38">
        <f>G742*H742</f>
        <v>0</v>
      </c>
      <c r="J742" s="38">
        <f>'Stavební rozpočet'!J742</f>
        <v>0.00244</v>
      </c>
      <c r="K742" s="38">
        <f>G742*J742</f>
        <v>0.0925492</v>
      </c>
      <c r="L742" s="71" t="s">
        <v>136</v>
      </c>
      <c r="Z742" s="38">
        <f>IF(AQ742="5",BJ742,0)</f>
        <v>0</v>
      </c>
      <c r="AB742" s="38">
        <f>IF(AQ742="1",BH742,0)</f>
        <v>0</v>
      </c>
      <c r="AC742" s="38">
        <f>IF(AQ742="1",BI742,0)</f>
        <v>0</v>
      </c>
      <c r="AD742" s="38">
        <f>IF(AQ742="7",BH742,0)</f>
        <v>0</v>
      </c>
      <c r="AE742" s="38">
        <f>IF(AQ742="7",BI742,0)</f>
        <v>0</v>
      </c>
      <c r="AF742" s="38">
        <f>IF(AQ742="2",BH742,0)</f>
        <v>0</v>
      </c>
      <c r="AG742" s="38">
        <f>IF(AQ742="2",BI742,0)</f>
        <v>0</v>
      </c>
      <c r="AH742" s="38">
        <f>IF(AQ742="0",BJ742,0)</f>
        <v>0</v>
      </c>
      <c r="AI742" s="50" t="s">
        <v>84</v>
      </c>
      <c r="AJ742" s="38">
        <f>IF(AN742=0,I742,0)</f>
        <v>0</v>
      </c>
      <c r="AK742" s="38">
        <f>IF(AN742=12,I742,0)</f>
        <v>0</v>
      </c>
      <c r="AL742" s="38">
        <f>IF(AN742=21,I742,0)</f>
        <v>0</v>
      </c>
      <c r="AN742" s="38">
        <v>21</v>
      </c>
      <c r="AO742" s="38">
        <f>H742*0.365621299</f>
        <v>0</v>
      </c>
      <c r="AP742" s="38">
        <f>H742*(1-0.365621299)</f>
        <v>0</v>
      </c>
      <c r="AQ742" s="72" t="s">
        <v>169</v>
      </c>
      <c r="AV742" s="38">
        <f>AW742+AX742</f>
        <v>0</v>
      </c>
      <c r="AW742" s="38">
        <f>G742*AO742</f>
        <v>0</v>
      </c>
      <c r="AX742" s="38">
        <f>G742*AP742</f>
        <v>0</v>
      </c>
      <c r="AY742" s="72" t="s">
        <v>1277</v>
      </c>
      <c r="AZ742" s="72" t="s">
        <v>1278</v>
      </c>
      <c r="BA742" s="50" t="s">
        <v>139</v>
      </c>
      <c r="BB742" s="73">
        <v>100029</v>
      </c>
      <c r="BC742" s="38">
        <f>AW742+AX742</f>
        <v>0</v>
      </c>
      <c r="BD742" s="38">
        <f>H742/(100-BE742)*100</f>
        <v>0</v>
      </c>
      <c r="BE742" s="38">
        <v>0</v>
      </c>
      <c r="BF742" s="38">
        <f>K742</f>
        <v>0.0925492</v>
      </c>
      <c r="BH742" s="38">
        <f>G742*AO742</f>
        <v>0</v>
      </c>
      <c r="BI742" s="38">
        <f>G742*AP742</f>
        <v>0</v>
      </c>
      <c r="BJ742" s="38">
        <f>G742*H742</f>
        <v>0</v>
      </c>
      <c r="BK742" s="38"/>
      <c r="BL742" s="38">
        <v>771</v>
      </c>
      <c r="BW742" s="38">
        <v>21</v>
      </c>
    </row>
    <row r="743" spans="1:12" ht="15">
      <c r="A743" s="74"/>
      <c r="D743" s="75" t="s">
        <v>1366</v>
      </c>
      <c r="E743" s="75" t="s">
        <v>1367</v>
      </c>
      <c r="G743" s="76">
        <v>12.63</v>
      </c>
      <c r="L743" s="77"/>
    </row>
    <row r="744" spans="1:12" ht="15">
      <c r="A744" s="74"/>
      <c r="D744" s="75" t="s">
        <v>1368</v>
      </c>
      <c r="E744" s="75" t="s">
        <v>1369</v>
      </c>
      <c r="G744" s="76">
        <v>25.3</v>
      </c>
      <c r="L744" s="77"/>
    </row>
    <row r="745" spans="1:75" ht="13.5" customHeight="1">
      <c r="A745" s="78" t="s">
        <v>1370</v>
      </c>
      <c r="B745" s="79" t="s">
        <v>84</v>
      </c>
      <c r="C745" s="79" t="s">
        <v>1371</v>
      </c>
      <c r="D745" s="198" t="s">
        <v>1372</v>
      </c>
      <c r="E745" s="199"/>
      <c r="F745" s="79" t="s">
        <v>199</v>
      </c>
      <c r="G745" s="80">
        <f>'Stavební rozpočet'!G745</f>
        <v>70</v>
      </c>
      <c r="H745" s="80">
        <f>'Stavební rozpočet'!H745</f>
        <v>0</v>
      </c>
      <c r="I745" s="80">
        <f>G745*H745</f>
        <v>0</v>
      </c>
      <c r="J745" s="80">
        <f>'Stavební rozpočet'!J745</f>
        <v>0.0035</v>
      </c>
      <c r="K745" s="80">
        <f>G745*J745</f>
        <v>0.245</v>
      </c>
      <c r="L745" s="82" t="s">
        <v>207</v>
      </c>
      <c r="Z745" s="38">
        <f>IF(AQ745="5",BJ745,0)</f>
        <v>0</v>
      </c>
      <c r="AB745" s="38">
        <f>IF(AQ745="1",BH745,0)</f>
        <v>0</v>
      </c>
      <c r="AC745" s="38">
        <f>IF(AQ745="1",BI745,0)</f>
        <v>0</v>
      </c>
      <c r="AD745" s="38">
        <f>IF(AQ745="7",BH745,0)</f>
        <v>0</v>
      </c>
      <c r="AE745" s="38">
        <f>IF(AQ745="7",BI745,0)</f>
        <v>0</v>
      </c>
      <c r="AF745" s="38">
        <f>IF(AQ745="2",BH745,0)</f>
        <v>0</v>
      </c>
      <c r="AG745" s="38">
        <f>IF(AQ745="2",BI745,0)</f>
        <v>0</v>
      </c>
      <c r="AH745" s="38">
        <f>IF(AQ745="0",BJ745,0)</f>
        <v>0</v>
      </c>
      <c r="AI745" s="50" t="s">
        <v>84</v>
      </c>
      <c r="AJ745" s="80">
        <f>IF(AN745=0,I745,0)</f>
        <v>0</v>
      </c>
      <c r="AK745" s="80">
        <f>IF(AN745=12,I745,0)</f>
        <v>0</v>
      </c>
      <c r="AL745" s="80">
        <f>IF(AN745=21,I745,0)</f>
        <v>0</v>
      </c>
      <c r="AN745" s="38">
        <v>21</v>
      </c>
      <c r="AO745" s="38">
        <f>H745*1</f>
        <v>0</v>
      </c>
      <c r="AP745" s="38">
        <f>H745*(1-1)</f>
        <v>0</v>
      </c>
      <c r="AQ745" s="83" t="s">
        <v>169</v>
      </c>
      <c r="AV745" s="38">
        <f>AW745+AX745</f>
        <v>0</v>
      </c>
      <c r="AW745" s="38">
        <f>G745*AO745</f>
        <v>0</v>
      </c>
      <c r="AX745" s="38">
        <f>G745*AP745</f>
        <v>0</v>
      </c>
      <c r="AY745" s="72" t="s">
        <v>1277</v>
      </c>
      <c r="AZ745" s="72" t="s">
        <v>1278</v>
      </c>
      <c r="BA745" s="50" t="s">
        <v>139</v>
      </c>
      <c r="BC745" s="38">
        <f>AW745+AX745</f>
        <v>0</v>
      </c>
      <c r="BD745" s="38">
        <f>H745/(100-BE745)*100</f>
        <v>0</v>
      </c>
      <c r="BE745" s="38">
        <v>0</v>
      </c>
      <c r="BF745" s="38">
        <f>K745</f>
        <v>0.245</v>
      </c>
      <c r="BH745" s="80">
        <f>G745*AO745</f>
        <v>0</v>
      </c>
      <c r="BI745" s="80">
        <f>G745*AP745</f>
        <v>0</v>
      </c>
      <c r="BJ745" s="80">
        <f>G745*H745</f>
        <v>0</v>
      </c>
      <c r="BK745" s="80"/>
      <c r="BL745" s="38">
        <v>771</v>
      </c>
      <c r="BW745" s="38">
        <v>21</v>
      </c>
    </row>
    <row r="746" spans="1:12" ht="15">
      <c r="A746" s="74"/>
      <c r="D746" s="75" t="s">
        <v>1373</v>
      </c>
      <c r="E746" s="75" t="s">
        <v>4</v>
      </c>
      <c r="G746" s="76">
        <v>70</v>
      </c>
      <c r="L746" s="77"/>
    </row>
    <row r="747" spans="1:75" ht="13.5" customHeight="1">
      <c r="A747" s="1" t="s">
        <v>1374</v>
      </c>
      <c r="B747" s="2" t="s">
        <v>84</v>
      </c>
      <c r="C747" s="2" t="s">
        <v>1375</v>
      </c>
      <c r="D747" s="108" t="s">
        <v>1376</v>
      </c>
      <c r="E747" s="103"/>
      <c r="F747" s="2" t="s">
        <v>214</v>
      </c>
      <c r="G747" s="38">
        <f>'Stavební rozpočet'!G747</f>
        <v>37.93</v>
      </c>
      <c r="H747" s="38">
        <f>'Stavební rozpočet'!H747</f>
        <v>0</v>
      </c>
      <c r="I747" s="38">
        <f>G747*H747</f>
        <v>0</v>
      </c>
      <c r="J747" s="38">
        <f>'Stavební rozpočet'!J747</f>
        <v>0.00202</v>
      </c>
      <c r="K747" s="38">
        <f>G747*J747</f>
        <v>0.07661860000000001</v>
      </c>
      <c r="L747" s="71" t="s">
        <v>136</v>
      </c>
      <c r="Z747" s="38">
        <f>IF(AQ747="5",BJ747,0)</f>
        <v>0</v>
      </c>
      <c r="AB747" s="38">
        <f>IF(AQ747="1",BH747,0)</f>
        <v>0</v>
      </c>
      <c r="AC747" s="38">
        <f>IF(AQ747="1",BI747,0)</f>
        <v>0</v>
      </c>
      <c r="AD747" s="38">
        <f>IF(AQ747="7",BH747,0)</f>
        <v>0</v>
      </c>
      <c r="AE747" s="38">
        <f>IF(AQ747="7",BI747,0)</f>
        <v>0</v>
      </c>
      <c r="AF747" s="38">
        <f>IF(AQ747="2",BH747,0)</f>
        <v>0</v>
      </c>
      <c r="AG747" s="38">
        <f>IF(AQ747="2",BI747,0)</f>
        <v>0</v>
      </c>
      <c r="AH747" s="38">
        <f>IF(AQ747="0",BJ747,0)</f>
        <v>0</v>
      </c>
      <c r="AI747" s="50" t="s">
        <v>84</v>
      </c>
      <c r="AJ747" s="38">
        <f>IF(AN747=0,I747,0)</f>
        <v>0</v>
      </c>
      <c r="AK747" s="38">
        <f>IF(AN747=12,I747,0)</f>
        <v>0</v>
      </c>
      <c r="AL747" s="38">
        <f>IF(AN747=21,I747,0)</f>
        <v>0</v>
      </c>
      <c r="AN747" s="38">
        <v>21</v>
      </c>
      <c r="AO747" s="38">
        <f>H747*0.51560276</f>
        <v>0</v>
      </c>
      <c r="AP747" s="38">
        <f>H747*(1-0.51560276)</f>
        <v>0</v>
      </c>
      <c r="AQ747" s="72" t="s">
        <v>169</v>
      </c>
      <c r="AV747" s="38">
        <f>AW747+AX747</f>
        <v>0</v>
      </c>
      <c r="AW747" s="38">
        <f>G747*AO747</f>
        <v>0</v>
      </c>
      <c r="AX747" s="38">
        <f>G747*AP747</f>
        <v>0</v>
      </c>
      <c r="AY747" s="72" t="s">
        <v>1277</v>
      </c>
      <c r="AZ747" s="72" t="s">
        <v>1278</v>
      </c>
      <c r="BA747" s="50" t="s">
        <v>139</v>
      </c>
      <c r="BB747" s="73">
        <v>100029</v>
      </c>
      <c r="BC747" s="38">
        <f>AW747+AX747</f>
        <v>0</v>
      </c>
      <c r="BD747" s="38">
        <f>H747/(100-BE747)*100</f>
        <v>0</v>
      </c>
      <c r="BE747" s="38">
        <v>0</v>
      </c>
      <c r="BF747" s="38">
        <f>K747</f>
        <v>0.07661860000000001</v>
      </c>
      <c r="BH747" s="38">
        <f>G747*AO747</f>
        <v>0</v>
      </c>
      <c r="BI747" s="38">
        <f>G747*AP747</f>
        <v>0</v>
      </c>
      <c r="BJ747" s="38">
        <f>G747*H747</f>
        <v>0</v>
      </c>
      <c r="BK747" s="38"/>
      <c r="BL747" s="38">
        <v>771</v>
      </c>
      <c r="BW747" s="38">
        <v>21</v>
      </c>
    </row>
    <row r="748" spans="1:12" ht="15">
      <c r="A748" s="74"/>
      <c r="D748" s="75" t="s">
        <v>1366</v>
      </c>
      <c r="E748" s="75" t="s">
        <v>1367</v>
      </c>
      <c r="G748" s="76">
        <v>12.63</v>
      </c>
      <c r="L748" s="77"/>
    </row>
    <row r="749" spans="1:12" ht="15">
      <c r="A749" s="74"/>
      <c r="D749" s="75" t="s">
        <v>1368</v>
      </c>
      <c r="E749" s="75" t="s">
        <v>1369</v>
      </c>
      <c r="G749" s="76">
        <v>25.3</v>
      </c>
      <c r="L749" s="77"/>
    </row>
    <row r="750" spans="1:75" ht="13.5" customHeight="1">
      <c r="A750" s="1" t="s">
        <v>1377</v>
      </c>
      <c r="B750" s="2" t="s">
        <v>84</v>
      </c>
      <c r="C750" s="2" t="s">
        <v>1378</v>
      </c>
      <c r="D750" s="108" t="s">
        <v>1379</v>
      </c>
      <c r="E750" s="103"/>
      <c r="F750" s="2" t="s">
        <v>214</v>
      </c>
      <c r="G750" s="38">
        <f>'Stavební rozpočet'!G750</f>
        <v>12.14</v>
      </c>
      <c r="H750" s="38">
        <f>'Stavební rozpočet'!H750</f>
        <v>0</v>
      </c>
      <c r="I750" s="38">
        <f>G750*H750</f>
        <v>0</v>
      </c>
      <c r="J750" s="38">
        <f>'Stavební rozpočet'!J750</f>
        <v>0.00032</v>
      </c>
      <c r="K750" s="38">
        <f>G750*J750</f>
        <v>0.0038848000000000003</v>
      </c>
      <c r="L750" s="71" t="s">
        <v>136</v>
      </c>
      <c r="Z750" s="38">
        <f>IF(AQ750="5",BJ750,0)</f>
        <v>0</v>
      </c>
      <c r="AB750" s="38">
        <f>IF(AQ750="1",BH750,0)</f>
        <v>0</v>
      </c>
      <c r="AC750" s="38">
        <f>IF(AQ750="1",BI750,0)</f>
        <v>0</v>
      </c>
      <c r="AD750" s="38">
        <f>IF(AQ750="7",BH750,0)</f>
        <v>0</v>
      </c>
      <c r="AE750" s="38">
        <f>IF(AQ750="7",BI750,0)</f>
        <v>0</v>
      </c>
      <c r="AF750" s="38">
        <f>IF(AQ750="2",BH750,0)</f>
        <v>0</v>
      </c>
      <c r="AG750" s="38">
        <f>IF(AQ750="2",BI750,0)</f>
        <v>0</v>
      </c>
      <c r="AH750" s="38">
        <f>IF(AQ750="0",BJ750,0)</f>
        <v>0</v>
      </c>
      <c r="AI750" s="50" t="s">
        <v>84</v>
      </c>
      <c r="AJ750" s="38">
        <f>IF(AN750=0,I750,0)</f>
        <v>0</v>
      </c>
      <c r="AK750" s="38">
        <f>IF(AN750=12,I750,0)</f>
        <v>0</v>
      </c>
      <c r="AL750" s="38">
        <f>IF(AN750=21,I750,0)</f>
        <v>0</v>
      </c>
      <c r="AN750" s="38">
        <v>21</v>
      </c>
      <c r="AO750" s="38">
        <f>H750*0.068331358</f>
        <v>0</v>
      </c>
      <c r="AP750" s="38">
        <f>H750*(1-0.068331358)</f>
        <v>0</v>
      </c>
      <c r="AQ750" s="72" t="s">
        <v>169</v>
      </c>
      <c r="AV750" s="38">
        <f>AW750+AX750</f>
        <v>0</v>
      </c>
      <c r="AW750" s="38">
        <f>G750*AO750</f>
        <v>0</v>
      </c>
      <c r="AX750" s="38">
        <f>G750*AP750</f>
        <v>0</v>
      </c>
      <c r="AY750" s="72" t="s">
        <v>1277</v>
      </c>
      <c r="AZ750" s="72" t="s">
        <v>1278</v>
      </c>
      <c r="BA750" s="50" t="s">
        <v>139</v>
      </c>
      <c r="BB750" s="73">
        <v>100029</v>
      </c>
      <c r="BC750" s="38">
        <f>AW750+AX750</f>
        <v>0</v>
      </c>
      <c r="BD750" s="38">
        <f>H750/(100-BE750)*100</f>
        <v>0</v>
      </c>
      <c r="BE750" s="38">
        <v>0</v>
      </c>
      <c r="BF750" s="38">
        <f>K750</f>
        <v>0.0038848000000000003</v>
      </c>
      <c r="BH750" s="38">
        <f>G750*AO750</f>
        <v>0</v>
      </c>
      <c r="BI750" s="38">
        <f>G750*AP750</f>
        <v>0</v>
      </c>
      <c r="BJ750" s="38">
        <f>G750*H750</f>
        <v>0</v>
      </c>
      <c r="BK750" s="38"/>
      <c r="BL750" s="38">
        <v>771</v>
      </c>
      <c r="BW750" s="38">
        <v>21</v>
      </c>
    </row>
    <row r="751" spans="1:12" ht="15">
      <c r="A751" s="74"/>
      <c r="D751" s="75" t="s">
        <v>1380</v>
      </c>
      <c r="E751" s="75" t="s">
        <v>1381</v>
      </c>
      <c r="G751" s="76">
        <v>1.87</v>
      </c>
      <c r="L751" s="77"/>
    </row>
    <row r="752" spans="1:12" ht="15">
      <c r="A752" s="74"/>
      <c r="D752" s="75" t="s">
        <v>1382</v>
      </c>
      <c r="E752" s="75" t="s">
        <v>1369</v>
      </c>
      <c r="G752" s="76">
        <v>10.27</v>
      </c>
      <c r="L752" s="77"/>
    </row>
    <row r="753" spans="1:75" ht="13.5" customHeight="1">
      <c r="A753" s="1" t="s">
        <v>1383</v>
      </c>
      <c r="B753" s="2" t="s">
        <v>84</v>
      </c>
      <c r="C753" s="2" t="s">
        <v>1384</v>
      </c>
      <c r="D753" s="108" t="s">
        <v>1385</v>
      </c>
      <c r="E753" s="103"/>
      <c r="F753" s="2" t="s">
        <v>189</v>
      </c>
      <c r="G753" s="38">
        <f>'Stavební rozpočet'!G753</f>
        <v>10.58</v>
      </c>
      <c r="H753" s="38">
        <f>'Stavební rozpočet'!H753</f>
        <v>0</v>
      </c>
      <c r="I753" s="38">
        <f>G753*H753</f>
        <v>0</v>
      </c>
      <c r="J753" s="38">
        <f>'Stavební rozpočet'!J753</f>
        <v>0</v>
      </c>
      <c r="K753" s="38">
        <f>G753*J753</f>
        <v>0</v>
      </c>
      <c r="L753" s="71" t="s">
        <v>136</v>
      </c>
      <c r="Z753" s="38">
        <f>IF(AQ753="5",BJ753,0)</f>
        <v>0</v>
      </c>
      <c r="AB753" s="38">
        <f>IF(AQ753="1",BH753,0)</f>
        <v>0</v>
      </c>
      <c r="AC753" s="38">
        <f>IF(AQ753="1",BI753,0)</f>
        <v>0</v>
      </c>
      <c r="AD753" s="38">
        <f>IF(AQ753="7",BH753,0)</f>
        <v>0</v>
      </c>
      <c r="AE753" s="38">
        <f>IF(AQ753="7",BI753,0)</f>
        <v>0</v>
      </c>
      <c r="AF753" s="38">
        <f>IF(AQ753="2",BH753,0)</f>
        <v>0</v>
      </c>
      <c r="AG753" s="38">
        <f>IF(AQ753="2",BI753,0)</f>
        <v>0</v>
      </c>
      <c r="AH753" s="38">
        <f>IF(AQ753="0",BJ753,0)</f>
        <v>0</v>
      </c>
      <c r="AI753" s="50" t="s">
        <v>84</v>
      </c>
      <c r="AJ753" s="38">
        <f>IF(AN753=0,I753,0)</f>
        <v>0</v>
      </c>
      <c r="AK753" s="38">
        <f>IF(AN753=12,I753,0)</f>
        <v>0</v>
      </c>
      <c r="AL753" s="38">
        <f>IF(AN753=21,I753,0)</f>
        <v>0</v>
      </c>
      <c r="AN753" s="38">
        <v>21</v>
      </c>
      <c r="AO753" s="38">
        <f>H753*0</f>
        <v>0</v>
      </c>
      <c r="AP753" s="38">
        <f>H753*(1-0)</f>
        <v>0</v>
      </c>
      <c r="AQ753" s="72" t="s">
        <v>162</v>
      </c>
      <c r="AV753" s="38">
        <f>AW753+AX753</f>
        <v>0</v>
      </c>
      <c r="AW753" s="38">
        <f>G753*AO753</f>
        <v>0</v>
      </c>
      <c r="AX753" s="38">
        <f>G753*AP753</f>
        <v>0</v>
      </c>
      <c r="AY753" s="72" t="s">
        <v>1277</v>
      </c>
      <c r="AZ753" s="72" t="s">
        <v>1278</v>
      </c>
      <c r="BA753" s="50" t="s">
        <v>139</v>
      </c>
      <c r="BC753" s="38">
        <f>AW753+AX753</f>
        <v>0</v>
      </c>
      <c r="BD753" s="38">
        <f>H753/(100-BE753)*100</f>
        <v>0</v>
      </c>
      <c r="BE753" s="38">
        <v>0</v>
      </c>
      <c r="BF753" s="38">
        <f>K753</f>
        <v>0</v>
      </c>
      <c r="BH753" s="38">
        <f>G753*AO753</f>
        <v>0</v>
      </c>
      <c r="BI753" s="38">
        <f>G753*AP753</f>
        <v>0</v>
      </c>
      <c r="BJ753" s="38">
        <f>G753*H753</f>
        <v>0</v>
      </c>
      <c r="BK753" s="38"/>
      <c r="BL753" s="38">
        <v>771</v>
      </c>
      <c r="BW753" s="38">
        <v>21</v>
      </c>
    </row>
    <row r="754" spans="1:12" ht="15">
      <c r="A754" s="74"/>
      <c r="D754" s="75" t="s">
        <v>1386</v>
      </c>
      <c r="E754" s="75" t="s">
        <v>4</v>
      </c>
      <c r="G754" s="76">
        <v>10.58</v>
      </c>
      <c r="L754" s="77"/>
    </row>
    <row r="755" spans="1:47" ht="15">
      <c r="A755" s="65" t="s">
        <v>4</v>
      </c>
      <c r="B755" s="66" t="s">
        <v>84</v>
      </c>
      <c r="C755" s="66" t="s">
        <v>1387</v>
      </c>
      <c r="D755" s="192" t="s">
        <v>1388</v>
      </c>
      <c r="E755" s="193"/>
      <c r="F755" s="67" t="s">
        <v>78</v>
      </c>
      <c r="G755" s="67" t="s">
        <v>78</v>
      </c>
      <c r="H755" s="67" t="s">
        <v>78</v>
      </c>
      <c r="I755" s="44">
        <f>SUM(I756:I759)</f>
        <v>0</v>
      </c>
      <c r="J755" s="50" t="s">
        <v>4</v>
      </c>
      <c r="K755" s="44">
        <f>SUM(K756:K759)</f>
        <v>2.9032</v>
      </c>
      <c r="L755" s="69" t="s">
        <v>4</v>
      </c>
      <c r="AI755" s="50" t="s">
        <v>84</v>
      </c>
      <c r="AS755" s="44">
        <f>SUM(AJ756:AJ759)</f>
        <v>0</v>
      </c>
      <c r="AT755" s="44">
        <f>SUM(AK756:AK759)</f>
        <v>0</v>
      </c>
      <c r="AU755" s="44">
        <f>SUM(AL756:AL759)</f>
        <v>0</v>
      </c>
    </row>
    <row r="756" spans="1:75" ht="13.5" customHeight="1">
      <c r="A756" s="1" t="s">
        <v>1389</v>
      </c>
      <c r="B756" s="2" t="s">
        <v>84</v>
      </c>
      <c r="C756" s="2" t="s">
        <v>1390</v>
      </c>
      <c r="D756" s="108" t="s">
        <v>1391</v>
      </c>
      <c r="E756" s="103"/>
      <c r="F756" s="2" t="s">
        <v>263</v>
      </c>
      <c r="G756" s="38">
        <f>'Stavební rozpočet'!G756</f>
        <v>76.4</v>
      </c>
      <c r="H756" s="38">
        <f>'Stavební rozpočet'!H756</f>
        <v>0</v>
      </c>
      <c r="I756" s="38">
        <f>G756*H756</f>
        <v>0</v>
      </c>
      <c r="J756" s="38">
        <f>'Stavební rozpočet'!J756</f>
        <v>0.02</v>
      </c>
      <c r="K756" s="38">
        <f>G756*J756</f>
        <v>1.5280000000000002</v>
      </c>
      <c r="L756" s="71" t="s">
        <v>136</v>
      </c>
      <c r="Z756" s="38">
        <f>IF(AQ756="5",BJ756,0)</f>
        <v>0</v>
      </c>
      <c r="AB756" s="38">
        <f>IF(AQ756="1",BH756,0)</f>
        <v>0</v>
      </c>
      <c r="AC756" s="38">
        <f>IF(AQ756="1",BI756,0)</f>
        <v>0</v>
      </c>
      <c r="AD756" s="38">
        <f>IF(AQ756="7",BH756,0)</f>
        <v>0</v>
      </c>
      <c r="AE756" s="38">
        <f>IF(AQ756="7",BI756,0)</f>
        <v>0</v>
      </c>
      <c r="AF756" s="38">
        <f>IF(AQ756="2",BH756,0)</f>
        <v>0</v>
      </c>
      <c r="AG756" s="38">
        <f>IF(AQ756="2",BI756,0)</f>
        <v>0</v>
      </c>
      <c r="AH756" s="38">
        <f>IF(AQ756="0",BJ756,0)</f>
        <v>0</v>
      </c>
      <c r="AI756" s="50" t="s">
        <v>84</v>
      </c>
      <c r="AJ756" s="38">
        <f>IF(AN756=0,I756,0)</f>
        <v>0</v>
      </c>
      <c r="AK756" s="38">
        <f>IF(AN756=12,I756,0)</f>
        <v>0</v>
      </c>
      <c r="AL756" s="38">
        <f>IF(AN756=21,I756,0)</f>
        <v>0</v>
      </c>
      <c r="AN756" s="38">
        <v>21</v>
      </c>
      <c r="AO756" s="38">
        <f>H756*0</f>
        <v>0</v>
      </c>
      <c r="AP756" s="38">
        <f>H756*(1-0)</f>
        <v>0</v>
      </c>
      <c r="AQ756" s="72" t="s">
        <v>169</v>
      </c>
      <c r="AV756" s="38">
        <f>AW756+AX756</f>
        <v>0</v>
      </c>
      <c r="AW756" s="38">
        <f>G756*AO756</f>
        <v>0</v>
      </c>
      <c r="AX756" s="38">
        <f>G756*AP756</f>
        <v>0</v>
      </c>
      <c r="AY756" s="72" t="s">
        <v>1392</v>
      </c>
      <c r="AZ756" s="72" t="s">
        <v>1278</v>
      </c>
      <c r="BA756" s="50" t="s">
        <v>139</v>
      </c>
      <c r="BB756" s="73">
        <v>100008</v>
      </c>
      <c r="BC756" s="38">
        <f>AW756+AX756</f>
        <v>0</v>
      </c>
      <c r="BD756" s="38">
        <f>H756/(100-BE756)*100</f>
        <v>0</v>
      </c>
      <c r="BE756" s="38">
        <v>0</v>
      </c>
      <c r="BF756" s="38">
        <f>K756</f>
        <v>1.5280000000000002</v>
      </c>
      <c r="BH756" s="38">
        <f>G756*AO756</f>
        <v>0</v>
      </c>
      <c r="BI756" s="38">
        <f>G756*AP756</f>
        <v>0</v>
      </c>
      <c r="BJ756" s="38">
        <f>G756*H756</f>
        <v>0</v>
      </c>
      <c r="BK756" s="38"/>
      <c r="BL756" s="38">
        <v>775</v>
      </c>
      <c r="BW756" s="38">
        <v>21</v>
      </c>
    </row>
    <row r="757" spans="1:12" ht="15">
      <c r="A757" s="74"/>
      <c r="D757" s="75" t="s">
        <v>971</v>
      </c>
      <c r="E757" s="75" t="s">
        <v>972</v>
      </c>
      <c r="G757" s="76">
        <v>41.6</v>
      </c>
      <c r="L757" s="77"/>
    </row>
    <row r="758" spans="1:12" ht="15">
      <c r="A758" s="74"/>
      <c r="D758" s="75" t="s">
        <v>973</v>
      </c>
      <c r="E758" s="75" t="s">
        <v>974</v>
      </c>
      <c r="G758" s="76">
        <v>34.8</v>
      </c>
      <c r="L758" s="77"/>
    </row>
    <row r="759" spans="1:75" ht="13.5" customHeight="1">
      <c r="A759" s="1" t="s">
        <v>1393</v>
      </c>
      <c r="B759" s="2" t="s">
        <v>84</v>
      </c>
      <c r="C759" s="2" t="s">
        <v>1394</v>
      </c>
      <c r="D759" s="108" t="s">
        <v>1395</v>
      </c>
      <c r="E759" s="103"/>
      <c r="F759" s="2" t="s">
        <v>263</v>
      </c>
      <c r="G759" s="38">
        <f>'Stavební rozpočet'!G759</f>
        <v>76.4</v>
      </c>
      <c r="H759" s="38">
        <f>'Stavební rozpočet'!H759</f>
        <v>0</v>
      </c>
      <c r="I759" s="38">
        <f>G759*H759</f>
        <v>0</v>
      </c>
      <c r="J759" s="38">
        <f>'Stavební rozpočet'!J759</f>
        <v>0.018</v>
      </c>
      <c r="K759" s="38">
        <f>G759*J759</f>
        <v>1.3752</v>
      </c>
      <c r="L759" s="71" t="s">
        <v>136</v>
      </c>
      <c r="Z759" s="38">
        <f>IF(AQ759="5",BJ759,0)</f>
        <v>0</v>
      </c>
      <c r="AB759" s="38">
        <f>IF(AQ759="1",BH759,0)</f>
        <v>0</v>
      </c>
      <c r="AC759" s="38">
        <f>IF(AQ759="1",BI759,0)</f>
        <v>0</v>
      </c>
      <c r="AD759" s="38">
        <f>IF(AQ759="7",BH759,0)</f>
        <v>0</v>
      </c>
      <c r="AE759" s="38">
        <f>IF(AQ759="7",BI759,0)</f>
        <v>0</v>
      </c>
      <c r="AF759" s="38">
        <f>IF(AQ759="2",BH759,0)</f>
        <v>0</v>
      </c>
      <c r="AG759" s="38">
        <f>IF(AQ759="2",BI759,0)</f>
        <v>0</v>
      </c>
      <c r="AH759" s="38">
        <f>IF(AQ759="0",BJ759,0)</f>
        <v>0</v>
      </c>
      <c r="AI759" s="50" t="s">
        <v>84</v>
      </c>
      <c r="AJ759" s="38">
        <f>IF(AN759=0,I759,0)</f>
        <v>0</v>
      </c>
      <c r="AK759" s="38">
        <f>IF(AN759=12,I759,0)</f>
        <v>0</v>
      </c>
      <c r="AL759" s="38">
        <f>IF(AN759=21,I759,0)</f>
        <v>0</v>
      </c>
      <c r="AN759" s="38">
        <v>21</v>
      </c>
      <c r="AO759" s="38">
        <f>H759*0</f>
        <v>0</v>
      </c>
      <c r="AP759" s="38">
        <f>H759*(1-0)</f>
        <v>0</v>
      </c>
      <c r="AQ759" s="72" t="s">
        <v>169</v>
      </c>
      <c r="AV759" s="38">
        <f>AW759+AX759</f>
        <v>0</v>
      </c>
      <c r="AW759" s="38">
        <f>G759*AO759</f>
        <v>0</v>
      </c>
      <c r="AX759" s="38">
        <f>G759*AP759</f>
        <v>0</v>
      </c>
      <c r="AY759" s="72" t="s">
        <v>1392</v>
      </c>
      <c r="AZ759" s="72" t="s">
        <v>1278</v>
      </c>
      <c r="BA759" s="50" t="s">
        <v>139</v>
      </c>
      <c r="BB759" s="73">
        <v>100008</v>
      </c>
      <c r="BC759" s="38">
        <f>AW759+AX759</f>
        <v>0</v>
      </c>
      <c r="BD759" s="38">
        <f>H759/(100-BE759)*100</f>
        <v>0</v>
      </c>
      <c r="BE759" s="38">
        <v>0</v>
      </c>
      <c r="BF759" s="38">
        <f>K759</f>
        <v>1.3752</v>
      </c>
      <c r="BH759" s="38">
        <f>G759*AO759</f>
        <v>0</v>
      </c>
      <c r="BI759" s="38">
        <f>G759*AP759</f>
        <v>0</v>
      </c>
      <c r="BJ759" s="38">
        <f>G759*H759</f>
        <v>0</v>
      </c>
      <c r="BK759" s="38"/>
      <c r="BL759" s="38">
        <v>775</v>
      </c>
      <c r="BW759" s="38">
        <v>21</v>
      </c>
    </row>
    <row r="760" spans="1:12" ht="13.5" customHeight="1">
      <c r="A760" s="74"/>
      <c r="D760" s="194" t="s">
        <v>1396</v>
      </c>
      <c r="E760" s="195"/>
      <c r="F760" s="195"/>
      <c r="G760" s="195"/>
      <c r="H760" s="195"/>
      <c r="I760" s="195"/>
      <c r="J760" s="195"/>
      <c r="K760" s="195"/>
      <c r="L760" s="197"/>
    </row>
    <row r="761" spans="1:12" ht="15">
      <c r="A761" s="74"/>
      <c r="D761" s="75" t="s">
        <v>971</v>
      </c>
      <c r="E761" s="75" t="s">
        <v>972</v>
      </c>
      <c r="G761" s="76">
        <v>41.6</v>
      </c>
      <c r="L761" s="77"/>
    </row>
    <row r="762" spans="1:12" ht="15">
      <c r="A762" s="74"/>
      <c r="D762" s="75" t="s">
        <v>973</v>
      </c>
      <c r="E762" s="75" t="s">
        <v>974</v>
      </c>
      <c r="G762" s="76">
        <v>34.8</v>
      </c>
      <c r="L762" s="77"/>
    </row>
    <row r="763" spans="1:47" ht="15">
      <c r="A763" s="65" t="s">
        <v>4</v>
      </c>
      <c r="B763" s="66" t="s">
        <v>84</v>
      </c>
      <c r="C763" s="66" t="s">
        <v>1397</v>
      </c>
      <c r="D763" s="192" t="s">
        <v>1398</v>
      </c>
      <c r="E763" s="193"/>
      <c r="F763" s="67" t="s">
        <v>78</v>
      </c>
      <c r="G763" s="67" t="s">
        <v>78</v>
      </c>
      <c r="H763" s="67" t="s">
        <v>78</v>
      </c>
      <c r="I763" s="44">
        <f>SUM(I764:I787)</f>
        <v>0</v>
      </c>
      <c r="J763" s="50" t="s">
        <v>4</v>
      </c>
      <c r="K763" s="44">
        <f>SUM(K764:K787)</f>
        <v>1.2713954</v>
      </c>
      <c r="L763" s="69" t="s">
        <v>4</v>
      </c>
      <c r="AI763" s="50" t="s">
        <v>84</v>
      </c>
      <c r="AS763" s="44">
        <f>SUM(AJ764:AJ787)</f>
        <v>0</v>
      </c>
      <c r="AT763" s="44">
        <f>SUM(AK764:AK787)</f>
        <v>0</v>
      </c>
      <c r="AU763" s="44">
        <f>SUM(AL764:AL787)</f>
        <v>0</v>
      </c>
    </row>
    <row r="764" spans="1:75" ht="13.5" customHeight="1">
      <c r="A764" s="1" t="s">
        <v>1399</v>
      </c>
      <c r="B764" s="2" t="s">
        <v>84</v>
      </c>
      <c r="C764" s="2" t="s">
        <v>1400</v>
      </c>
      <c r="D764" s="108" t="s">
        <v>1401</v>
      </c>
      <c r="E764" s="103"/>
      <c r="F764" s="2" t="s">
        <v>263</v>
      </c>
      <c r="G764" s="38">
        <f>'Stavební rozpočet'!G764</f>
        <v>134.91</v>
      </c>
      <c r="H764" s="38">
        <f>'Stavební rozpočet'!H764</f>
        <v>0</v>
      </c>
      <c r="I764" s="38">
        <f>G764*H764</f>
        <v>0</v>
      </c>
      <c r="J764" s="38">
        <f>'Stavební rozpočet'!J764</f>
        <v>0.001</v>
      </c>
      <c r="K764" s="38">
        <f>G764*J764</f>
        <v>0.13491</v>
      </c>
      <c r="L764" s="71" t="s">
        <v>136</v>
      </c>
      <c r="Z764" s="38">
        <f>IF(AQ764="5",BJ764,0)</f>
        <v>0</v>
      </c>
      <c r="AB764" s="38">
        <f>IF(AQ764="1",BH764,0)</f>
        <v>0</v>
      </c>
      <c r="AC764" s="38">
        <f>IF(AQ764="1",BI764,0)</f>
        <v>0</v>
      </c>
      <c r="AD764" s="38">
        <f>IF(AQ764="7",BH764,0)</f>
        <v>0</v>
      </c>
      <c r="AE764" s="38">
        <f>IF(AQ764="7",BI764,0)</f>
        <v>0</v>
      </c>
      <c r="AF764" s="38">
        <f>IF(AQ764="2",BH764,0)</f>
        <v>0</v>
      </c>
      <c r="AG764" s="38">
        <f>IF(AQ764="2",BI764,0)</f>
        <v>0</v>
      </c>
      <c r="AH764" s="38">
        <f>IF(AQ764="0",BJ764,0)</f>
        <v>0</v>
      </c>
      <c r="AI764" s="50" t="s">
        <v>84</v>
      </c>
      <c r="AJ764" s="38">
        <f>IF(AN764=0,I764,0)</f>
        <v>0</v>
      </c>
      <c r="AK764" s="38">
        <f>IF(AN764=12,I764,0)</f>
        <v>0</v>
      </c>
      <c r="AL764" s="38">
        <f>IF(AN764=21,I764,0)</f>
        <v>0</v>
      </c>
      <c r="AN764" s="38">
        <v>21</v>
      </c>
      <c r="AO764" s="38">
        <f>H764*0</f>
        <v>0</v>
      </c>
      <c r="AP764" s="38">
        <f>H764*(1-0)</f>
        <v>0</v>
      </c>
      <c r="AQ764" s="72" t="s">
        <v>169</v>
      </c>
      <c r="AV764" s="38">
        <f>AW764+AX764</f>
        <v>0</v>
      </c>
      <c r="AW764" s="38">
        <f>G764*AO764</f>
        <v>0</v>
      </c>
      <c r="AX764" s="38">
        <f>G764*AP764</f>
        <v>0</v>
      </c>
      <c r="AY764" s="72" t="s">
        <v>1402</v>
      </c>
      <c r="AZ764" s="72" t="s">
        <v>1278</v>
      </c>
      <c r="BA764" s="50" t="s">
        <v>139</v>
      </c>
      <c r="BB764" s="73">
        <v>100009</v>
      </c>
      <c r="BC764" s="38">
        <f>AW764+AX764</f>
        <v>0</v>
      </c>
      <c r="BD764" s="38">
        <f>H764/(100-BE764)*100</f>
        <v>0</v>
      </c>
      <c r="BE764" s="38">
        <v>0</v>
      </c>
      <c r="BF764" s="38">
        <f>K764</f>
        <v>0.13491</v>
      </c>
      <c r="BH764" s="38">
        <f>G764*AO764</f>
        <v>0</v>
      </c>
      <c r="BI764" s="38">
        <f>G764*AP764</f>
        <v>0</v>
      </c>
      <c r="BJ764" s="38">
        <f>G764*H764</f>
        <v>0</v>
      </c>
      <c r="BK764" s="38"/>
      <c r="BL764" s="38">
        <v>776</v>
      </c>
      <c r="BW764" s="38">
        <v>21</v>
      </c>
    </row>
    <row r="765" spans="1:12" ht="13.5" customHeight="1">
      <c r="A765" s="74"/>
      <c r="D765" s="194" t="s">
        <v>1403</v>
      </c>
      <c r="E765" s="195"/>
      <c r="F765" s="195"/>
      <c r="G765" s="195"/>
      <c r="H765" s="195"/>
      <c r="I765" s="195"/>
      <c r="J765" s="195"/>
      <c r="K765" s="195"/>
      <c r="L765" s="197"/>
    </row>
    <row r="766" spans="1:12" ht="15">
      <c r="A766" s="74"/>
      <c r="D766" s="75" t="s">
        <v>1404</v>
      </c>
      <c r="E766" s="75" t="s">
        <v>1405</v>
      </c>
      <c r="G766" s="76">
        <v>66.46</v>
      </c>
      <c r="L766" s="77"/>
    </row>
    <row r="767" spans="1:12" ht="15">
      <c r="A767" s="74"/>
      <c r="D767" s="75" t="s">
        <v>1406</v>
      </c>
      <c r="E767" s="75" t="s">
        <v>1407</v>
      </c>
      <c r="G767" s="76">
        <v>13.8</v>
      </c>
      <c r="L767" s="77"/>
    </row>
    <row r="768" spans="1:12" ht="15">
      <c r="A768" s="74"/>
      <c r="D768" s="75" t="s">
        <v>1408</v>
      </c>
      <c r="E768" s="75" t="s">
        <v>1409</v>
      </c>
      <c r="G768" s="76">
        <v>38.2</v>
      </c>
      <c r="L768" s="77"/>
    </row>
    <row r="769" spans="1:12" ht="15">
      <c r="A769" s="74"/>
      <c r="D769" s="75" t="s">
        <v>1410</v>
      </c>
      <c r="E769" s="75" t="s">
        <v>1411</v>
      </c>
      <c r="G769" s="76">
        <v>7.3</v>
      </c>
      <c r="L769" s="77"/>
    </row>
    <row r="770" spans="1:12" ht="15">
      <c r="A770" s="74"/>
      <c r="D770" s="75" t="s">
        <v>703</v>
      </c>
      <c r="E770" s="75" t="s">
        <v>1412</v>
      </c>
      <c r="G770" s="76">
        <v>9.15</v>
      </c>
      <c r="L770" s="77"/>
    </row>
    <row r="771" spans="1:75" ht="13.5" customHeight="1">
      <c r="A771" s="1" t="s">
        <v>1413</v>
      </c>
      <c r="B771" s="2" t="s">
        <v>84</v>
      </c>
      <c r="C771" s="2" t="s">
        <v>1414</v>
      </c>
      <c r="D771" s="108" t="s">
        <v>1415</v>
      </c>
      <c r="E771" s="103"/>
      <c r="F771" s="2" t="s">
        <v>263</v>
      </c>
      <c r="G771" s="38">
        <f>'Stavební rozpočet'!G771</f>
        <v>265.98</v>
      </c>
      <c r="H771" s="38">
        <f>'Stavební rozpočet'!H771</f>
        <v>0</v>
      </c>
      <c r="I771" s="38">
        <f>G771*H771</f>
        <v>0</v>
      </c>
      <c r="J771" s="38">
        <f>'Stavební rozpočet'!J771</f>
        <v>0.00025</v>
      </c>
      <c r="K771" s="38">
        <f>G771*J771</f>
        <v>0.06649500000000001</v>
      </c>
      <c r="L771" s="71" t="s">
        <v>136</v>
      </c>
      <c r="Z771" s="38">
        <f>IF(AQ771="5",BJ771,0)</f>
        <v>0</v>
      </c>
      <c r="AB771" s="38">
        <f>IF(AQ771="1",BH771,0)</f>
        <v>0</v>
      </c>
      <c r="AC771" s="38">
        <f>IF(AQ771="1",BI771,0)</f>
        <v>0</v>
      </c>
      <c r="AD771" s="38">
        <f>IF(AQ771="7",BH771,0)</f>
        <v>0</v>
      </c>
      <c r="AE771" s="38">
        <f>IF(AQ771="7",BI771,0)</f>
        <v>0</v>
      </c>
      <c r="AF771" s="38">
        <f>IF(AQ771="2",BH771,0)</f>
        <v>0</v>
      </c>
      <c r="AG771" s="38">
        <f>IF(AQ771="2",BI771,0)</f>
        <v>0</v>
      </c>
      <c r="AH771" s="38">
        <f>IF(AQ771="0",BJ771,0)</f>
        <v>0</v>
      </c>
      <c r="AI771" s="50" t="s">
        <v>84</v>
      </c>
      <c r="AJ771" s="38">
        <f>IF(AN771=0,I771,0)</f>
        <v>0</v>
      </c>
      <c r="AK771" s="38">
        <f>IF(AN771=12,I771,0)</f>
        <v>0</v>
      </c>
      <c r="AL771" s="38">
        <f>IF(AN771=21,I771,0)</f>
        <v>0</v>
      </c>
      <c r="AN771" s="38">
        <v>21</v>
      </c>
      <c r="AO771" s="38">
        <f>H771*0.313879503</f>
        <v>0</v>
      </c>
      <c r="AP771" s="38">
        <f>H771*(1-0.313879503)</f>
        <v>0</v>
      </c>
      <c r="AQ771" s="72" t="s">
        <v>169</v>
      </c>
      <c r="AV771" s="38">
        <f>AW771+AX771</f>
        <v>0</v>
      </c>
      <c r="AW771" s="38">
        <f>G771*AO771</f>
        <v>0</v>
      </c>
      <c r="AX771" s="38">
        <f>G771*AP771</f>
        <v>0</v>
      </c>
      <c r="AY771" s="72" t="s">
        <v>1402</v>
      </c>
      <c r="AZ771" s="72" t="s">
        <v>1278</v>
      </c>
      <c r="BA771" s="50" t="s">
        <v>139</v>
      </c>
      <c r="BB771" s="73">
        <v>100009</v>
      </c>
      <c r="BC771" s="38">
        <f>AW771+AX771</f>
        <v>0</v>
      </c>
      <c r="BD771" s="38">
        <f>H771/(100-BE771)*100</f>
        <v>0</v>
      </c>
      <c r="BE771" s="38">
        <v>0</v>
      </c>
      <c r="BF771" s="38">
        <f>K771</f>
        <v>0.06649500000000001</v>
      </c>
      <c r="BH771" s="38">
        <f>G771*AO771</f>
        <v>0</v>
      </c>
      <c r="BI771" s="38">
        <f>G771*AP771</f>
        <v>0</v>
      </c>
      <c r="BJ771" s="38">
        <f>G771*H771</f>
        <v>0</v>
      </c>
      <c r="BK771" s="38"/>
      <c r="BL771" s="38">
        <v>776</v>
      </c>
      <c r="BW771" s="38">
        <v>21</v>
      </c>
    </row>
    <row r="772" spans="1:12" ht="15">
      <c r="A772" s="74"/>
      <c r="D772" s="75" t="s">
        <v>685</v>
      </c>
      <c r="E772" s="75" t="s">
        <v>686</v>
      </c>
      <c r="G772" s="76">
        <v>166.93</v>
      </c>
      <c r="L772" s="77"/>
    </row>
    <row r="773" spans="1:12" ht="15">
      <c r="A773" s="74"/>
      <c r="D773" s="75" t="s">
        <v>687</v>
      </c>
      <c r="E773" s="75" t="s">
        <v>688</v>
      </c>
      <c r="G773" s="76">
        <v>9.15</v>
      </c>
      <c r="L773" s="77"/>
    </row>
    <row r="774" spans="1:12" ht="15">
      <c r="A774" s="74"/>
      <c r="D774" s="75" t="s">
        <v>1416</v>
      </c>
      <c r="E774" s="75" t="s">
        <v>1319</v>
      </c>
      <c r="G774" s="76">
        <v>89.9</v>
      </c>
      <c r="L774" s="77"/>
    </row>
    <row r="775" spans="1:75" ht="13.5" customHeight="1">
      <c r="A775" s="78" t="s">
        <v>1417</v>
      </c>
      <c r="B775" s="79" t="s">
        <v>84</v>
      </c>
      <c r="C775" s="79" t="s">
        <v>1418</v>
      </c>
      <c r="D775" s="198" t="s">
        <v>1419</v>
      </c>
      <c r="E775" s="199"/>
      <c r="F775" s="79" t="s">
        <v>263</v>
      </c>
      <c r="G775" s="80">
        <f>'Stavební rozpočet'!G775</f>
        <v>302.41</v>
      </c>
      <c r="H775" s="80">
        <f>'Stavební rozpočet'!H775</f>
        <v>0</v>
      </c>
      <c r="I775" s="80">
        <f>G775*H775</f>
        <v>0</v>
      </c>
      <c r="J775" s="80">
        <f>'Stavební rozpočet'!J775</f>
        <v>0.0035</v>
      </c>
      <c r="K775" s="80">
        <f>G775*J775</f>
        <v>1.058435</v>
      </c>
      <c r="L775" s="82" t="s">
        <v>207</v>
      </c>
      <c r="Z775" s="38">
        <f>IF(AQ775="5",BJ775,0)</f>
        <v>0</v>
      </c>
      <c r="AB775" s="38">
        <f>IF(AQ775="1",BH775,0)</f>
        <v>0</v>
      </c>
      <c r="AC775" s="38">
        <f>IF(AQ775="1",BI775,0)</f>
        <v>0</v>
      </c>
      <c r="AD775" s="38">
        <f>IF(AQ775="7",BH775,0)</f>
        <v>0</v>
      </c>
      <c r="AE775" s="38">
        <f>IF(AQ775="7",BI775,0)</f>
        <v>0</v>
      </c>
      <c r="AF775" s="38">
        <f>IF(AQ775="2",BH775,0)</f>
        <v>0</v>
      </c>
      <c r="AG775" s="38">
        <f>IF(AQ775="2",BI775,0)</f>
        <v>0</v>
      </c>
      <c r="AH775" s="38">
        <f>IF(AQ775="0",BJ775,0)</f>
        <v>0</v>
      </c>
      <c r="AI775" s="50" t="s">
        <v>84</v>
      </c>
      <c r="AJ775" s="80">
        <f>IF(AN775=0,I775,0)</f>
        <v>0</v>
      </c>
      <c r="AK775" s="80">
        <f>IF(AN775=12,I775,0)</f>
        <v>0</v>
      </c>
      <c r="AL775" s="80">
        <f>IF(AN775=21,I775,0)</f>
        <v>0</v>
      </c>
      <c r="AN775" s="38">
        <v>21</v>
      </c>
      <c r="AO775" s="38">
        <f>H775*1</f>
        <v>0</v>
      </c>
      <c r="AP775" s="38">
        <f>H775*(1-1)</f>
        <v>0</v>
      </c>
      <c r="AQ775" s="83" t="s">
        <v>169</v>
      </c>
      <c r="AV775" s="38">
        <f>AW775+AX775</f>
        <v>0</v>
      </c>
      <c r="AW775" s="38">
        <f>G775*AO775</f>
        <v>0</v>
      </c>
      <c r="AX775" s="38">
        <f>G775*AP775</f>
        <v>0</v>
      </c>
      <c r="AY775" s="72" t="s">
        <v>1402</v>
      </c>
      <c r="AZ775" s="72" t="s">
        <v>1278</v>
      </c>
      <c r="BA775" s="50" t="s">
        <v>139</v>
      </c>
      <c r="BC775" s="38">
        <f>AW775+AX775</f>
        <v>0</v>
      </c>
      <c r="BD775" s="38">
        <f>H775/(100-BE775)*100</f>
        <v>0</v>
      </c>
      <c r="BE775" s="38">
        <v>0</v>
      </c>
      <c r="BF775" s="38">
        <f>K775</f>
        <v>1.058435</v>
      </c>
      <c r="BH775" s="80">
        <f>G775*AO775</f>
        <v>0</v>
      </c>
      <c r="BI775" s="80">
        <f>G775*AP775</f>
        <v>0</v>
      </c>
      <c r="BJ775" s="80">
        <f>G775*H775</f>
        <v>0</v>
      </c>
      <c r="BK775" s="80"/>
      <c r="BL775" s="38">
        <v>776</v>
      </c>
      <c r="BW775" s="38">
        <v>21</v>
      </c>
    </row>
    <row r="776" spans="1:12" ht="15">
      <c r="A776" s="74"/>
      <c r="D776" s="75" t="s">
        <v>1420</v>
      </c>
      <c r="E776" s="75" t="s">
        <v>1304</v>
      </c>
      <c r="G776" s="76">
        <v>265.98</v>
      </c>
      <c r="L776" s="77"/>
    </row>
    <row r="777" spans="1:12" ht="15">
      <c r="A777" s="74"/>
      <c r="D777" s="75" t="s">
        <v>1421</v>
      </c>
      <c r="E777" s="75" t="s">
        <v>1422</v>
      </c>
      <c r="G777" s="76">
        <v>8.94</v>
      </c>
      <c r="L777" s="77"/>
    </row>
    <row r="778" spans="1:12" ht="15">
      <c r="A778" s="74"/>
      <c r="D778" s="75" t="s">
        <v>1423</v>
      </c>
      <c r="E778" s="75" t="s">
        <v>4</v>
      </c>
      <c r="G778" s="76">
        <v>27.49</v>
      </c>
      <c r="L778" s="77"/>
    </row>
    <row r="779" spans="1:75" ht="13.5" customHeight="1">
      <c r="A779" s="1" t="s">
        <v>1424</v>
      </c>
      <c r="B779" s="2" t="s">
        <v>84</v>
      </c>
      <c r="C779" s="2" t="s">
        <v>1425</v>
      </c>
      <c r="D779" s="108" t="s">
        <v>1426</v>
      </c>
      <c r="E779" s="103"/>
      <c r="F779" s="2" t="s">
        <v>214</v>
      </c>
      <c r="G779" s="38">
        <f>'Stavební rozpočet'!G779</f>
        <v>178.8</v>
      </c>
      <c r="H779" s="38">
        <f>'Stavební rozpočet'!H779</f>
        <v>0</v>
      </c>
      <c r="I779" s="38">
        <f>G779*H779</f>
        <v>0</v>
      </c>
      <c r="J779" s="38">
        <f>'Stavební rozpočet'!J779</f>
        <v>2E-05</v>
      </c>
      <c r="K779" s="38">
        <f>G779*J779</f>
        <v>0.0035760000000000006</v>
      </c>
      <c r="L779" s="71" t="s">
        <v>207</v>
      </c>
      <c r="Z779" s="38">
        <f>IF(AQ779="5",BJ779,0)</f>
        <v>0</v>
      </c>
      <c r="AB779" s="38">
        <f>IF(AQ779="1",BH779,0)</f>
        <v>0</v>
      </c>
      <c r="AC779" s="38">
        <f>IF(AQ779="1",BI779,0)</f>
        <v>0</v>
      </c>
      <c r="AD779" s="38">
        <f>IF(AQ779="7",BH779,0)</f>
        <v>0</v>
      </c>
      <c r="AE779" s="38">
        <f>IF(AQ779="7",BI779,0)</f>
        <v>0</v>
      </c>
      <c r="AF779" s="38">
        <f>IF(AQ779="2",BH779,0)</f>
        <v>0</v>
      </c>
      <c r="AG779" s="38">
        <f>IF(AQ779="2",BI779,0)</f>
        <v>0</v>
      </c>
      <c r="AH779" s="38">
        <f>IF(AQ779="0",BJ779,0)</f>
        <v>0</v>
      </c>
      <c r="AI779" s="50" t="s">
        <v>84</v>
      </c>
      <c r="AJ779" s="38">
        <f>IF(AN779=0,I779,0)</f>
        <v>0</v>
      </c>
      <c r="AK779" s="38">
        <f>IF(AN779=12,I779,0)</f>
        <v>0</v>
      </c>
      <c r="AL779" s="38">
        <f>IF(AN779=21,I779,0)</f>
        <v>0</v>
      </c>
      <c r="AN779" s="38">
        <v>21</v>
      </c>
      <c r="AO779" s="38">
        <f>H779*0.519814663</f>
        <v>0</v>
      </c>
      <c r="AP779" s="38">
        <f>H779*(1-0.519814663)</f>
        <v>0</v>
      </c>
      <c r="AQ779" s="72" t="s">
        <v>169</v>
      </c>
      <c r="AV779" s="38">
        <f>AW779+AX779</f>
        <v>0</v>
      </c>
      <c r="AW779" s="38">
        <f>G779*AO779</f>
        <v>0</v>
      </c>
      <c r="AX779" s="38">
        <f>G779*AP779</f>
        <v>0</v>
      </c>
      <c r="AY779" s="72" t="s">
        <v>1402</v>
      </c>
      <c r="AZ779" s="72" t="s">
        <v>1278</v>
      </c>
      <c r="BA779" s="50" t="s">
        <v>139</v>
      </c>
      <c r="BB779" s="73">
        <v>100009</v>
      </c>
      <c r="BC779" s="38">
        <f>AW779+AX779</f>
        <v>0</v>
      </c>
      <c r="BD779" s="38">
        <f>H779/(100-BE779)*100</f>
        <v>0</v>
      </c>
      <c r="BE779" s="38">
        <v>0</v>
      </c>
      <c r="BF779" s="38">
        <f>K779</f>
        <v>0.0035760000000000006</v>
      </c>
      <c r="BH779" s="38">
        <f>G779*AO779</f>
        <v>0</v>
      </c>
      <c r="BI779" s="38">
        <f>G779*AP779</f>
        <v>0</v>
      </c>
      <c r="BJ779" s="38">
        <f>G779*H779</f>
        <v>0</v>
      </c>
      <c r="BK779" s="38"/>
      <c r="BL779" s="38">
        <v>776</v>
      </c>
      <c r="BW779" s="38">
        <v>21</v>
      </c>
    </row>
    <row r="780" spans="1:12" ht="13.5" customHeight="1">
      <c r="A780" s="74"/>
      <c r="D780" s="194" t="s">
        <v>1427</v>
      </c>
      <c r="E780" s="195"/>
      <c r="F780" s="195"/>
      <c r="G780" s="195"/>
      <c r="H780" s="195"/>
      <c r="I780" s="195"/>
      <c r="J780" s="195"/>
      <c r="K780" s="195"/>
      <c r="L780" s="197"/>
    </row>
    <row r="781" spans="1:12" ht="15">
      <c r="A781" s="74"/>
      <c r="D781" s="75" t="s">
        <v>710</v>
      </c>
      <c r="E781" s="75" t="s">
        <v>1428</v>
      </c>
      <c r="G781" s="76">
        <v>93</v>
      </c>
      <c r="L781" s="77"/>
    </row>
    <row r="782" spans="1:12" ht="15">
      <c r="A782" s="74"/>
      <c r="D782" s="75" t="s">
        <v>1429</v>
      </c>
      <c r="E782" s="75" t="s">
        <v>1319</v>
      </c>
      <c r="G782" s="76">
        <v>85.8</v>
      </c>
      <c r="L782" s="77"/>
    </row>
    <row r="783" spans="1:75" ht="13.5" customHeight="1">
      <c r="A783" s="1" t="s">
        <v>1430</v>
      </c>
      <c r="B783" s="2" t="s">
        <v>84</v>
      </c>
      <c r="C783" s="2" t="s">
        <v>1431</v>
      </c>
      <c r="D783" s="108" t="s">
        <v>1432</v>
      </c>
      <c r="E783" s="103"/>
      <c r="F783" s="2" t="s">
        <v>263</v>
      </c>
      <c r="G783" s="38">
        <f>'Stavební rozpočet'!G783</f>
        <v>265.98</v>
      </c>
      <c r="H783" s="38">
        <f>'Stavební rozpočet'!H783</f>
        <v>0</v>
      </c>
      <c r="I783" s="38">
        <f>G783*H783</f>
        <v>0</v>
      </c>
      <c r="J783" s="38">
        <f>'Stavební rozpočet'!J783</f>
        <v>3E-05</v>
      </c>
      <c r="K783" s="38">
        <f>G783*J783</f>
        <v>0.007979400000000001</v>
      </c>
      <c r="L783" s="71" t="s">
        <v>136</v>
      </c>
      <c r="Z783" s="38">
        <f>IF(AQ783="5",BJ783,0)</f>
        <v>0</v>
      </c>
      <c r="AB783" s="38">
        <f>IF(AQ783="1",BH783,0)</f>
        <v>0</v>
      </c>
      <c r="AC783" s="38">
        <f>IF(AQ783="1",BI783,0)</f>
        <v>0</v>
      </c>
      <c r="AD783" s="38">
        <f>IF(AQ783="7",BH783,0)</f>
        <v>0</v>
      </c>
      <c r="AE783" s="38">
        <f>IF(AQ783="7",BI783,0)</f>
        <v>0</v>
      </c>
      <c r="AF783" s="38">
        <f>IF(AQ783="2",BH783,0)</f>
        <v>0</v>
      </c>
      <c r="AG783" s="38">
        <f>IF(AQ783="2",BI783,0)</f>
        <v>0</v>
      </c>
      <c r="AH783" s="38">
        <f>IF(AQ783="0",BJ783,0)</f>
        <v>0</v>
      </c>
      <c r="AI783" s="50" t="s">
        <v>84</v>
      </c>
      <c r="AJ783" s="38">
        <f>IF(AN783=0,I783,0)</f>
        <v>0</v>
      </c>
      <c r="AK783" s="38">
        <f>IF(AN783=12,I783,0)</f>
        <v>0</v>
      </c>
      <c r="AL783" s="38">
        <f>IF(AN783=21,I783,0)</f>
        <v>0</v>
      </c>
      <c r="AN783" s="38">
        <v>21</v>
      </c>
      <c r="AO783" s="38">
        <f>H783*0.228366667</f>
        <v>0</v>
      </c>
      <c r="AP783" s="38">
        <f>H783*(1-0.228366667)</f>
        <v>0</v>
      </c>
      <c r="AQ783" s="72" t="s">
        <v>169</v>
      </c>
      <c r="AV783" s="38">
        <f>AW783+AX783</f>
        <v>0</v>
      </c>
      <c r="AW783" s="38">
        <f>G783*AO783</f>
        <v>0</v>
      </c>
      <c r="AX783" s="38">
        <f>G783*AP783</f>
        <v>0</v>
      </c>
      <c r="AY783" s="72" t="s">
        <v>1402</v>
      </c>
      <c r="AZ783" s="72" t="s">
        <v>1278</v>
      </c>
      <c r="BA783" s="50" t="s">
        <v>139</v>
      </c>
      <c r="BB783" s="73">
        <v>100009</v>
      </c>
      <c r="BC783" s="38">
        <f>AW783+AX783</f>
        <v>0</v>
      </c>
      <c r="BD783" s="38">
        <f>H783/(100-BE783)*100</f>
        <v>0</v>
      </c>
      <c r="BE783" s="38">
        <v>0</v>
      </c>
      <c r="BF783" s="38">
        <f>K783</f>
        <v>0.007979400000000001</v>
      </c>
      <c r="BH783" s="38">
        <f>G783*AO783</f>
        <v>0</v>
      </c>
      <c r="BI783" s="38">
        <f>G783*AP783</f>
        <v>0</v>
      </c>
      <c r="BJ783" s="38">
        <f>G783*H783</f>
        <v>0</v>
      </c>
      <c r="BK783" s="38"/>
      <c r="BL783" s="38">
        <v>776</v>
      </c>
      <c r="BW783" s="38">
        <v>21</v>
      </c>
    </row>
    <row r="784" spans="1:12" ht="15">
      <c r="A784" s="74"/>
      <c r="D784" s="75" t="s">
        <v>685</v>
      </c>
      <c r="E784" s="75" t="s">
        <v>686</v>
      </c>
      <c r="G784" s="76">
        <v>166.93</v>
      </c>
      <c r="L784" s="77"/>
    </row>
    <row r="785" spans="1:12" ht="15">
      <c r="A785" s="74"/>
      <c r="D785" s="75" t="s">
        <v>687</v>
      </c>
      <c r="E785" s="75" t="s">
        <v>688</v>
      </c>
      <c r="G785" s="76">
        <v>9.15</v>
      </c>
      <c r="L785" s="77"/>
    </row>
    <row r="786" spans="1:12" ht="15">
      <c r="A786" s="74"/>
      <c r="D786" s="75" t="s">
        <v>1416</v>
      </c>
      <c r="E786" s="75" t="s">
        <v>1319</v>
      </c>
      <c r="G786" s="76">
        <v>89.9</v>
      </c>
      <c r="L786" s="77"/>
    </row>
    <row r="787" spans="1:75" ht="13.5" customHeight="1">
      <c r="A787" s="1" t="s">
        <v>1433</v>
      </c>
      <c r="B787" s="2" t="s">
        <v>84</v>
      </c>
      <c r="C787" s="2" t="s">
        <v>1434</v>
      </c>
      <c r="D787" s="108" t="s">
        <v>1435</v>
      </c>
      <c r="E787" s="103"/>
      <c r="F787" s="2" t="s">
        <v>189</v>
      </c>
      <c r="G787" s="38">
        <f>'Stavební rozpočet'!G787</f>
        <v>1.14</v>
      </c>
      <c r="H787" s="38">
        <f>'Stavební rozpočet'!H787</f>
        <v>0</v>
      </c>
      <c r="I787" s="38">
        <f>G787*H787</f>
        <v>0</v>
      </c>
      <c r="J787" s="38">
        <f>'Stavební rozpočet'!J787</f>
        <v>0</v>
      </c>
      <c r="K787" s="38">
        <f>G787*J787</f>
        <v>0</v>
      </c>
      <c r="L787" s="71" t="s">
        <v>136</v>
      </c>
      <c r="Z787" s="38">
        <f>IF(AQ787="5",BJ787,0)</f>
        <v>0</v>
      </c>
      <c r="AB787" s="38">
        <f>IF(AQ787="1",BH787,0)</f>
        <v>0</v>
      </c>
      <c r="AC787" s="38">
        <f>IF(AQ787="1",BI787,0)</f>
        <v>0</v>
      </c>
      <c r="AD787" s="38">
        <f>IF(AQ787="7",BH787,0)</f>
        <v>0</v>
      </c>
      <c r="AE787" s="38">
        <f>IF(AQ787="7",BI787,0)</f>
        <v>0</v>
      </c>
      <c r="AF787" s="38">
        <f>IF(AQ787="2",BH787,0)</f>
        <v>0</v>
      </c>
      <c r="AG787" s="38">
        <f>IF(AQ787="2",BI787,0)</f>
        <v>0</v>
      </c>
      <c r="AH787" s="38">
        <f>IF(AQ787="0",BJ787,0)</f>
        <v>0</v>
      </c>
      <c r="AI787" s="50" t="s">
        <v>84</v>
      </c>
      <c r="AJ787" s="38">
        <f>IF(AN787=0,I787,0)</f>
        <v>0</v>
      </c>
      <c r="AK787" s="38">
        <f>IF(AN787=12,I787,0)</f>
        <v>0</v>
      </c>
      <c r="AL787" s="38">
        <f>IF(AN787=21,I787,0)</f>
        <v>0</v>
      </c>
      <c r="AN787" s="38">
        <v>21</v>
      </c>
      <c r="AO787" s="38">
        <f>H787*0</f>
        <v>0</v>
      </c>
      <c r="AP787" s="38">
        <f>H787*(1-0)</f>
        <v>0</v>
      </c>
      <c r="AQ787" s="72" t="s">
        <v>162</v>
      </c>
      <c r="AV787" s="38">
        <f>AW787+AX787</f>
        <v>0</v>
      </c>
      <c r="AW787" s="38">
        <f>G787*AO787</f>
        <v>0</v>
      </c>
      <c r="AX787" s="38">
        <f>G787*AP787</f>
        <v>0</v>
      </c>
      <c r="AY787" s="72" t="s">
        <v>1402</v>
      </c>
      <c r="AZ787" s="72" t="s">
        <v>1278</v>
      </c>
      <c r="BA787" s="50" t="s">
        <v>139</v>
      </c>
      <c r="BC787" s="38">
        <f>AW787+AX787</f>
        <v>0</v>
      </c>
      <c r="BD787" s="38">
        <f>H787/(100-BE787)*100</f>
        <v>0</v>
      </c>
      <c r="BE787" s="38">
        <v>0</v>
      </c>
      <c r="BF787" s="38">
        <f>K787</f>
        <v>0</v>
      </c>
      <c r="BH787" s="38">
        <f>G787*AO787</f>
        <v>0</v>
      </c>
      <c r="BI787" s="38">
        <f>G787*AP787</f>
        <v>0</v>
      </c>
      <c r="BJ787" s="38">
        <f>G787*H787</f>
        <v>0</v>
      </c>
      <c r="BK787" s="38"/>
      <c r="BL787" s="38">
        <v>776</v>
      </c>
      <c r="BW787" s="38">
        <v>21</v>
      </c>
    </row>
    <row r="788" spans="1:12" ht="15">
      <c r="A788" s="74"/>
      <c r="D788" s="75" t="s">
        <v>1436</v>
      </c>
      <c r="E788" s="75" t="s">
        <v>4</v>
      </c>
      <c r="G788" s="76">
        <v>1.14</v>
      </c>
      <c r="L788" s="77"/>
    </row>
    <row r="789" spans="1:47" ht="15">
      <c r="A789" s="65" t="s">
        <v>4</v>
      </c>
      <c r="B789" s="66" t="s">
        <v>84</v>
      </c>
      <c r="C789" s="66" t="s">
        <v>1437</v>
      </c>
      <c r="D789" s="192" t="s">
        <v>1438</v>
      </c>
      <c r="E789" s="193"/>
      <c r="F789" s="67" t="s">
        <v>78</v>
      </c>
      <c r="G789" s="67" t="s">
        <v>78</v>
      </c>
      <c r="H789" s="67" t="s">
        <v>78</v>
      </c>
      <c r="I789" s="44">
        <f>SUM(I790:I827)</f>
        <v>0</v>
      </c>
      <c r="J789" s="50" t="s">
        <v>4</v>
      </c>
      <c r="K789" s="44">
        <f>SUM(K790:K827)</f>
        <v>7.390169199999999</v>
      </c>
      <c r="L789" s="69" t="s">
        <v>4</v>
      </c>
      <c r="AI789" s="50" t="s">
        <v>84</v>
      </c>
      <c r="AS789" s="44">
        <f>SUM(AJ790:AJ827)</f>
        <v>0</v>
      </c>
      <c r="AT789" s="44">
        <f>SUM(AK790:AK827)</f>
        <v>0</v>
      </c>
      <c r="AU789" s="44">
        <f>SUM(AL790:AL827)</f>
        <v>0</v>
      </c>
    </row>
    <row r="790" spans="1:75" ht="13.5" customHeight="1">
      <c r="A790" s="1" t="s">
        <v>1439</v>
      </c>
      <c r="B790" s="2" t="s">
        <v>84</v>
      </c>
      <c r="C790" s="2" t="s">
        <v>1440</v>
      </c>
      <c r="D790" s="108" t="s">
        <v>1441</v>
      </c>
      <c r="E790" s="103"/>
      <c r="F790" s="2" t="s">
        <v>263</v>
      </c>
      <c r="G790" s="38">
        <f>'Stavební rozpočet'!G790</f>
        <v>14.06</v>
      </c>
      <c r="H790" s="38">
        <f>'Stavební rozpočet'!H790</f>
        <v>0</v>
      </c>
      <c r="I790" s="38">
        <f>G790*H790</f>
        <v>0</v>
      </c>
      <c r="J790" s="38">
        <f>'Stavební rozpočet'!J790</f>
        <v>0.06178</v>
      </c>
      <c r="K790" s="38">
        <f>G790*J790</f>
        <v>0.8686268</v>
      </c>
      <c r="L790" s="71" t="s">
        <v>207</v>
      </c>
      <c r="Z790" s="38">
        <f>IF(AQ790="5",BJ790,0)</f>
        <v>0</v>
      </c>
      <c r="AB790" s="38">
        <f>IF(AQ790="1",BH790,0)</f>
        <v>0</v>
      </c>
      <c r="AC790" s="38">
        <f>IF(AQ790="1",BI790,0)</f>
        <v>0</v>
      </c>
      <c r="AD790" s="38">
        <f>IF(AQ790="7",BH790,0)</f>
        <v>0</v>
      </c>
      <c r="AE790" s="38">
        <f>IF(AQ790="7",BI790,0)</f>
        <v>0</v>
      </c>
      <c r="AF790" s="38">
        <f>IF(AQ790="2",BH790,0)</f>
        <v>0</v>
      </c>
      <c r="AG790" s="38">
        <f>IF(AQ790="2",BI790,0)</f>
        <v>0</v>
      </c>
      <c r="AH790" s="38">
        <f>IF(AQ790="0",BJ790,0)</f>
        <v>0</v>
      </c>
      <c r="AI790" s="50" t="s">
        <v>84</v>
      </c>
      <c r="AJ790" s="38">
        <f>IF(AN790=0,I790,0)</f>
        <v>0</v>
      </c>
      <c r="AK790" s="38">
        <f>IF(AN790=12,I790,0)</f>
        <v>0</v>
      </c>
      <c r="AL790" s="38">
        <f>IF(AN790=21,I790,0)</f>
        <v>0</v>
      </c>
      <c r="AN790" s="38">
        <v>21</v>
      </c>
      <c r="AO790" s="38">
        <f>H790*0.096074801</f>
        <v>0</v>
      </c>
      <c r="AP790" s="38">
        <f>H790*(1-0.096074801)</f>
        <v>0</v>
      </c>
      <c r="AQ790" s="72" t="s">
        <v>169</v>
      </c>
      <c r="AV790" s="38">
        <f>AW790+AX790</f>
        <v>0</v>
      </c>
      <c r="AW790" s="38">
        <f>G790*AO790</f>
        <v>0</v>
      </c>
      <c r="AX790" s="38">
        <f>G790*AP790</f>
        <v>0</v>
      </c>
      <c r="AY790" s="72" t="s">
        <v>1442</v>
      </c>
      <c r="AZ790" s="72" t="s">
        <v>1443</v>
      </c>
      <c r="BA790" s="50" t="s">
        <v>139</v>
      </c>
      <c r="BB790" s="73">
        <v>100027</v>
      </c>
      <c r="BC790" s="38">
        <f>AW790+AX790</f>
        <v>0</v>
      </c>
      <c r="BD790" s="38">
        <f>H790/(100-BE790)*100</f>
        <v>0</v>
      </c>
      <c r="BE790" s="38">
        <v>0</v>
      </c>
      <c r="BF790" s="38">
        <f>K790</f>
        <v>0.8686268</v>
      </c>
      <c r="BH790" s="38">
        <f>G790*AO790</f>
        <v>0</v>
      </c>
      <c r="BI790" s="38">
        <f>G790*AP790</f>
        <v>0</v>
      </c>
      <c r="BJ790" s="38">
        <f>G790*H790</f>
        <v>0</v>
      </c>
      <c r="BK790" s="38"/>
      <c r="BL790" s="38">
        <v>781</v>
      </c>
      <c r="BW790" s="38">
        <v>21</v>
      </c>
    </row>
    <row r="791" spans="1:12" ht="15">
      <c r="A791" s="74"/>
      <c r="D791" s="75" t="s">
        <v>1444</v>
      </c>
      <c r="E791" s="75" t="s">
        <v>1445</v>
      </c>
      <c r="G791" s="76">
        <v>6.91</v>
      </c>
      <c r="L791" s="77"/>
    </row>
    <row r="792" spans="1:12" ht="15">
      <c r="A792" s="74"/>
      <c r="D792" s="75" t="s">
        <v>1446</v>
      </c>
      <c r="E792" s="75" t="s">
        <v>1447</v>
      </c>
      <c r="G792" s="76">
        <v>5.9</v>
      </c>
      <c r="L792" s="77"/>
    </row>
    <row r="793" spans="1:12" ht="15">
      <c r="A793" s="74"/>
      <c r="D793" s="75" t="s">
        <v>1448</v>
      </c>
      <c r="E793" s="75" t="s">
        <v>1449</v>
      </c>
      <c r="G793" s="76">
        <v>1.25</v>
      </c>
      <c r="L793" s="77"/>
    </row>
    <row r="794" spans="1:75" ht="13.5" customHeight="1">
      <c r="A794" s="78" t="s">
        <v>1450</v>
      </c>
      <c r="B794" s="79" t="s">
        <v>84</v>
      </c>
      <c r="C794" s="79" t="s">
        <v>1302</v>
      </c>
      <c r="D794" s="198" t="s">
        <v>1303</v>
      </c>
      <c r="E794" s="199"/>
      <c r="F794" s="79" t="s">
        <v>263</v>
      </c>
      <c r="G794" s="80">
        <f>'Stavební rozpočet'!G794</f>
        <v>14.73</v>
      </c>
      <c r="H794" s="80">
        <f>'Stavební rozpočet'!H794</f>
        <v>0</v>
      </c>
      <c r="I794" s="80">
        <f>G794*H794</f>
        <v>0</v>
      </c>
      <c r="J794" s="80">
        <f>'Stavební rozpočet'!J794</f>
        <v>0.059</v>
      </c>
      <c r="K794" s="80">
        <f>G794*J794</f>
        <v>0.86907</v>
      </c>
      <c r="L794" s="82" t="s">
        <v>136</v>
      </c>
      <c r="Z794" s="38">
        <f>IF(AQ794="5",BJ794,0)</f>
        <v>0</v>
      </c>
      <c r="AB794" s="38">
        <f>IF(AQ794="1",BH794,0)</f>
        <v>0</v>
      </c>
      <c r="AC794" s="38">
        <f>IF(AQ794="1",BI794,0)</f>
        <v>0</v>
      </c>
      <c r="AD794" s="38">
        <f>IF(AQ794="7",BH794,0)</f>
        <v>0</v>
      </c>
      <c r="AE794" s="38">
        <f>IF(AQ794="7",BI794,0)</f>
        <v>0</v>
      </c>
      <c r="AF794" s="38">
        <f>IF(AQ794="2",BH794,0)</f>
        <v>0</v>
      </c>
      <c r="AG794" s="38">
        <f>IF(AQ794="2",BI794,0)</f>
        <v>0</v>
      </c>
      <c r="AH794" s="38">
        <f>IF(AQ794="0",BJ794,0)</f>
        <v>0</v>
      </c>
      <c r="AI794" s="50" t="s">
        <v>84</v>
      </c>
      <c r="AJ794" s="80">
        <f>IF(AN794=0,I794,0)</f>
        <v>0</v>
      </c>
      <c r="AK794" s="80">
        <f>IF(AN794=12,I794,0)</f>
        <v>0</v>
      </c>
      <c r="AL794" s="80">
        <f>IF(AN794=21,I794,0)</f>
        <v>0</v>
      </c>
      <c r="AN794" s="38">
        <v>21</v>
      </c>
      <c r="AO794" s="38">
        <f>H794*1</f>
        <v>0</v>
      </c>
      <c r="AP794" s="38">
        <f>H794*(1-1)</f>
        <v>0</v>
      </c>
      <c r="AQ794" s="83" t="s">
        <v>169</v>
      </c>
      <c r="AV794" s="38">
        <f>AW794+AX794</f>
        <v>0</v>
      </c>
      <c r="AW794" s="38">
        <f>G794*AO794</f>
        <v>0</v>
      </c>
      <c r="AX794" s="38">
        <f>G794*AP794</f>
        <v>0</v>
      </c>
      <c r="AY794" s="72" t="s">
        <v>1442</v>
      </c>
      <c r="AZ794" s="72" t="s">
        <v>1443</v>
      </c>
      <c r="BA794" s="50" t="s">
        <v>139</v>
      </c>
      <c r="BC794" s="38">
        <f>AW794+AX794</f>
        <v>0</v>
      </c>
      <c r="BD794" s="38">
        <f>H794/(100-BE794)*100</f>
        <v>0</v>
      </c>
      <c r="BE794" s="38">
        <v>0</v>
      </c>
      <c r="BF794" s="38">
        <f>K794</f>
        <v>0.86907</v>
      </c>
      <c r="BH794" s="80">
        <f>G794*AO794</f>
        <v>0</v>
      </c>
      <c r="BI794" s="80">
        <f>G794*AP794</f>
        <v>0</v>
      </c>
      <c r="BJ794" s="80">
        <f>G794*H794</f>
        <v>0</v>
      </c>
      <c r="BK794" s="80"/>
      <c r="BL794" s="38">
        <v>781</v>
      </c>
      <c r="BW794" s="38">
        <v>21</v>
      </c>
    </row>
    <row r="795" spans="1:12" ht="15">
      <c r="A795" s="74"/>
      <c r="D795" s="75" t="s">
        <v>1451</v>
      </c>
      <c r="E795" s="75" t="s">
        <v>4</v>
      </c>
      <c r="G795" s="76">
        <v>12.81</v>
      </c>
      <c r="L795" s="77"/>
    </row>
    <row r="796" spans="1:12" ht="15">
      <c r="A796" s="74"/>
      <c r="D796" s="75" t="s">
        <v>1452</v>
      </c>
      <c r="E796" s="75" t="s">
        <v>4</v>
      </c>
      <c r="G796" s="76">
        <v>1.92</v>
      </c>
      <c r="L796" s="77"/>
    </row>
    <row r="797" spans="1:75" ht="13.5" customHeight="1">
      <c r="A797" s="1" t="s">
        <v>1453</v>
      </c>
      <c r="B797" s="2" t="s">
        <v>84</v>
      </c>
      <c r="C797" s="2" t="s">
        <v>1454</v>
      </c>
      <c r="D797" s="108" t="s">
        <v>1455</v>
      </c>
      <c r="E797" s="103"/>
      <c r="F797" s="2" t="s">
        <v>263</v>
      </c>
      <c r="G797" s="38">
        <f>'Stavební rozpočet'!G797</f>
        <v>5.9</v>
      </c>
      <c r="H797" s="38">
        <f>'Stavební rozpočet'!H797</f>
        <v>0</v>
      </c>
      <c r="I797" s="38">
        <f>G797*H797</f>
        <v>0</v>
      </c>
      <c r="J797" s="38">
        <f>'Stavební rozpočet'!J797</f>
        <v>0</v>
      </c>
      <c r="K797" s="38">
        <f>G797*J797</f>
        <v>0</v>
      </c>
      <c r="L797" s="71" t="s">
        <v>207</v>
      </c>
      <c r="Z797" s="38">
        <f>IF(AQ797="5",BJ797,0)</f>
        <v>0</v>
      </c>
      <c r="AB797" s="38">
        <f>IF(AQ797="1",BH797,0)</f>
        <v>0</v>
      </c>
      <c r="AC797" s="38">
        <f>IF(AQ797="1",BI797,0)</f>
        <v>0</v>
      </c>
      <c r="AD797" s="38">
        <f>IF(AQ797="7",BH797,0)</f>
        <v>0</v>
      </c>
      <c r="AE797" s="38">
        <f>IF(AQ797="7",BI797,0)</f>
        <v>0</v>
      </c>
      <c r="AF797" s="38">
        <f>IF(AQ797="2",BH797,0)</f>
        <v>0</v>
      </c>
      <c r="AG797" s="38">
        <f>IF(AQ797="2",BI797,0)</f>
        <v>0</v>
      </c>
      <c r="AH797" s="38">
        <f>IF(AQ797="0",BJ797,0)</f>
        <v>0</v>
      </c>
      <c r="AI797" s="50" t="s">
        <v>84</v>
      </c>
      <c r="AJ797" s="38">
        <f>IF(AN797=0,I797,0)</f>
        <v>0</v>
      </c>
      <c r="AK797" s="38">
        <f>IF(AN797=12,I797,0)</f>
        <v>0</v>
      </c>
      <c r="AL797" s="38">
        <f>IF(AN797=21,I797,0)</f>
        <v>0</v>
      </c>
      <c r="AN797" s="38">
        <v>21</v>
      </c>
      <c r="AO797" s="38">
        <f>H797*0</f>
        <v>0</v>
      </c>
      <c r="AP797" s="38">
        <f>H797*(1-0)</f>
        <v>0</v>
      </c>
      <c r="AQ797" s="72" t="s">
        <v>169</v>
      </c>
      <c r="AV797" s="38">
        <f>AW797+AX797</f>
        <v>0</v>
      </c>
      <c r="AW797" s="38">
        <f>G797*AO797</f>
        <v>0</v>
      </c>
      <c r="AX797" s="38">
        <f>G797*AP797</f>
        <v>0</v>
      </c>
      <c r="AY797" s="72" t="s">
        <v>1442</v>
      </c>
      <c r="AZ797" s="72" t="s">
        <v>1443</v>
      </c>
      <c r="BA797" s="50" t="s">
        <v>139</v>
      </c>
      <c r="BB797" s="73">
        <v>100027</v>
      </c>
      <c r="BC797" s="38">
        <f>AW797+AX797</f>
        <v>0</v>
      </c>
      <c r="BD797" s="38">
        <f>H797/(100-BE797)*100</f>
        <v>0</v>
      </c>
      <c r="BE797" s="38">
        <v>0</v>
      </c>
      <c r="BF797" s="38">
        <f>K797</f>
        <v>0</v>
      </c>
      <c r="BH797" s="38">
        <f>G797*AO797</f>
        <v>0</v>
      </c>
      <c r="BI797" s="38">
        <f>G797*AP797</f>
        <v>0</v>
      </c>
      <c r="BJ797" s="38">
        <f>G797*H797</f>
        <v>0</v>
      </c>
      <c r="BK797" s="38"/>
      <c r="BL797" s="38">
        <v>781</v>
      </c>
      <c r="BW797" s="38">
        <v>21</v>
      </c>
    </row>
    <row r="798" spans="1:12" ht="13.5" customHeight="1">
      <c r="A798" s="74"/>
      <c r="D798" s="194" t="s">
        <v>1456</v>
      </c>
      <c r="E798" s="195"/>
      <c r="F798" s="195"/>
      <c r="G798" s="195"/>
      <c r="H798" s="195"/>
      <c r="I798" s="195"/>
      <c r="J798" s="195"/>
      <c r="K798" s="195"/>
      <c r="L798" s="197"/>
    </row>
    <row r="799" spans="1:12" ht="15">
      <c r="A799" s="74"/>
      <c r="D799" s="75" t="s">
        <v>1446</v>
      </c>
      <c r="E799" s="75" t="s">
        <v>1447</v>
      </c>
      <c r="G799" s="76">
        <v>5.9</v>
      </c>
      <c r="L799" s="77"/>
    </row>
    <row r="800" spans="1:75" ht="13.5" customHeight="1">
      <c r="A800" s="1" t="s">
        <v>1457</v>
      </c>
      <c r="B800" s="2" t="s">
        <v>84</v>
      </c>
      <c r="C800" s="2" t="s">
        <v>1458</v>
      </c>
      <c r="D800" s="108" t="s">
        <v>1459</v>
      </c>
      <c r="E800" s="103"/>
      <c r="F800" s="2" t="s">
        <v>263</v>
      </c>
      <c r="G800" s="38">
        <f>'Stavební rozpočet'!G800</f>
        <v>25.2</v>
      </c>
      <c r="H800" s="38">
        <f>'Stavební rozpočet'!H800</f>
        <v>0</v>
      </c>
      <c r="I800" s="38">
        <f>G800*H800</f>
        <v>0</v>
      </c>
      <c r="J800" s="38">
        <f>'Stavební rozpočet'!J800</f>
        <v>0.06188</v>
      </c>
      <c r="K800" s="38">
        <f>G800*J800</f>
        <v>1.5593759999999999</v>
      </c>
      <c r="L800" s="71" t="s">
        <v>207</v>
      </c>
      <c r="Z800" s="38">
        <f>IF(AQ800="5",BJ800,0)</f>
        <v>0</v>
      </c>
      <c r="AB800" s="38">
        <f>IF(AQ800="1",BH800,0)</f>
        <v>0</v>
      </c>
      <c r="AC800" s="38">
        <f>IF(AQ800="1",BI800,0)</f>
        <v>0</v>
      </c>
      <c r="AD800" s="38">
        <f>IF(AQ800="7",BH800,0)</f>
        <v>0</v>
      </c>
      <c r="AE800" s="38">
        <f>IF(AQ800="7",BI800,0)</f>
        <v>0</v>
      </c>
      <c r="AF800" s="38">
        <f>IF(AQ800="2",BH800,0)</f>
        <v>0</v>
      </c>
      <c r="AG800" s="38">
        <f>IF(AQ800="2",BI800,0)</f>
        <v>0</v>
      </c>
      <c r="AH800" s="38">
        <f>IF(AQ800="0",BJ800,0)</f>
        <v>0</v>
      </c>
      <c r="AI800" s="50" t="s">
        <v>84</v>
      </c>
      <c r="AJ800" s="38">
        <f>IF(AN800=0,I800,0)</f>
        <v>0</v>
      </c>
      <c r="AK800" s="38">
        <f>IF(AN800=12,I800,0)</f>
        <v>0</v>
      </c>
      <c r="AL800" s="38">
        <f>IF(AN800=21,I800,0)</f>
        <v>0</v>
      </c>
      <c r="AN800" s="38">
        <v>21</v>
      </c>
      <c r="AO800" s="38">
        <f>H800*0.098208201</f>
        <v>0</v>
      </c>
      <c r="AP800" s="38">
        <f>H800*(1-0.098208201)</f>
        <v>0</v>
      </c>
      <c r="AQ800" s="72" t="s">
        <v>169</v>
      </c>
      <c r="AV800" s="38">
        <f>AW800+AX800</f>
        <v>0</v>
      </c>
      <c r="AW800" s="38">
        <f>G800*AO800</f>
        <v>0</v>
      </c>
      <c r="AX800" s="38">
        <f>G800*AP800</f>
        <v>0</v>
      </c>
      <c r="AY800" s="72" t="s">
        <v>1442</v>
      </c>
      <c r="AZ800" s="72" t="s">
        <v>1443</v>
      </c>
      <c r="BA800" s="50" t="s">
        <v>139</v>
      </c>
      <c r="BB800" s="73">
        <v>100027</v>
      </c>
      <c r="BC800" s="38">
        <f>AW800+AX800</f>
        <v>0</v>
      </c>
      <c r="BD800" s="38">
        <f>H800/(100-BE800)*100</f>
        <v>0</v>
      </c>
      <c r="BE800" s="38">
        <v>0</v>
      </c>
      <c r="BF800" s="38">
        <f>K800</f>
        <v>1.5593759999999999</v>
      </c>
      <c r="BH800" s="38">
        <f>G800*AO800</f>
        <v>0</v>
      </c>
      <c r="BI800" s="38">
        <f>G800*AP800</f>
        <v>0</v>
      </c>
      <c r="BJ800" s="38">
        <f>G800*H800</f>
        <v>0</v>
      </c>
      <c r="BK800" s="38"/>
      <c r="BL800" s="38">
        <v>781</v>
      </c>
      <c r="BW800" s="38">
        <v>21</v>
      </c>
    </row>
    <row r="801" spans="1:12" ht="15">
      <c r="A801" s="74"/>
      <c r="D801" s="75" t="s">
        <v>636</v>
      </c>
      <c r="E801" s="75" t="s">
        <v>1460</v>
      </c>
      <c r="G801" s="76">
        <v>25.2</v>
      </c>
      <c r="L801" s="77"/>
    </row>
    <row r="802" spans="1:75" ht="13.5" customHeight="1">
      <c r="A802" s="78" t="s">
        <v>1461</v>
      </c>
      <c r="B802" s="79" t="s">
        <v>84</v>
      </c>
      <c r="C802" s="79" t="s">
        <v>1302</v>
      </c>
      <c r="D802" s="198" t="s">
        <v>1303</v>
      </c>
      <c r="E802" s="199"/>
      <c r="F802" s="79" t="s">
        <v>263</v>
      </c>
      <c r="G802" s="80">
        <f>'Stavební rozpočet'!G802</f>
        <v>27.72</v>
      </c>
      <c r="H802" s="80">
        <f>'Stavební rozpočet'!H802</f>
        <v>0</v>
      </c>
      <c r="I802" s="80">
        <f>G802*H802</f>
        <v>0</v>
      </c>
      <c r="J802" s="80">
        <f>'Stavební rozpočet'!J802</f>
        <v>0.059</v>
      </c>
      <c r="K802" s="80">
        <f>G802*J802</f>
        <v>1.6354799999999998</v>
      </c>
      <c r="L802" s="82" t="s">
        <v>136</v>
      </c>
      <c r="Z802" s="38">
        <f>IF(AQ802="5",BJ802,0)</f>
        <v>0</v>
      </c>
      <c r="AB802" s="38">
        <f>IF(AQ802="1",BH802,0)</f>
        <v>0</v>
      </c>
      <c r="AC802" s="38">
        <f>IF(AQ802="1",BI802,0)</f>
        <v>0</v>
      </c>
      <c r="AD802" s="38">
        <f>IF(AQ802="7",BH802,0)</f>
        <v>0</v>
      </c>
      <c r="AE802" s="38">
        <f>IF(AQ802="7",BI802,0)</f>
        <v>0</v>
      </c>
      <c r="AF802" s="38">
        <f>IF(AQ802="2",BH802,0)</f>
        <v>0</v>
      </c>
      <c r="AG802" s="38">
        <f>IF(AQ802="2",BI802,0)</f>
        <v>0</v>
      </c>
      <c r="AH802" s="38">
        <f>IF(AQ802="0",BJ802,0)</f>
        <v>0</v>
      </c>
      <c r="AI802" s="50" t="s">
        <v>84</v>
      </c>
      <c r="AJ802" s="80">
        <f>IF(AN802=0,I802,0)</f>
        <v>0</v>
      </c>
      <c r="AK802" s="80">
        <f>IF(AN802=12,I802,0)</f>
        <v>0</v>
      </c>
      <c r="AL802" s="80">
        <f>IF(AN802=21,I802,0)</f>
        <v>0</v>
      </c>
      <c r="AN802" s="38">
        <v>21</v>
      </c>
      <c r="AO802" s="38">
        <f>H802*1</f>
        <v>0</v>
      </c>
      <c r="AP802" s="38">
        <f>H802*(1-1)</f>
        <v>0</v>
      </c>
      <c r="AQ802" s="83" t="s">
        <v>169</v>
      </c>
      <c r="AV802" s="38">
        <f>AW802+AX802</f>
        <v>0</v>
      </c>
      <c r="AW802" s="38">
        <f>G802*AO802</f>
        <v>0</v>
      </c>
      <c r="AX802" s="38">
        <f>G802*AP802</f>
        <v>0</v>
      </c>
      <c r="AY802" s="72" t="s">
        <v>1442</v>
      </c>
      <c r="AZ802" s="72" t="s">
        <v>1443</v>
      </c>
      <c r="BA802" s="50" t="s">
        <v>139</v>
      </c>
      <c r="BC802" s="38">
        <f>AW802+AX802</f>
        <v>0</v>
      </c>
      <c r="BD802" s="38">
        <f>H802/(100-BE802)*100</f>
        <v>0</v>
      </c>
      <c r="BE802" s="38">
        <v>0</v>
      </c>
      <c r="BF802" s="38">
        <f>K802</f>
        <v>1.6354799999999998</v>
      </c>
      <c r="BH802" s="80">
        <f>G802*AO802</f>
        <v>0</v>
      </c>
      <c r="BI802" s="80">
        <f>G802*AP802</f>
        <v>0</v>
      </c>
      <c r="BJ802" s="80">
        <f>G802*H802</f>
        <v>0</v>
      </c>
      <c r="BK802" s="80"/>
      <c r="BL802" s="38">
        <v>781</v>
      </c>
      <c r="BW802" s="38">
        <v>21</v>
      </c>
    </row>
    <row r="803" spans="1:12" ht="15">
      <c r="A803" s="74"/>
      <c r="D803" s="75" t="s">
        <v>636</v>
      </c>
      <c r="E803" s="75" t="s">
        <v>4</v>
      </c>
      <c r="G803" s="76">
        <v>25.2</v>
      </c>
      <c r="L803" s="77"/>
    </row>
    <row r="804" spans="1:12" ht="15">
      <c r="A804" s="74"/>
      <c r="D804" s="75" t="s">
        <v>1462</v>
      </c>
      <c r="E804" s="75" t="s">
        <v>4</v>
      </c>
      <c r="G804" s="76">
        <v>2.52</v>
      </c>
      <c r="L804" s="77"/>
    </row>
    <row r="805" spans="1:75" ht="13.5" customHeight="1">
      <c r="A805" s="1" t="s">
        <v>1463</v>
      </c>
      <c r="B805" s="2" t="s">
        <v>84</v>
      </c>
      <c r="C805" s="2" t="s">
        <v>1464</v>
      </c>
      <c r="D805" s="108" t="s">
        <v>1465</v>
      </c>
      <c r="E805" s="103"/>
      <c r="F805" s="2" t="s">
        <v>214</v>
      </c>
      <c r="G805" s="38">
        <f>'Stavební rozpočet'!G805</f>
        <v>5.35</v>
      </c>
      <c r="H805" s="38">
        <f>'Stavební rozpočet'!H805</f>
        <v>0</v>
      </c>
      <c r="I805" s="38">
        <f>G805*H805</f>
        <v>0</v>
      </c>
      <c r="J805" s="38">
        <f>'Stavební rozpočet'!J805</f>
        <v>0</v>
      </c>
      <c r="K805" s="38">
        <f>G805*J805</f>
        <v>0</v>
      </c>
      <c r="L805" s="71" t="s">
        <v>136</v>
      </c>
      <c r="Z805" s="38">
        <f>IF(AQ805="5",BJ805,0)</f>
        <v>0</v>
      </c>
      <c r="AB805" s="38">
        <f>IF(AQ805="1",BH805,0)</f>
        <v>0</v>
      </c>
      <c r="AC805" s="38">
        <f>IF(AQ805="1",BI805,0)</f>
        <v>0</v>
      </c>
      <c r="AD805" s="38">
        <f>IF(AQ805="7",BH805,0)</f>
        <v>0</v>
      </c>
      <c r="AE805" s="38">
        <f>IF(AQ805="7",BI805,0)</f>
        <v>0</v>
      </c>
      <c r="AF805" s="38">
        <f>IF(AQ805="2",BH805,0)</f>
        <v>0</v>
      </c>
      <c r="AG805" s="38">
        <f>IF(AQ805="2",BI805,0)</f>
        <v>0</v>
      </c>
      <c r="AH805" s="38">
        <f>IF(AQ805="0",BJ805,0)</f>
        <v>0</v>
      </c>
      <c r="AI805" s="50" t="s">
        <v>84</v>
      </c>
      <c r="AJ805" s="38">
        <f>IF(AN805=0,I805,0)</f>
        <v>0</v>
      </c>
      <c r="AK805" s="38">
        <f>IF(AN805=12,I805,0)</f>
        <v>0</v>
      </c>
      <c r="AL805" s="38">
        <f>IF(AN805=21,I805,0)</f>
        <v>0</v>
      </c>
      <c r="AN805" s="38">
        <v>21</v>
      </c>
      <c r="AO805" s="38">
        <f>H805*0.339084754</f>
        <v>0</v>
      </c>
      <c r="AP805" s="38">
        <f>H805*(1-0.339084754)</f>
        <v>0</v>
      </c>
      <c r="AQ805" s="72" t="s">
        <v>169</v>
      </c>
      <c r="AV805" s="38">
        <f>AW805+AX805</f>
        <v>0</v>
      </c>
      <c r="AW805" s="38">
        <f>G805*AO805</f>
        <v>0</v>
      </c>
      <c r="AX805" s="38">
        <f>G805*AP805</f>
        <v>0</v>
      </c>
      <c r="AY805" s="72" t="s">
        <v>1442</v>
      </c>
      <c r="AZ805" s="72" t="s">
        <v>1443</v>
      </c>
      <c r="BA805" s="50" t="s">
        <v>139</v>
      </c>
      <c r="BB805" s="73">
        <v>100027</v>
      </c>
      <c r="BC805" s="38">
        <f>AW805+AX805</f>
        <v>0</v>
      </c>
      <c r="BD805" s="38">
        <f>H805/(100-BE805)*100</f>
        <v>0</v>
      </c>
      <c r="BE805" s="38">
        <v>0</v>
      </c>
      <c r="BF805" s="38">
        <f>K805</f>
        <v>0</v>
      </c>
      <c r="BH805" s="38">
        <f>G805*AO805</f>
        <v>0</v>
      </c>
      <c r="BI805" s="38">
        <f>G805*AP805</f>
        <v>0</v>
      </c>
      <c r="BJ805" s="38">
        <f>G805*H805</f>
        <v>0</v>
      </c>
      <c r="BK805" s="38"/>
      <c r="BL805" s="38">
        <v>781</v>
      </c>
      <c r="BW805" s="38">
        <v>21</v>
      </c>
    </row>
    <row r="806" spans="1:12" ht="13.5" customHeight="1">
      <c r="A806" s="74"/>
      <c r="D806" s="194" t="s">
        <v>1466</v>
      </c>
      <c r="E806" s="195"/>
      <c r="F806" s="195"/>
      <c r="G806" s="195"/>
      <c r="H806" s="195"/>
      <c r="I806" s="195"/>
      <c r="J806" s="195"/>
      <c r="K806" s="195"/>
      <c r="L806" s="197"/>
    </row>
    <row r="807" spans="1:12" ht="15">
      <c r="A807" s="74"/>
      <c r="D807" s="75" t="s">
        <v>1467</v>
      </c>
      <c r="E807" s="75" t="s">
        <v>4</v>
      </c>
      <c r="G807" s="76">
        <v>5.35</v>
      </c>
      <c r="L807" s="77"/>
    </row>
    <row r="808" spans="1:75" ht="13.5" customHeight="1">
      <c r="A808" s="1" t="s">
        <v>1468</v>
      </c>
      <c r="B808" s="2" t="s">
        <v>84</v>
      </c>
      <c r="C808" s="2" t="s">
        <v>1469</v>
      </c>
      <c r="D808" s="108" t="s">
        <v>1470</v>
      </c>
      <c r="E808" s="103"/>
      <c r="F808" s="2" t="s">
        <v>263</v>
      </c>
      <c r="G808" s="38">
        <f>'Stavební rozpočet'!G808</f>
        <v>86.99</v>
      </c>
      <c r="H808" s="38">
        <f>'Stavební rozpočet'!H808</f>
        <v>0</v>
      </c>
      <c r="I808" s="38">
        <f>G808*H808</f>
        <v>0</v>
      </c>
      <c r="J808" s="38">
        <f>'Stavební rozpočet'!J808</f>
        <v>0.00535</v>
      </c>
      <c r="K808" s="38">
        <f>G808*J808</f>
        <v>0.46539649999999994</v>
      </c>
      <c r="L808" s="71" t="s">
        <v>136</v>
      </c>
      <c r="Z808" s="38">
        <f>IF(AQ808="5",BJ808,0)</f>
        <v>0</v>
      </c>
      <c r="AB808" s="38">
        <f>IF(AQ808="1",BH808,0)</f>
        <v>0</v>
      </c>
      <c r="AC808" s="38">
        <f>IF(AQ808="1",BI808,0)</f>
        <v>0</v>
      </c>
      <c r="AD808" s="38">
        <f>IF(AQ808="7",BH808,0)</f>
        <v>0</v>
      </c>
      <c r="AE808" s="38">
        <f>IF(AQ808="7",BI808,0)</f>
        <v>0</v>
      </c>
      <c r="AF808" s="38">
        <f>IF(AQ808="2",BH808,0)</f>
        <v>0</v>
      </c>
      <c r="AG808" s="38">
        <f>IF(AQ808="2",BI808,0)</f>
        <v>0</v>
      </c>
      <c r="AH808" s="38">
        <f>IF(AQ808="0",BJ808,0)</f>
        <v>0</v>
      </c>
      <c r="AI808" s="50" t="s">
        <v>84</v>
      </c>
      <c r="AJ808" s="38">
        <f>IF(AN808=0,I808,0)</f>
        <v>0</v>
      </c>
      <c r="AK808" s="38">
        <f>IF(AN808=12,I808,0)</f>
        <v>0</v>
      </c>
      <c r="AL808" s="38">
        <f>IF(AN808=21,I808,0)</f>
        <v>0</v>
      </c>
      <c r="AN808" s="38">
        <v>21</v>
      </c>
      <c r="AO808" s="38">
        <f>H808*0.214536839</f>
        <v>0</v>
      </c>
      <c r="AP808" s="38">
        <f>H808*(1-0.214536839)</f>
        <v>0</v>
      </c>
      <c r="AQ808" s="72" t="s">
        <v>169</v>
      </c>
      <c r="AV808" s="38">
        <f>AW808+AX808</f>
        <v>0</v>
      </c>
      <c r="AW808" s="38">
        <f>G808*AO808</f>
        <v>0</v>
      </c>
      <c r="AX808" s="38">
        <f>G808*AP808</f>
        <v>0</v>
      </c>
      <c r="AY808" s="72" t="s">
        <v>1442</v>
      </c>
      <c r="AZ808" s="72" t="s">
        <v>1443</v>
      </c>
      <c r="BA808" s="50" t="s">
        <v>139</v>
      </c>
      <c r="BB808" s="73">
        <v>100027</v>
      </c>
      <c r="BC808" s="38">
        <f>AW808+AX808</f>
        <v>0</v>
      </c>
      <c r="BD808" s="38">
        <f>H808/(100-BE808)*100</f>
        <v>0</v>
      </c>
      <c r="BE808" s="38">
        <v>0</v>
      </c>
      <c r="BF808" s="38">
        <f>K808</f>
        <v>0.46539649999999994</v>
      </c>
      <c r="BH808" s="38">
        <f>G808*AO808</f>
        <v>0</v>
      </c>
      <c r="BI808" s="38">
        <f>G808*AP808</f>
        <v>0</v>
      </c>
      <c r="BJ808" s="38">
        <f>G808*H808</f>
        <v>0</v>
      </c>
      <c r="BK808" s="38"/>
      <c r="BL808" s="38">
        <v>781</v>
      </c>
      <c r="BW808" s="38">
        <v>21</v>
      </c>
    </row>
    <row r="809" spans="1:12" ht="15">
      <c r="A809" s="74"/>
      <c r="D809" s="75" t="s">
        <v>1471</v>
      </c>
      <c r="E809" s="75" t="s">
        <v>847</v>
      </c>
      <c r="G809" s="76">
        <v>2.27</v>
      </c>
      <c r="L809" s="77"/>
    </row>
    <row r="810" spans="1:12" ht="15">
      <c r="A810" s="74"/>
      <c r="D810" s="75" t="s">
        <v>1472</v>
      </c>
      <c r="E810" s="75" t="s">
        <v>1347</v>
      </c>
      <c r="G810" s="76">
        <v>84.72</v>
      </c>
      <c r="L810" s="77"/>
    </row>
    <row r="811" spans="1:75" ht="13.5" customHeight="1">
      <c r="A811" s="78" t="s">
        <v>1473</v>
      </c>
      <c r="B811" s="79" t="s">
        <v>84</v>
      </c>
      <c r="C811" s="79" t="s">
        <v>1474</v>
      </c>
      <c r="D811" s="198" t="s">
        <v>1475</v>
      </c>
      <c r="E811" s="199"/>
      <c r="F811" s="79" t="s">
        <v>263</v>
      </c>
      <c r="G811" s="80">
        <f>'Stavební rozpočet'!G811</f>
        <v>100.73</v>
      </c>
      <c r="H811" s="80">
        <f>'Stavební rozpočet'!H811</f>
        <v>0</v>
      </c>
      <c r="I811" s="80">
        <f>G811*H811</f>
        <v>0</v>
      </c>
      <c r="J811" s="80">
        <f>'Stavební rozpočet'!J811</f>
        <v>0.01943</v>
      </c>
      <c r="K811" s="80">
        <f>G811*J811</f>
        <v>1.9571839</v>
      </c>
      <c r="L811" s="82" t="s">
        <v>207</v>
      </c>
      <c r="Z811" s="38">
        <f>IF(AQ811="5",BJ811,0)</f>
        <v>0</v>
      </c>
      <c r="AB811" s="38">
        <f>IF(AQ811="1",BH811,0)</f>
        <v>0</v>
      </c>
      <c r="AC811" s="38">
        <f>IF(AQ811="1",BI811,0)</f>
        <v>0</v>
      </c>
      <c r="AD811" s="38">
        <f>IF(AQ811="7",BH811,0)</f>
        <v>0</v>
      </c>
      <c r="AE811" s="38">
        <f>IF(AQ811="7",BI811,0)</f>
        <v>0</v>
      </c>
      <c r="AF811" s="38">
        <f>IF(AQ811="2",BH811,0)</f>
        <v>0</v>
      </c>
      <c r="AG811" s="38">
        <f>IF(AQ811="2",BI811,0)</f>
        <v>0</v>
      </c>
      <c r="AH811" s="38">
        <f>IF(AQ811="0",BJ811,0)</f>
        <v>0</v>
      </c>
      <c r="AI811" s="50" t="s">
        <v>84</v>
      </c>
      <c r="AJ811" s="80">
        <f>IF(AN811=0,I811,0)</f>
        <v>0</v>
      </c>
      <c r="AK811" s="80">
        <f>IF(AN811=12,I811,0)</f>
        <v>0</v>
      </c>
      <c r="AL811" s="80">
        <f>IF(AN811=21,I811,0)</f>
        <v>0</v>
      </c>
      <c r="AN811" s="38">
        <v>21</v>
      </c>
      <c r="AO811" s="38">
        <f>H811*1</f>
        <v>0</v>
      </c>
      <c r="AP811" s="38">
        <f>H811*(1-1)</f>
        <v>0</v>
      </c>
      <c r="AQ811" s="83" t="s">
        <v>169</v>
      </c>
      <c r="AV811" s="38">
        <f>AW811+AX811</f>
        <v>0</v>
      </c>
      <c r="AW811" s="38">
        <f>G811*AO811</f>
        <v>0</v>
      </c>
      <c r="AX811" s="38">
        <f>G811*AP811</f>
        <v>0</v>
      </c>
      <c r="AY811" s="72" t="s">
        <v>1442</v>
      </c>
      <c r="AZ811" s="72" t="s">
        <v>1443</v>
      </c>
      <c r="BA811" s="50" t="s">
        <v>139</v>
      </c>
      <c r="BC811" s="38">
        <f>AW811+AX811</f>
        <v>0</v>
      </c>
      <c r="BD811" s="38">
        <f>H811/(100-BE811)*100</f>
        <v>0</v>
      </c>
      <c r="BE811" s="38">
        <v>0</v>
      </c>
      <c r="BF811" s="38">
        <f>K811</f>
        <v>1.9571839</v>
      </c>
      <c r="BH811" s="80">
        <f>G811*AO811</f>
        <v>0</v>
      </c>
      <c r="BI811" s="80">
        <f>G811*AP811</f>
        <v>0</v>
      </c>
      <c r="BJ811" s="80">
        <f>G811*H811</f>
        <v>0</v>
      </c>
      <c r="BK811" s="80"/>
      <c r="BL811" s="38">
        <v>781</v>
      </c>
      <c r="BW811" s="38">
        <v>21</v>
      </c>
    </row>
    <row r="812" spans="1:12" ht="15">
      <c r="A812" s="74"/>
      <c r="D812" s="75" t="s">
        <v>1476</v>
      </c>
      <c r="E812" s="75" t="s">
        <v>1477</v>
      </c>
      <c r="G812" s="76">
        <v>86.99</v>
      </c>
      <c r="L812" s="77"/>
    </row>
    <row r="813" spans="1:12" ht="15">
      <c r="A813" s="74"/>
      <c r="D813" s="75" t="s">
        <v>1478</v>
      </c>
      <c r="E813" s="75" t="s">
        <v>1479</v>
      </c>
      <c r="G813" s="76">
        <v>0.6</v>
      </c>
      <c r="L813" s="77"/>
    </row>
    <row r="814" spans="1:12" ht="15">
      <c r="A814" s="74"/>
      <c r="D814" s="75" t="s">
        <v>1480</v>
      </c>
      <c r="E814" s="75" t="s">
        <v>4</v>
      </c>
      <c r="G814" s="76">
        <v>13.14</v>
      </c>
      <c r="L814" s="77"/>
    </row>
    <row r="815" spans="1:75" ht="13.5" customHeight="1">
      <c r="A815" s="1" t="s">
        <v>1481</v>
      </c>
      <c r="B815" s="2" t="s">
        <v>84</v>
      </c>
      <c r="C815" s="2" t="s">
        <v>1482</v>
      </c>
      <c r="D815" s="108" t="s">
        <v>1483</v>
      </c>
      <c r="E815" s="103"/>
      <c r="F815" s="2" t="s">
        <v>214</v>
      </c>
      <c r="G815" s="38">
        <f>'Stavební rozpočet'!G815</f>
        <v>1.58</v>
      </c>
      <c r="H815" s="38">
        <f>'Stavební rozpočet'!H815</f>
        <v>0</v>
      </c>
      <c r="I815" s="38">
        <f>G815*H815</f>
        <v>0</v>
      </c>
      <c r="J815" s="38">
        <f>'Stavební rozpočet'!J815</f>
        <v>0</v>
      </c>
      <c r="K815" s="38">
        <f>G815*J815</f>
        <v>0</v>
      </c>
      <c r="L815" s="71" t="s">
        <v>136</v>
      </c>
      <c r="Z815" s="38">
        <f>IF(AQ815="5",BJ815,0)</f>
        <v>0</v>
      </c>
      <c r="AB815" s="38">
        <f>IF(AQ815="1",BH815,0)</f>
        <v>0</v>
      </c>
      <c r="AC815" s="38">
        <f>IF(AQ815="1",BI815,0)</f>
        <v>0</v>
      </c>
      <c r="AD815" s="38">
        <f>IF(AQ815="7",BH815,0)</f>
        <v>0</v>
      </c>
      <c r="AE815" s="38">
        <f>IF(AQ815="7",BI815,0)</f>
        <v>0</v>
      </c>
      <c r="AF815" s="38">
        <f>IF(AQ815="2",BH815,0)</f>
        <v>0</v>
      </c>
      <c r="AG815" s="38">
        <f>IF(AQ815="2",BI815,0)</f>
        <v>0</v>
      </c>
      <c r="AH815" s="38">
        <f>IF(AQ815="0",BJ815,0)</f>
        <v>0</v>
      </c>
      <c r="AI815" s="50" t="s">
        <v>84</v>
      </c>
      <c r="AJ815" s="38">
        <f>IF(AN815=0,I815,0)</f>
        <v>0</v>
      </c>
      <c r="AK815" s="38">
        <f>IF(AN815=12,I815,0)</f>
        <v>0</v>
      </c>
      <c r="AL815" s="38">
        <f>IF(AN815=21,I815,0)</f>
        <v>0</v>
      </c>
      <c r="AN815" s="38">
        <v>21</v>
      </c>
      <c r="AO815" s="38">
        <f>H815*0</f>
        <v>0</v>
      </c>
      <c r="AP815" s="38">
        <f>H815*(1-0)</f>
        <v>0</v>
      </c>
      <c r="AQ815" s="72" t="s">
        <v>169</v>
      </c>
      <c r="AV815" s="38">
        <f>AW815+AX815</f>
        <v>0</v>
      </c>
      <c r="AW815" s="38">
        <f>G815*AO815</f>
        <v>0</v>
      </c>
      <c r="AX815" s="38">
        <f>G815*AP815</f>
        <v>0</v>
      </c>
      <c r="AY815" s="72" t="s">
        <v>1442</v>
      </c>
      <c r="AZ815" s="72" t="s">
        <v>1443</v>
      </c>
      <c r="BA815" s="50" t="s">
        <v>139</v>
      </c>
      <c r="BB815" s="73">
        <v>100027</v>
      </c>
      <c r="BC815" s="38">
        <f>AW815+AX815</f>
        <v>0</v>
      </c>
      <c r="BD815" s="38">
        <f>H815/(100-BE815)*100</f>
        <v>0</v>
      </c>
      <c r="BE815" s="38">
        <v>0</v>
      </c>
      <c r="BF815" s="38">
        <f>K815</f>
        <v>0</v>
      </c>
      <c r="BH815" s="38">
        <f>G815*AO815</f>
        <v>0</v>
      </c>
      <c r="BI815" s="38">
        <f>G815*AP815</f>
        <v>0</v>
      </c>
      <c r="BJ815" s="38">
        <f>G815*H815</f>
        <v>0</v>
      </c>
      <c r="BK815" s="38"/>
      <c r="BL815" s="38">
        <v>781</v>
      </c>
      <c r="BW815" s="38">
        <v>21</v>
      </c>
    </row>
    <row r="816" spans="1:12" ht="15">
      <c r="A816" s="74"/>
      <c r="D816" s="75" t="s">
        <v>1013</v>
      </c>
      <c r="E816" s="75" t="s">
        <v>1484</v>
      </c>
      <c r="G816" s="76">
        <v>0.98</v>
      </c>
      <c r="L816" s="77"/>
    </row>
    <row r="817" spans="1:12" ht="15">
      <c r="A817" s="74"/>
      <c r="D817" s="75" t="s">
        <v>1485</v>
      </c>
      <c r="E817" s="75" t="s">
        <v>1486</v>
      </c>
      <c r="G817" s="76">
        <v>0.6</v>
      </c>
      <c r="L817" s="77"/>
    </row>
    <row r="818" spans="1:75" ht="13.5" customHeight="1">
      <c r="A818" s="1" t="s">
        <v>1487</v>
      </c>
      <c r="B818" s="2" t="s">
        <v>84</v>
      </c>
      <c r="C818" s="2" t="s">
        <v>1488</v>
      </c>
      <c r="D818" s="108" t="s">
        <v>1489</v>
      </c>
      <c r="E818" s="103"/>
      <c r="F818" s="2" t="s">
        <v>214</v>
      </c>
      <c r="G818" s="38">
        <f>'Stavební rozpočet'!G818</f>
        <v>0.6</v>
      </c>
      <c r="H818" s="38">
        <f>'Stavební rozpočet'!H818</f>
        <v>0</v>
      </c>
      <c r="I818" s="38">
        <f>G818*H818</f>
        <v>0</v>
      </c>
      <c r="J818" s="38">
        <f>'Stavební rozpočet'!J818</f>
        <v>0</v>
      </c>
      <c r="K818" s="38">
        <f>G818*J818</f>
        <v>0</v>
      </c>
      <c r="L818" s="71" t="s">
        <v>207</v>
      </c>
      <c r="Z818" s="38">
        <f>IF(AQ818="5",BJ818,0)</f>
        <v>0</v>
      </c>
      <c r="AB818" s="38">
        <f>IF(AQ818="1",BH818,0)</f>
        <v>0</v>
      </c>
      <c r="AC818" s="38">
        <f>IF(AQ818="1",BI818,0)</f>
        <v>0</v>
      </c>
      <c r="AD818" s="38">
        <f>IF(AQ818="7",BH818,0)</f>
        <v>0</v>
      </c>
      <c r="AE818" s="38">
        <f>IF(AQ818="7",BI818,0)</f>
        <v>0</v>
      </c>
      <c r="AF818" s="38">
        <f>IF(AQ818="2",BH818,0)</f>
        <v>0</v>
      </c>
      <c r="AG818" s="38">
        <f>IF(AQ818="2",BI818,0)</f>
        <v>0</v>
      </c>
      <c r="AH818" s="38">
        <f>IF(AQ818="0",BJ818,0)</f>
        <v>0</v>
      </c>
      <c r="AI818" s="50" t="s">
        <v>84</v>
      </c>
      <c r="AJ818" s="38">
        <f>IF(AN818=0,I818,0)</f>
        <v>0</v>
      </c>
      <c r="AK818" s="38">
        <f>IF(AN818=12,I818,0)</f>
        <v>0</v>
      </c>
      <c r="AL818" s="38">
        <f>IF(AN818=21,I818,0)</f>
        <v>0</v>
      </c>
      <c r="AN818" s="38">
        <v>21</v>
      </c>
      <c r="AO818" s="38">
        <f>H818*0.146341463</f>
        <v>0</v>
      </c>
      <c r="AP818" s="38">
        <f>H818*(1-0.146341463)</f>
        <v>0</v>
      </c>
      <c r="AQ818" s="72" t="s">
        <v>169</v>
      </c>
      <c r="AV818" s="38">
        <f>AW818+AX818</f>
        <v>0</v>
      </c>
      <c r="AW818" s="38">
        <f>G818*AO818</f>
        <v>0</v>
      </c>
      <c r="AX818" s="38">
        <f>G818*AP818</f>
        <v>0</v>
      </c>
      <c r="AY818" s="72" t="s">
        <v>1442</v>
      </c>
      <c r="AZ818" s="72" t="s">
        <v>1443</v>
      </c>
      <c r="BA818" s="50" t="s">
        <v>139</v>
      </c>
      <c r="BB818" s="73">
        <v>100027</v>
      </c>
      <c r="BC818" s="38">
        <f>AW818+AX818</f>
        <v>0</v>
      </c>
      <c r="BD818" s="38">
        <f>H818/(100-BE818)*100</f>
        <v>0</v>
      </c>
      <c r="BE818" s="38">
        <v>0</v>
      </c>
      <c r="BF818" s="38">
        <f>K818</f>
        <v>0</v>
      </c>
      <c r="BH818" s="38">
        <f>G818*AO818</f>
        <v>0</v>
      </c>
      <c r="BI818" s="38">
        <f>G818*AP818</f>
        <v>0</v>
      </c>
      <c r="BJ818" s="38">
        <f>G818*H818</f>
        <v>0</v>
      </c>
      <c r="BK818" s="38"/>
      <c r="BL818" s="38">
        <v>781</v>
      </c>
      <c r="BW818" s="38">
        <v>21</v>
      </c>
    </row>
    <row r="819" spans="1:12" ht="13.5" customHeight="1">
      <c r="A819" s="74"/>
      <c r="D819" s="194" t="s">
        <v>1490</v>
      </c>
      <c r="E819" s="195"/>
      <c r="F819" s="195"/>
      <c r="G819" s="195"/>
      <c r="H819" s="195"/>
      <c r="I819" s="195"/>
      <c r="J819" s="195"/>
      <c r="K819" s="195"/>
      <c r="L819" s="197"/>
    </row>
    <row r="820" spans="1:12" ht="15">
      <c r="A820" s="74"/>
      <c r="D820" s="75" t="s">
        <v>1485</v>
      </c>
      <c r="E820" s="75" t="s">
        <v>1486</v>
      </c>
      <c r="G820" s="76">
        <v>0.6</v>
      </c>
      <c r="L820" s="77"/>
    </row>
    <row r="821" spans="1:75" ht="13.5" customHeight="1">
      <c r="A821" s="1" t="s">
        <v>1491</v>
      </c>
      <c r="B821" s="2" t="s">
        <v>84</v>
      </c>
      <c r="C821" s="2" t="s">
        <v>1492</v>
      </c>
      <c r="D821" s="108" t="s">
        <v>1493</v>
      </c>
      <c r="E821" s="103"/>
      <c r="F821" s="2" t="s">
        <v>263</v>
      </c>
      <c r="G821" s="38">
        <f>'Stavební rozpočet'!G821</f>
        <v>87.59</v>
      </c>
      <c r="H821" s="38">
        <f>'Stavební rozpočet'!H821</f>
        <v>0</v>
      </c>
      <c r="I821" s="38">
        <f>G821*H821</f>
        <v>0</v>
      </c>
      <c r="J821" s="38">
        <f>'Stavební rozpočet'!J821</f>
        <v>0.0004</v>
      </c>
      <c r="K821" s="38">
        <f>G821*J821</f>
        <v>0.035036000000000005</v>
      </c>
      <c r="L821" s="71" t="s">
        <v>136</v>
      </c>
      <c r="Z821" s="38">
        <f>IF(AQ821="5",BJ821,0)</f>
        <v>0</v>
      </c>
      <c r="AB821" s="38">
        <f>IF(AQ821="1",BH821,0)</f>
        <v>0</v>
      </c>
      <c r="AC821" s="38">
        <f>IF(AQ821="1",BI821,0)</f>
        <v>0</v>
      </c>
      <c r="AD821" s="38">
        <f>IF(AQ821="7",BH821,0)</f>
        <v>0</v>
      </c>
      <c r="AE821" s="38">
        <f>IF(AQ821="7",BI821,0)</f>
        <v>0</v>
      </c>
      <c r="AF821" s="38">
        <f>IF(AQ821="2",BH821,0)</f>
        <v>0</v>
      </c>
      <c r="AG821" s="38">
        <f>IF(AQ821="2",BI821,0)</f>
        <v>0</v>
      </c>
      <c r="AH821" s="38">
        <f>IF(AQ821="0",BJ821,0)</f>
        <v>0</v>
      </c>
      <c r="AI821" s="50" t="s">
        <v>84</v>
      </c>
      <c r="AJ821" s="38">
        <f>IF(AN821=0,I821,0)</f>
        <v>0</v>
      </c>
      <c r="AK821" s="38">
        <f>IF(AN821=12,I821,0)</f>
        <v>0</v>
      </c>
      <c r="AL821" s="38">
        <f>IF(AN821=21,I821,0)</f>
        <v>0</v>
      </c>
      <c r="AN821" s="38">
        <v>21</v>
      </c>
      <c r="AO821" s="38">
        <f>H821*1.000002927</f>
        <v>0</v>
      </c>
      <c r="AP821" s="38">
        <f>H821*(1-1.000002927)</f>
        <v>0</v>
      </c>
      <c r="AQ821" s="72" t="s">
        <v>169</v>
      </c>
      <c r="AV821" s="38">
        <f>AW821+AX821</f>
        <v>0</v>
      </c>
      <c r="AW821" s="38">
        <f>G821*AO821</f>
        <v>0</v>
      </c>
      <c r="AX821" s="38">
        <f>G821*AP821</f>
        <v>0</v>
      </c>
      <c r="AY821" s="72" t="s">
        <v>1442</v>
      </c>
      <c r="AZ821" s="72" t="s">
        <v>1443</v>
      </c>
      <c r="BA821" s="50" t="s">
        <v>139</v>
      </c>
      <c r="BB821" s="73">
        <v>100027</v>
      </c>
      <c r="BC821" s="38">
        <f>AW821+AX821</f>
        <v>0</v>
      </c>
      <c r="BD821" s="38">
        <f>H821/(100-BE821)*100</f>
        <v>0</v>
      </c>
      <c r="BE821" s="38">
        <v>0</v>
      </c>
      <c r="BF821" s="38">
        <f>K821</f>
        <v>0.035036000000000005</v>
      </c>
      <c r="BH821" s="38">
        <f>G821*AO821</f>
        <v>0</v>
      </c>
      <c r="BI821" s="38">
        <f>G821*AP821</f>
        <v>0</v>
      </c>
      <c r="BJ821" s="38">
        <f>G821*H821</f>
        <v>0</v>
      </c>
      <c r="BK821" s="38"/>
      <c r="BL821" s="38">
        <v>781</v>
      </c>
      <c r="BW821" s="38">
        <v>21</v>
      </c>
    </row>
    <row r="822" spans="1:12" ht="13.5" customHeight="1">
      <c r="A822" s="74"/>
      <c r="D822" s="194" t="s">
        <v>1494</v>
      </c>
      <c r="E822" s="195"/>
      <c r="F822" s="195"/>
      <c r="G822" s="195"/>
      <c r="H822" s="195"/>
      <c r="I822" s="195"/>
      <c r="J822" s="195"/>
      <c r="K822" s="195"/>
      <c r="L822" s="197"/>
    </row>
    <row r="823" spans="1:12" ht="15">
      <c r="A823" s="74"/>
      <c r="D823" s="75" t="s">
        <v>1495</v>
      </c>
      <c r="E823" s="75" t="s">
        <v>4</v>
      </c>
      <c r="G823" s="76">
        <v>87.59</v>
      </c>
      <c r="L823" s="77"/>
    </row>
    <row r="824" spans="1:75" ht="13.5" customHeight="1">
      <c r="A824" s="1" t="s">
        <v>1496</v>
      </c>
      <c r="B824" s="2" t="s">
        <v>84</v>
      </c>
      <c r="C824" s="2" t="s">
        <v>1497</v>
      </c>
      <c r="D824" s="108" t="s">
        <v>1465</v>
      </c>
      <c r="E824" s="103"/>
      <c r="F824" s="2" t="s">
        <v>214</v>
      </c>
      <c r="G824" s="38">
        <f>'Stavební rozpočet'!G824</f>
        <v>3.68</v>
      </c>
      <c r="H824" s="38">
        <f>'Stavební rozpočet'!H824</f>
        <v>0</v>
      </c>
      <c r="I824" s="38">
        <f>G824*H824</f>
        <v>0</v>
      </c>
      <c r="J824" s="38">
        <f>'Stavební rozpočet'!J824</f>
        <v>0</v>
      </c>
      <c r="K824" s="38">
        <f>G824*J824</f>
        <v>0</v>
      </c>
      <c r="L824" s="71" t="s">
        <v>136</v>
      </c>
      <c r="Z824" s="38">
        <f>IF(AQ824="5",BJ824,0)</f>
        <v>0</v>
      </c>
      <c r="AB824" s="38">
        <f>IF(AQ824="1",BH824,0)</f>
        <v>0</v>
      </c>
      <c r="AC824" s="38">
        <f>IF(AQ824="1",BI824,0)</f>
        <v>0</v>
      </c>
      <c r="AD824" s="38">
        <f>IF(AQ824="7",BH824,0)</f>
        <v>0</v>
      </c>
      <c r="AE824" s="38">
        <f>IF(AQ824="7",BI824,0)</f>
        <v>0</v>
      </c>
      <c r="AF824" s="38">
        <f>IF(AQ824="2",BH824,0)</f>
        <v>0</v>
      </c>
      <c r="AG824" s="38">
        <f>IF(AQ824="2",BI824,0)</f>
        <v>0</v>
      </c>
      <c r="AH824" s="38">
        <f>IF(AQ824="0",BJ824,0)</f>
        <v>0</v>
      </c>
      <c r="AI824" s="50" t="s">
        <v>84</v>
      </c>
      <c r="AJ824" s="38">
        <f>IF(AN824=0,I824,0)</f>
        <v>0</v>
      </c>
      <c r="AK824" s="38">
        <f>IF(AN824=12,I824,0)</f>
        <v>0</v>
      </c>
      <c r="AL824" s="38">
        <f>IF(AN824=21,I824,0)</f>
        <v>0</v>
      </c>
      <c r="AN824" s="38">
        <v>21</v>
      </c>
      <c r="AO824" s="38">
        <f>H824*0.245517027</f>
        <v>0</v>
      </c>
      <c r="AP824" s="38">
        <f>H824*(1-0.245517027)</f>
        <v>0</v>
      </c>
      <c r="AQ824" s="72" t="s">
        <v>169</v>
      </c>
      <c r="AV824" s="38">
        <f>AW824+AX824</f>
        <v>0</v>
      </c>
      <c r="AW824" s="38">
        <f>G824*AO824</f>
        <v>0</v>
      </c>
      <c r="AX824" s="38">
        <f>G824*AP824</f>
        <v>0</v>
      </c>
      <c r="AY824" s="72" t="s">
        <v>1442</v>
      </c>
      <c r="AZ824" s="72" t="s">
        <v>1443</v>
      </c>
      <c r="BA824" s="50" t="s">
        <v>139</v>
      </c>
      <c r="BB824" s="73">
        <v>100027</v>
      </c>
      <c r="BC824" s="38">
        <f>AW824+AX824</f>
        <v>0</v>
      </c>
      <c r="BD824" s="38">
        <f>H824/(100-BE824)*100</f>
        <v>0</v>
      </c>
      <c r="BE824" s="38">
        <v>0</v>
      </c>
      <c r="BF824" s="38">
        <f>K824</f>
        <v>0</v>
      </c>
      <c r="BH824" s="38">
        <f>G824*AO824</f>
        <v>0</v>
      </c>
      <c r="BI824" s="38">
        <f>G824*AP824</f>
        <v>0</v>
      </c>
      <c r="BJ824" s="38">
        <f>G824*H824</f>
        <v>0</v>
      </c>
      <c r="BK824" s="38"/>
      <c r="BL824" s="38">
        <v>781</v>
      </c>
      <c r="BW824" s="38">
        <v>21</v>
      </c>
    </row>
    <row r="825" spans="1:12" ht="13.5" customHeight="1">
      <c r="A825" s="74"/>
      <c r="D825" s="194" t="s">
        <v>1498</v>
      </c>
      <c r="E825" s="195"/>
      <c r="F825" s="195"/>
      <c r="G825" s="195"/>
      <c r="H825" s="195"/>
      <c r="I825" s="195"/>
      <c r="J825" s="195"/>
      <c r="K825" s="195"/>
      <c r="L825" s="197"/>
    </row>
    <row r="826" spans="1:12" ht="15">
      <c r="A826" s="74"/>
      <c r="D826" s="75" t="s">
        <v>1499</v>
      </c>
      <c r="E826" s="75" t="s">
        <v>4</v>
      </c>
      <c r="G826" s="76">
        <v>3.68</v>
      </c>
      <c r="L826" s="77"/>
    </row>
    <row r="827" spans="1:75" ht="13.5" customHeight="1">
      <c r="A827" s="1" t="s">
        <v>1500</v>
      </c>
      <c r="B827" s="2" t="s">
        <v>84</v>
      </c>
      <c r="C827" s="2" t="s">
        <v>1501</v>
      </c>
      <c r="D827" s="108" t="s">
        <v>1502</v>
      </c>
      <c r="E827" s="103"/>
      <c r="F827" s="2" t="s">
        <v>189</v>
      </c>
      <c r="G827" s="38">
        <f>'Stavební rozpočet'!G827</f>
        <v>7.39</v>
      </c>
      <c r="H827" s="38">
        <f>'Stavební rozpočet'!H827</f>
        <v>0</v>
      </c>
      <c r="I827" s="38">
        <f>G827*H827</f>
        <v>0</v>
      </c>
      <c r="J827" s="38">
        <f>'Stavební rozpočet'!J827</f>
        <v>0</v>
      </c>
      <c r="K827" s="38">
        <f>G827*J827</f>
        <v>0</v>
      </c>
      <c r="L827" s="71" t="s">
        <v>136</v>
      </c>
      <c r="Z827" s="38">
        <f>IF(AQ827="5",BJ827,0)</f>
        <v>0</v>
      </c>
      <c r="AB827" s="38">
        <f>IF(AQ827="1",BH827,0)</f>
        <v>0</v>
      </c>
      <c r="AC827" s="38">
        <f>IF(AQ827="1",BI827,0)</f>
        <v>0</v>
      </c>
      <c r="AD827" s="38">
        <f>IF(AQ827="7",BH827,0)</f>
        <v>0</v>
      </c>
      <c r="AE827" s="38">
        <f>IF(AQ827="7",BI827,0)</f>
        <v>0</v>
      </c>
      <c r="AF827" s="38">
        <f>IF(AQ827="2",BH827,0)</f>
        <v>0</v>
      </c>
      <c r="AG827" s="38">
        <f>IF(AQ827="2",BI827,0)</f>
        <v>0</v>
      </c>
      <c r="AH827" s="38">
        <f>IF(AQ827="0",BJ827,0)</f>
        <v>0</v>
      </c>
      <c r="AI827" s="50" t="s">
        <v>84</v>
      </c>
      <c r="AJ827" s="38">
        <f>IF(AN827=0,I827,0)</f>
        <v>0</v>
      </c>
      <c r="AK827" s="38">
        <f>IF(AN827=12,I827,0)</f>
        <v>0</v>
      </c>
      <c r="AL827" s="38">
        <f>IF(AN827=21,I827,0)</f>
        <v>0</v>
      </c>
      <c r="AN827" s="38">
        <v>21</v>
      </c>
      <c r="AO827" s="38">
        <f>H827*0</f>
        <v>0</v>
      </c>
      <c r="AP827" s="38">
        <f>H827*(1-0)</f>
        <v>0</v>
      </c>
      <c r="AQ827" s="72" t="s">
        <v>162</v>
      </c>
      <c r="AV827" s="38">
        <f>AW827+AX827</f>
        <v>0</v>
      </c>
      <c r="AW827" s="38">
        <f>G827*AO827</f>
        <v>0</v>
      </c>
      <c r="AX827" s="38">
        <f>G827*AP827</f>
        <v>0</v>
      </c>
      <c r="AY827" s="72" t="s">
        <v>1442</v>
      </c>
      <c r="AZ827" s="72" t="s">
        <v>1443</v>
      </c>
      <c r="BA827" s="50" t="s">
        <v>139</v>
      </c>
      <c r="BC827" s="38">
        <f>AW827+AX827</f>
        <v>0</v>
      </c>
      <c r="BD827" s="38">
        <f>H827/(100-BE827)*100</f>
        <v>0</v>
      </c>
      <c r="BE827" s="38">
        <v>0</v>
      </c>
      <c r="BF827" s="38">
        <f>K827</f>
        <v>0</v>
      </c>
      <c r="BH827" s="38">
        <f>G827*AO827</f>
        <v>0</v>
      </c>
      <c r="BI827" s="38">
        <f>G827*AP827</f>
        <v>0</v>
      </c>
      <c r="BJ827" s="38">
        <f>G827*H827</f>
        <v>0</v>
      </c>
      <c r="BK827" s="38"/>
      <c r="BL827" s="38">
        <v>781</v>
      </c>
      <c r="BW827" s="38">
        <v>21</v>
      </c>
    </row>
    <row r="828" spans="1:12" ht="15">
      <c r="A828" s="74"/>
      <c r="D828" s="75" t="s">
        <v>1503</v>
      </c>
      <c r="E828" s="75" t="s">
        <v>4</v>
      </c>
      <c r="G828" s="76">
        <v>7.39</v>
      </c>
      <c r="L828" s="77"/>
    </row>
    <row r="829" spans="1:47" ht="15">
      <c r="A829" s="65" t="s">
        <v>4</v>
      </c>
      <c r="B829" s="66" t="s">
        <v>84</v>
      </c>
      <c r="C829" s="66" t="s">
        <v>1504</v>
      </c>
      <c r="D829" s="192" t="s">
        <v>1505</v>
      </c>
      <c r="E829" s="193"/>
      <c r="F829" s="67" t="s">
        <v>78</v>
      </c>
      <c r="G829" s="67" t="s">
        <v>78</v>
      </c>
      <c r="H829" s="67" t="s">
        <v>78</v>
      </c>
      <c r="I829" s="44">
        <f>SUM(I830:I843)</f>
        <v>0</v>
      </c>
      <c r="J829" s="50" t="s">
        <v>4</v>
      </c>
      <c r="K829" s="44">
        <f>SUM(K830:K843)</f>
        <v>0.054904999999999995</v>
      </c>
      <c r="L829" s="69" t="s">
        <v>4</v>
      </c>
      <c r="AI829" s="50" t="s">
        <v>84</v>
      </c>
      <c r="AS829" s="44">
        <f>SUM(AJ830:AJ843)</f>
        <v>0</v>
      </c>
      <c r="AT829" s="44">
        <f>SUM(AK830:AK843)</f>
        <v>0</v>
      </c>
      <c r="AU829" s="44">
        <f>SUM(AL830:AL843)</f>
        <v>0</v>
      </c>
    </row>
    <row r="830" spans="1:75" ht="13.5" customHeight="1">
      <c r="A830" s="1" t="s">
        <v>1506</v>
      </c>
      <c r="B830" s="2" t="s">
        <v>84</v>
      </c>
      <c r="C830" s="2" t="s">
        <v>1507</v>
      </c>
      <c r="D830" s="108" t="s">
        <v>1508</v>
      </c>
      <c r="E830" s="103"/>
      <c r="F830" s="2" t="s">
        <v>263</v>
      </c>
      <c r="G830" s="38">
        <f>'Stavební rozpočet'!G830</f>
        <v>117.41</v>
      </c>
      <c r="H830" s="38">
        <f>'Stavební rozpočet'!H830</f>
        <v>0</v>
      </c>
      <c r="I830" s="38">
        <f>G830*H830</f>
        <v>0</v>
      </c>
      <c r="J830" s="38">
        <f>'Stavební rozpočet'!J830</f>
        <v>0.0003</v>
      </c>
      <c r="K830" s="38">
        <f>G830*J830</f>
        <v>0.035223</v>
      </c>
      <c r="L830" s="71" t="s">
        <v>136</v>
      </c>
      <c r="Z830" s="38">
        <f>IF(AQ830="5",BJ830,0)</f>
        <v>0</v>
      </c>
      <c r="AB830" s="38">
        <f>IF(AQ830="1",BH830,0)</f>
        <v>0</v>
      </c>
      <c r="AC830" s="38">
        <f>IF(AQ830="1",BI830,0)</f>
        <v>0</v>
      </c>
      <c r="AD830" s="38">
        <f>IF(AQ830="7",BH830,0)</f>
        <v>0</v>
      </c>
      <c r="AE830" s="38">
        <f>IF(AQ830="7",BI830,0)</f>
        <v>0</v>
      </c>
      <c r="AF830" s="38">
        <f>IF(AQ830="2",BH830,0)</f>
        <v>0</v>
      </c>
      <c r="AG830" s="38">
        <f>IF(AQ830="2",BI830,0)</f>
        <v>0</v>
      </c>
      <c r="AH830" s="38">
        <f>IF(AQ830="0",BJ830,0)</f>
        <v>0</v>
      </c>
      <c r="AI830" s="50" t="s">
        <v>84</v>
      </c>
      <c r="AJ830" s="38">
        <f>IF(AN830=0,I830,0)</f>
        <v>0</v>
      </c>
      <c r="AK830" s="38">
        <f>IF(AN830=12,I830,0)</f>
        <v>0</v>
      </c>
      <c r="AL830" s="38">
        <f>IF(AN830=21,I830,0)</f>
        <v>0</v>
      </c>
      <c r="AN830" s="38">
        <v>21</v>
      </c>
      <c r="AO830" s="38">
        <f>H830*0.273895465</f>
        <v>0</v>
      </c>
      <c r="AP830" s="38">
        <f>H830*(1-0.273895465)</f>
        <v>0</v>
      </c>
      <c r="AQ830" s="72" t="s">
        <v>169</v>
      </c>
      <c r="AV830" s="38">
        <f>AW830+AX830</f>
        <v>0</v>
      </c>
      <c r="AW830" s="38">
        <f>G830*AO830</f>
        <v>0</v>
      </c>
      <c r="AX830" s="38">
        <f>G830*AP830</f>
        <v>0</v>
      </c>
      <c r="AY830" s="72" t="s">
        <v>1509</v>
      </c>
      <c r="AZ830" s="72" t="s">
        <v>1443</v>
      </c>
      <c r="BA830" s="50" t="s">
        <v>139</v>
      </c>
      <c r="BB830" s="73">
        <v>100047</v>
      </c>
      <c r="BC830" s="38">
        <f>AW830+AX830</f>
        <v>0</v>
      </c>
      <c r="BD830" s="38">
        <f>H830/(100-BE830)*100</f>
        <v>0</v>
      </c>
      <c r="BE830" s="38">
        <v>0</v>
      </c>
      <c r="BF830" s="38">
        <f>K830</f>
        <v>0.035223</v>
      </c>
      <c r="BH830" s="38">
        <f>G830*AO830</f>
        <v>0</v>
      </c>
      <c r="BI830" s="38">
        <f>G830*AP830</f>
        <v>0</v>
      </c>
      <c r="BJ830" s="38">
        <f>G830*H830</f>
        <v>0</v>
      </c>
      <c r="BK830" s="38"/>
      <c r="BL830" s="38">
        <v>783</v>
      </c>
      <c r="BW830" s="38">
        <v>21</v>
      </c>
    </row>
    <row r="831" spans="1:12" ht="13.5" customHeight="1">
      <c r="A831" s="74"/>
      <c r="D831" s="194" t="s">
        <v>1510</v>
      </c>
      <c r="E831" s="195"/>
      <c r="F831" s="195"/>
      <c r="G831" s="195"/>
      <c r="H831" s="195"/>
      <c r="I831" s="195"/>
      <c r="J831" s="195"/>
      <c r="K831" s="195"/>
      <c r="L831" s="197"/>
    </row>
    <row r="832" spans="1:12" ht="15">
      <c r="A832" s="74"/>
      <c r="D832" s="75" t="s">
        <v>1511</v>
      </c>
      <c r="E832" s="75" t="s">
        <v>1512</v>
      </c>
      <c r="G832" s="76">
        <v>9</v>
      </c>
      <c r="L832" s="77"/>
    </row>
    <row r="833" spans="1:12" ht="15">
      <c r="A833" s="74"/>
      <c r="D833" s="75" t="s">
        <v>1167</v>
      </c>
      <c r="E833" s="75" t="s">
        <v>1513</v>
      </c>
      <c r="G833" s="76">
        <v>22.5</v>
      </c>
      <c r="L833" s="77"/>
    </row>
    <row r="834" spans="1:12" ht="15">
      <c r="A834" s="74"/>
      <c r="D834" s="75" t="s">
        <v>1514</v>
      </c>
      <c r="E834" s="75" t="s">
        <v>1515</v>
      </c>
      <c r="G834" s="76">
        <v>33.71</v>
      </c>
      <c r="L834" s="77"/>
    </row>
    <row r="835" spans="1:12" ht="15">
      <c r="A835" s="74"/>
      <c r="D835" s="75" t="s">
        <v>1516</v>
      </c>
      <c r="E835" s="75" t="s">
        <v>1517</v>
      </c>
      <c r="G835" s="76">
        <v>52.2</v>
      </c>
      <c r="L835" s="77"/>
    </row>
    <row r="836" spans="1:75" ht="13.5" customHeight="1">
      <c r="A836" s="1" t="s">
        <v>1518</v>
      </c>
      <c r="B836" s="2" t="s">
        <v>84</v>
      </c>
      <c r="C836" s="2" t="s">
        <v>1519</v>
      </c>
      <c r="D836" s="108" t="s">
        <v>1520</v>
      </c>
      <c r="E836" s="103"/>
      <c r="F836" s="2" t="s">
        <v>263</v>
      </c>
      <c r="G836" s="38">
        <f>'Stavební rozpočet'!G836</f>
        <v>22.5</v>
      </c>
      <c r="H836" s="38">
        <f>'Stavební rozpočet'!H836</f>
        <v>0</v>
      </c>
      <c r="I836" s="38">
        <f>G836*H836</f>
        <v>0</v>
      </c>
      <c r="J836" s="38">
        <f>'Stavební rozpočet'!J836</f>
        <v>0.00032</v>
      </c>
      <c r="K836" s="38">
        <f>G836*J836</f>
        <v>0.007200000000000001</v>
      </c>
      <c r="L836" s="71" t="s">
        <v>136</v>
      </c>
      <c r="Z836" s="38">
        <f>IF(AQ836="5",BJ836,0)</f>
        <v>0</v>
      </c>
      <c r="AB836" s="38">
        <f>IF(AQ836="1",BH836,0)</f>
        <v>0</v>
      </c>
      <c r="AC836" s="38">
        <f>IF(AQ836="1",BI836,0)</f>
        <v>0</v>
      </c>
      <c r="AD836" s="38">
        <f>IF(AQ836="7",BH836,0)</f>
        <v>0</v>
      </c>
      <c r="AE836" s="38">
        <f>IF(AQ836="7",BI836,0)</f>
        <v>0</v>
      </c>
      <c r="AF836" s="38">
        <f>IF(AQ836="2",BH836,0)</f>
        <v>0</v>
      </c>
      <c r="AG836" s="38">
        <f>IF(AQ836="2",BI836,0)</f>
        <v>0</v>
      </c>
      <c r="AH836" s="38">
        <f>IF(AQ836="0",BJ836,0)</f>
        <v>0</v>
      </c>
      <c r="AI836" s="50" t="s">
        <v>84</v>
      </c>
      <c r="AJ836" s="38">
        <f>IF(AN836=0,I836,0)</f>
        <v>0</v>
      </c>
      <c r="AK836" s="38">
        <f>IF(AN836=12,I836,0)</f>
        <v>0</v>
      </c>
      <c r="AL836" s="38">
        <f>IF(AN836=21,I836,0)</f>
        <v>0</v>
      </c>
      <c r="AN836" s="38">
        <v>21</v>
      </c>
      <c r="AO836" s="38">
        <f>H836*0.423356712</f>
        <v>0</v>
      </c>
      <c r="AP836" s="38">
        <f>H836*(1-0.423356712)</f>
        <v>0</v>
      </c>
      <c r="AQ836" s="72" t="s">
        <v>169</v>
      </c>
      <c r="AV836" s="38">
        <f>AW836+AX836</f>
        <v>0</v>
      </c>
      <c r="AW836" s="38">
        <f>G836*AO836</f>
        <v>0</v>
      </c>
      <c r="AX836" s="38">
        <f>G836*AP836</f>
        <v>0</v>
      </c>
      <c r="AY836" s="72" t="s">
        <v>1509</v>
      </c>
      <c r="AZ836" s="72" t="s">
        <v>1443</v>
      </c>
      <c r="BA836" s="50" t="s">
        <v>139</v>
      </c>
      <c r="BB836" s="73">
        <v>100047</v>
      </c>
      <c r="BC836" s="38">
        <f>AW836+AX836</f>
        <v>0</v>
      </c>
      <c r="BD836" s="38">
        <f>H836/(100-BE836)*100</f>
        <v>0</v>
      </c>
      <c r="BE836" s="38">
        <v>0</v>
      </c>
      <c r="BF836" s="38">
        <f>K836</f>
        <v>0.007200000000000001</v>
      </c>
      <c r="BH836" s="38">
        <f>G836*AO836</f>
        <v>0</v>
      </c>
      <c r="BI836" s="38">
        <f>G836*AP836</f>
        <v>0</v>
      </c>
      <c r="BJ836" s="38">
        <f>G836*H836</f>
        <v>0</v>
      </c>
      <c r="BK836" s="38"/>
      <c r="BL836" s="38">
        <v>783</v>
      </c>
      <c r="BW836" s="38">
        <v>21</v>
      </c>
    </row>
    <row r="837" spans="1:12" ht="13.5" customHeight="1">
      <c r="A837" s="74"/>
      <c r="D837" s="194" t="s">
        <v>1521</v>
      </c>
      <c r="E837" s="195"/>
      <c r="F837" s="195"/>
      <c r="G837" s="195"/>
      <c r="H837" s="195"/>
      <c r="I837" s="195"/>
      <c r="J837" s="195"/>
      <c r="K837" s="195"/>
      <c r="L837" s="197"/>
    </row>
    <row r="838" spans="1:12" ht="15">
      <c r="A838" s="74"/>
      <c r="D838" s="75" t="s">
        <v>1167</v>
      </c>
      <c r="E838" s="75" t="s">
        <v>1522</v>
      </c>
      <c r="G838" s="76">
        <v>22.5</v>
      </c>
      <c r="L838" s="77"/>
    </row>
    <row r="839" spans="1:75" ht="13.5" customHeight="1">
      <c r="A839" s="1" t="s">
        <v>1523</v>
      </c>
      <c r="B839" s="2" t="s">
        <v>84</v>
      </c>
      <c r="C839" s="2" t="s">
        <v>1524</v>
      </c>
      <c r="D839" s="108" t="s">
        <v>1525</v>
      </c>
      <c r="E839" s="103"/>
      <c r="F839" s="2" t="s">
        <v>263</v>
      </c>
      <c r="G839" s="38">
        <f>'Stavební rozpočet'!G839</f>
        <v>27.85</v>
      </c>
      <c r="H839" s="38">
        <f>'Stavební rozpočet'!H839</f>
        <v>0</v>
      </c>
      <c r="I839" s="38">
        <f>G839*H839</f>
        <v>0</v>
      </c>
      <c r="J839" s="38">
        <f>'Stavební rozpočet'!J839</f>
        <v>0.00041</v>
      </c>
      <c r="K839" s="38">
        <f>G839*J839</f>
        <v>0.0114185</v>
      </c>
      <c r="L839" s="71" t="s">
        <v>136</v>
      </c>
      <c r="Z839" s="38">
        <f>IF(AQ839="5",BJ839,0)</f>
        <v>0</v>
      </c>
      <c r="AB839" s="38">
        <f>IF(AQ839="1",BH839,0)</f>
        <v>0</v>
      </c>
      <c r="AC839" s="38">
        <f>IF(AQ839="1",BI839,0)</f>
        <v>0</v>
      </c>
      <c r="AD839" s="38">
        <f>IF(AQ839="7",BH839,0)</f>
        <v>0</v>
      </c>
      <c r="AE839" s="38">
        <f>IF(AQ839="7",BI839,0)</f>
        <v>0</v>
      </c>
      <c r="AF839" s="38">
        <f>IF(AQ839="2",BH839,0)</f>
        <v>0</v>
      </c>
      <c r="AG839" s="38">
        <f>IF(AQ839="2",BI839,0)</f>
        <v>0</v>
      </c>
      <c r="AH839" s="38">
        <f>IF(AQ839="0",BJ839,0)</f>
        <v>0</v>
      </c>
      <c r="AI839" s="50" t="s">
        <v>84</v>
      </c>
      <c r="AJ839" s="38">
        <f>IF(AN839=0,I839,0)</f>
        <v>0</v>
      </c>
      <c r="AK839" s="38">
        <f>IF(AN839=12,I839,0)</f>
        <v>0</v>
      </c>
      <c r="AL839" s="38">
        <f>IF(AN839=21,I839,0)</f>
        <v>0</v>
      </c>
      <c r="AN839" s="38">
        <v>21</v>
      </c>
      <c r="AO839" s="38">
        <f>H839*0.372432929</f>
        <v>0</v>
      </c>
      <c r="AP839" s="38">
        <f>H839*(1-0.372432929)</f>
        <v>0</v>
      </c>
      <c r="AQ839" s="72" t="s">
        <v>169</v>
      </c>
      <c r="AV839" s="38">
        <f>AW839+AX839</f>
        <v>0</v>
      </c>
      <c r="AW839" s="38">
        <f>G839*AO839</f>
        <v>0</v>
      </c>
      <c r="AX839" s="38">
        <f>G839*AP839</f>
        <v>0</v>
      </c>
      <c r="AY839" s="72" t="s">
        <v>1509</v>
      </c>
      <c r="AZ839" s="72" t="s">
        <v>1443</v>
      </c>
      <c r="BA839" s="50" t="s">
        <v>139</v>
      </c>
      <c r="BB839" s="73">
        <v>100047</v>
      </c>
      <c r="BC839" s="38">
        <f>AW839+AX839</f>
        <v>0</v>
      </c>
      <c r="BD839" s="38">
        <f>H839/(100-BE839)*100</f>
        <v>0</v>
      </c>
      <c r="BE839" s="38">
        <v>0</v>
      </c>
      <c r="BF839" s="38">
        <f>K839</f>
        <v>0.0114185</v>
      </c>
      <c r="BH839" s="38">
        <f>G839*AO839</f>
        <v>0</v>
      </c>
      <c r="BI839" s="38">
        <f>G839*AP839</f>
        <v>0</v>
      </c>
      <c r="BJ839" s="38">
        <f>G839*H839</f>
        <v>0</v>
      </c>
      <c r="BK839" s="38"/>
      <c r="BL839" s="38">
        <v>783</v>
      </c>
      <c r="BW839" s="38">
        <v>21</v>
      </c>
    </row>
    <row r="840" spans="1:12" ht="13.5" customHeight="1">
      <c r="A840" s="74"/>
      <c r="D840" s="194" t="s">
        <v>1526</v>
      </c>
      <c r="E840" s="195"/>
      <c r="F840" s="195"/>
      <c r="G840" s="195"/>
      <c r="H840" s="195"/>
      <c r="I840" s="195"/>
      <c r="J840" s="195"/>
      <c r="K840" s="195"/>
      <c r="L840" s="197"/>
    </row>
    <row r="841" spans="1:12" ht="15">
      <c r="A841" s="74"/>
      <c r="D841" s="75" t="s">
        <v>1527</v>
      </c>
      <c r="E841" s="75" t="s">
        <v>1528</v>
      </c>
      <c r="G841" s="76">
        <v>20.76</v>
      </c>
      <c r="L841" s="77"/>
    </row>
    <row r="842" spans="1:12" ht="15">
      <c r="A842" s="74"/>
      <c r="D842" s="75" t="s">
        <v>1529</v>
      </c>
      <c r="E842" s="75" t="s">
        <v>1530</v>
      </c>
      <c r="G842" s="76">
        <v>7.09</v>
      </c>
      <c r="L842" s="77"/>
    </row>
    <row r="843" spans="1:75" ht="13.5" customHeight="1">
      <c r="A843" s="1" t="s">
        <v>1531</v>
      </c>
      <c r="B843" s="2" t="s">
        <v>84</v>
      </c>
      <c r="C843" s="2" t="s">
        <v>1532</v>
      </c>
      <c r="D843" s="108" t="s">
        <v>1533</v>
      </c>
      <c r="E843" s="103"/>
      <c r="F843" s="2" t="s">
        <v>263</v>
      </c>
      <c r="G843" s="38">
        <f>'Stavební rozpočet'!G843</f>
        <v>7.09</v>
      </c>
      <c r="H843" s="38">
        <f>'Stavební rozpočet'!H843</f>
        <v>0</v>
      </c>
      <c r="I843" s="38">
        <f>G843*H843</f>
        <v>0</v>
      </c>
      <c r="J843" s="38">
        <f>'Stavební rozpočet'!J843</f>
        <v>0.00015</v>
      </c>
      <c r="K843" s="38">
        <f>G843*J843</f>
        <v>0.0010635</v>
      </c>
      <c r="L843" s="71" t="s">
        <v>136</v>
      </c>
      <c r="Z843" s="38">
        <f>IF(AQ843="5",BJ843,0)</f>
        <v>0</v>
      </c>
      <c r="AB843" s="38">
        <f>IF(AQ843="1",BH843,0)</f>
        <v>0</v>
      </c>
      <c r="AC843" s="38">
        <f>IF(AQ843="1",BI843,0)</f>
        <v>0</v>
      </c>
      <c r="AD843" s="38">
        <f>IF(AQ843="7",BH843,0)</f>
        <v>0</v>
      </c>
      <c r="AE843" s="38">
        <f>IF(AQ843="7",BI843,0)</f>
        <v>0</v>
      </c>
      <c r="AF843" s="38">
        <f>IF(AQ843="2",BH843,0)</f>
        <v>0</v>
      </c>
      <c r="AG843" s="38">
        <f>IF(AQ843="2",BI843,0)</f>
        <v>0</v>
      </c>
      <c r="AH843" s="38">
        <f>IF(AQ843="0",BJ843,0)</f>
        <v>0</v>
      </c>
      <c r="AI843" s="50" t="s">
        <v>84</v>
      </c>
      <c r="AJ843" s="38">
        <f>IF(AN843=0,I843,0)</f>
        <v>0</v>
      </c>
      <c r="AK843" s="38">
        <f>IF(AN843=12,I843,0)</f>
        <v>0</v>
      </c>
      <c r="AL843" s="38">
        <f>IF(AN843=21,I843,0)</f>
        <v>0</v>
      </c>
      <c r="AN843" s="38">
        <v>21</v>
      </c>
      <c r="AO843" s="38">
        <f>H843*0.339446783</f>
        <v>0</v>
      </c>
      <c r="AP843" s="38">
        <f>H843*(1-0.339446783)</f>
        <v>0</v>
      </c>
      <c r="AQ843" s="72" t="s">
        <v>169</v>
      </c>
      <c r="AV843" s="38">
        <f>AW843+AX843</f>
        <v>0</v>
      </c>
      <c r="AW843" s="38">
        <f>G843*AO843</f>
        <v>0</v>
      </c>
      <c r="AX843" s="38">
        <f>G843*AP843</f>
        <v>0</v>
      </c>
      <c r="AY843" s="72" t="s">
        <v>1509</v>
      </c>
      <c r="AZ843" s="72" t="s">
        <v>1443</v>
      </c>
      <c r="BA843" s="50" t="s">
        <v>139</v>
      </c>
      <c r="BB843" s="73">
        <v>100047</v>
      </c>
      <c r="BC843" s="38">
        <f>AW843+AX843</f>
        <v>0</v>
      </c>
      <c r="BD843" s="38">
        <f>H843/(100-BE843)*100</f>
        <v>0</v>
      </c>
      <c r="BE843" s="38">
        <v>0</v>
      </c>
      <c r="BF843" s="38">
        <f>K843</f>
        <v>0.0010635</v>
      </c>
      <c r="BH843" s="38">
        <f>G843*AO843</f>
        <v>0</v>
      </c>
      <c r="BI843" s="38">
        <f>G843*AP843</f>
        <v>0</v>
      </c>
      <c r="BJ843" s="38">
        <f>G843*H843</f>
        <v>0</v>
      </c>
      <c r="BK843" s="38"/>
      <c r="BL843" s="38">
        <v>783</v>
      </c>
      <c r="BW843" s="38">
        <v>21</v>
      </c>
    </row>
    <row r="844" spans="1:12" ht="13.5" customHeight="1">
      <c r="A844" s="74"/>
      <c r="D844" s="194" t="s">
        <v>1534</v>
      </c>
      <c r="E844" s="195"/>
      <c r="F844" s="195"/>
      <c r="G844" s="195"/>
      <c r="H844" s="195"/>
      <c r="I844" s="195"/>
      <c r="J844" s="195"/>
      <c r="K844" s="195"/>
      <c r="L844" s="197"/>
    </row>
    <row r="845" spans="1:12" ht="15">
      <c r="A845" s="74"/>
      <c r="D845" s="75" t="s">
        <v>1529</v>
      </c>
      <c r="E845" s="75" t="s">
        <v>1530</v>
      </c>
      <c r="G845" s="76">
        <v>7.09</v>
      </c>
      <c r="L845" s="77"/>
    </row>
    <row r="846" spans="1:47" ht="15">
      <c r="A846" s="65" t="s">
        <v>4</v>
      </c>
      <c r="B846" s="66" t="s">
        <v>84</v>
      </c>
      <c r="C846" s="66" t="s">
        <v>1535</v>
      </c>
      <c r="D846" s="192" t="s">
        <v>1536</v>
      </c>
      <c r="E846" s="193"/>
      <c r="F846" s="67" t="s">
        <v>78</v>
      </c>
      <c r="G846" s="67" t="s">
        <v>78</v>
      </c>
      <c r="H846" s="67" t="s">
        <v>78</v>
      </c>
      <c r="I846" s="44">
        <f>SUM(I847:I878)</f>
        <v>0</v>
      </c>
      <c r="J846" s="50" t="s">
        <v>4</v>
      </c>
      <c r="K846" s="44">
        <f>SUM(K847:K878)</f>
        <v>0.4325177</v>
      </c>
      <c r="L846" s="69" t="s">
        <v>4</v>
      </c>
      <c r="AI846" s="50" t="s">
        <v>84</v>
      </c>
      <c r="AS846" s="44">
        <f>SUM(AJ847:AJ878)</f>
        <v>0</v>
      </c>
      <c r="AT846" s="44">
        <f>SUM(AK847:AK878)</f>
        <v>0</v>
      </c>
      <c r="AU846" s="44">
        <f>SUM(AL847:AL878)</f>
        <v>0</v>
      </c>
    </row>
    <row r="847" spans="1:75" ht="13.5" customHeight="1">
      <c r="A847" s="1" t="s">
        <v>1537</v>
      </c>
      <c r="B847" s="2" t="s">
        <v>84</v>
      </c>
      <c r="C847" s="2" t="s">
        <v>1538</v>
      </c>
      <c r="D847" s="108" t="s">
        <v>1539</v>
      </c>
      <c r="E847" s="103"/>
      <c r="F847" s="2" t="s">
        <v>263</v>
      </c>
      <c r="G847" s="38">
        <f>'Stavební rozpočet'!G847</f>
        <v>987.62</v>
      </c>
      <c r="H847" s="38">
        <f>'Stavební rozpočet'!H847</f>
        <v>0</v>
      </c>
      <c r="I847" s="38">
        <f>G847*H847</f>
        <v>0</v>
      </c>
      <c r="J847" s="38">
        <f>'Stavební rozpočet'!J847</f>
        <v>0</v>
      </c>
      <c r="K847" s="38">
        <f>G847*J847</f>
        <v>0</v>
      </c>
      <c r="L847" s="71" t="s">
        <v>136</v>
      </c>
      <c r="Z847" s="38">
        <f>IF(AQ847="5",BJ847,0)</f>
        <v>0</v>
      </c>
      <c r="AB847" s="38">
        <f>IF(AQ847="1",BH847,0)</f>
        <v>0</v>
      </c>
      <c r="AC847" s="38">
        <f>IF(AQ847="1",BI847,0)</f>
        <v>0</v>
      </c>
      <c r="AD847" s="38">
        <f>IF(AQ847="7",BH847,0)</f>
        <v>0</v>
      </c>
      <c r="AE847" s="38">
        <f>IF(AQ847="7",BI847,0)</f>
        <v>0</v>
      </c>
      <c r="AF847" s="38">
        <f>IF(AQ847="2",BH847,0)</f>
        <v>0</v>
      </c>
      <c r="AG847" s="38">
        <f>IF(AQ847="2",BI847,0)</f>
        <v>0</v>
      </c>
      <c r="AH847" s="38">
        <f>IF(AQ847="0",BJ847,0)</f>
        <v>0</v>
      </c>
      <c r="AI847" s="50" t="s">
        <v>84</v>
      </c>
      <c r="AJ847" s="38">
        <f>IF(AN847=0,I847,0)</f>
        <v>0</v>
      </c>
      <c r="AK847" s="38">
        <f>IF(AN847=12,I847,0)</f>
        <v>0</v>
      </c>
      <c r="AL847" s="38">
        <f>IF(AN847=21,I847,0)</f>
        <v>0</v>
      </c>
      <c r="AN847" s="38">
        <v>21</v>
      </c>
      <c r="AO847" s="38">
        <f>H847*0.00421454</f>
        <v>0</v>
      </c>
      <c r="AP847" s="38">
        <f>H847*(1-0.00421454)</f>
        <v>0</v>
      </c>
      <c r="AQ847" s="72" t="s">
        <v>169</v>
      </c>
      <c r="AV847" s="38">
        <f>AW847+AX847</f>
        <v>0</v>
      </c>
      <c r="AW847" s="38">
        <f>G847*AO847</f>
        <v>0</v>
      </c>
      <c r="AX847" s="38">
        <f>G847*AP847</f>
        <v>0</v>
      </c>
      <c r="AY847" s="72" t="s">
        <v>1540</v>
      </c>
      <c r="AZ847" s="72" t="s">
        <v>1443</v>
      </c>
      <c r="BA847" s="50" t="s">
        <v>139</v>
      </c>
      <c r="BB847" s="73">
        <v>100017</v>
      </c>
      <c r="BC847" s="38">
        <f>AW847+AX847</f>
        <v>0</v>
      </c>
      <c r="BD847" s="38">
        <f>H847/(100-BE847)*100</f>
        <v>0</v>
      </c>
      <c r="BE847" s="38">
        <v>0</v>
      </c>
      <c r="BF847" s="38">
        <f>K847</f>
        <v>0</v>
      </c>
      <c r="BH847" s="38">
        <f>G847*AO847</f>
        <v>0</v>
      </c>
      <c r="BI847" s="38">
        <f>G847*AP847</f>
        <v>0</v>
      </c>
      <c r="BJ847" s="38">
        <f>G847*H847</f>
        <v>0</v>
      </c>
      <c r="BK847" s="38"/>
      <c r="BL847" s="38">
        <v>784</v>
      </c>
      <c r="BW847" s="38">
        <v>21</v>
      </c>
    </row>
    <row r="848" spans="1:12" ht="15">
      <c r="A848" s="74"/>
      <c r="D848" s="75" t="s">
        <v>595</v>
      </c>
      <c r="E848" s="75" t="s">
        <v>1541</v>
      </c>
      <c r="G848" s="76">
        <v>108.43</v>
      </c>
      <c r="L848" s="77"/>
    </row>
    <row r="849" spans="1:12" ht="15">
      <c r="A849" s="74"/>
      <c r="D849" s="75" t="s">
        <v>1542</v>
      </c>
      <c r="E849" s="75" t="s">
        <v>1543</v>
      </c>
      <c r="G849" s="76">
        <v>28.8</v>
      </c>
      <c r="L849" s="77"/>
    </row>
    <row r="850" spans="1:12" ht="15">
      <c r="A850" s="74"/>
      <c r="D850" s="75" t="s">
        <v>1544</v>
      </c>
      <c r="E850" s="75" t="s">
        <v>1545</v>
      </c>
      <c r="G850" s="76">
        <v>61.48</v>
      </c>
      <c r="L850" s="77"/>
    </row>
    <row r="851" spans="1:12" ht="15">
      <c r="A851" s="74"/>
      <c r="D851" s="75" t="s">
        <v>593</v>
      </c>
      <c r="E851" s="75" t="s">
        <v>1546</v>
      </c>
      <c r="G851" s="76">
        <v>75.54</v>
      </c>
      <c r="L851" s="77"/>
    </row>
    <row r="852" spans="1:12" ht="15">
      <c r="A852" s="74"/>
      <c r="D852" s="75" t="s">
        <v>619</v>
      </c>
      <c r="E852" s="75" t="s">
        <v>620</v>
      </c>
      <c r="G852" s="76">
        <v>64.6</v>
      </c>
      <c r="L852" s="77"/>
    </row>
    <row r="853" spans="1:12" ht="15">
      <c r="A853" s="74"/>
      <c r="D853" s="75" t="s">
        <v>1547</v>
      </c>
      <c r="E853" s="75" t="s">
        <v>1548</v>
      </c>
      <c r="G853" s="76">
        <v>56.65</v>
      </c>
      <c r="L853" s="77"/>
    </row>
    <row r="854" spans="1:12" ht="15">
      <c r="A854" s="74"/>
      <c r="D854" s="75" t="s">
        <v>599</v>
      </c>
      <c r="E854" s="75" t="s">
        <v>1549</v>
      </c>
      <c r="G854" s="76">
        <v>49.2</v>
      </c>
      <c r="L854" s="77"/>
    </row>
    <row r="855" spans="1:12" ht="15">
      <c r="A855" s="74"/>
      <c r="D855" s="75" t="s">
        <v>614</v>
      </c>
      <c r="E855" s="75" t="s">
        <v>1550</v>
      </c>
      <c r="G855" s="76">
        <v>122.4</v>
      </c>
      <c r="L855" s="77"/>
    </row>
    <row r="856" spans="1:12" ht="15">
      <c r="A856" s="74"/>
      <c r="D856" s="75" t="s">
        <v>1551</v>
      </c>
      <c r="E856" s="75" t="s">
        <v>1552</v>
      </c>
      <c r="G856" s="76">
        <v>35.5</v>
      </c>
      <c r="L856" s="77"/>
    </row>
    <row r="857" spans="1:12" ht="15">
      <c r="A857" s="74"/>
      <c r="D857" s="75" t="s">
        <v>1553</v>
      </c>
      <c r="E857" s="75" t="s">
        <v>609</v>
      </c>
      <c r="G857" s="76">
        <v>14.82</v>
      </c>
      <c r="L857" s="77"/>
    </row>
    <row r="858" spans="1:12" ht="15">
      <c r="A858" s="74"/>
      <c r="D858" s="75" t="s">
        <v>621</v>
      </c>
      <c r="E858" s="75" t="s">
        <v>622</v>
      </c>
      <c r="G858" s="76">
        <v>20</v>
      </c>
      <c r="L858" s="77"/>
    </row>
    <row r="859" spans="1:12" ht="15">
      <c r="A859" s="74"/>
      <c r="D859" s="75" t="s">
        <v>612</v>
      </c>
      <c r="E859" s="75" t="s">
        <v>613</v>
      </c>
      <c r="G859" s="76">
        <v>87.8</v>
      </c>
      <c r="L859" s="77"/>
    </row>
    <row r="860" spans="1:12" ht="15">
      <c r="A860" s="74"/>
      <c r="D860" s="75" t="s">
        <v>623</v>
      </c>
      <c r="E860" s="75" t="s">
        <v>624</v>
      </c>
      <c r="G860" s="76">
        <v>7</v>
      </c>
      <c r="L860" s="77"/>
    </row>
    <row r="861" spans="1:12" ht="15">
      <c r="A861" s="74"/>
      <c r="D861" s="75" t="s">
        <v>615</v>
      </c>
      <c r="E861" s="75" t="s">
        <v>616</v>
      </c>
      <c r="G861" s="76">
        <v>61.2</v>
      </c>
      <c r="L861" s="77"/>
    </row>
    <row r="862" spans="1:12" ht="15">
      <c r="A862" s="74"/>
      <c r="D862" s="75" t="s">
        <v>1554</v>
      </c>
      <c r="E862" s="75" t="s">
        <v>618</v>
      </c>
      <c r="G862" s="76">
        <v>69.93</v>
      </c>
      <c r="L862" s="77"/>
    </row>
    <row r="863" spans="1:12" ht="15">
      <c r="A863" s="74"/>
      <c r="D863" s="75" t="s">
        <v>1555</v>
      </c>
      <c r="E863" s="75" t="s">
        <v>1556</v>
      </c>
      <c r="G863" s="76">
        <v>124.27</v>
      </c>
      <c r="L863" s="77"/>
    </row>
    <row r="864" spans="1:75" ht="13.5" customHeight="1">
      <c r="A864" s="1" t="s">
        <v>1557</v>
      </c>
      <c r="B864" s="2" t="s">
        <v>84</v>
      </c>
      <c r="C864" s="2" t="s">
        <v>1558</v>
      </c>
      <c r="D864" s="108" t="s">
        <v>1559</v>
      </c>
      <c r="E864" s="103"/>
      <c r="F864" s="2" t="s">
        <v>263</v>
      </c>
      <c r="G864" s="38">
        <f>'Stavební rozpočet'!G864</f>
        <v>43</v>
      </c>
      <c r="H864" s="38">
        <f>'Stavební rozpočet'!H864</f>
        <v>0</v>
      </c>
      <c r="I864" s="38">
        <f>G864*H864</f>
        <v>0</v>
      </c>
      <c r="J864" s="38">
        <f>'Stavební rozpočet'!J864</f>
        <v>0</v>
      </c>
      <c r="K864" s="38">
        <f>G864*J864</f>
        <v>0</v>
      </c>
      <c r="L864" s="71" t="s">
        <v>136</v>
      </c>
      <c r="Z864" s="38">
        <f>IF(AQ864="5",BJ864,0)</f>
        <v>0</v>
      </c>
      <c r="AB864" s="38">
        <f>IF(AQ864="1",BH864,0)</f>
        <v>0</v>
      </c>
      <c r="AC864" s="38">
        <f>IF(AQ864="1",BI864,0)</f>
        <v>0</v>
      </c>
      <c r="AD864" s="38">
        <f>IF(AQ864="7",BH864,0)</f>
        <v>0</v>
      </c>
      <c r="AE864" s="38">
        <f>IF(AQ864="7",BI864,0)</f>
        <v>0</v>
      </c>
      <c r="AF864" s="38">
        <f>IF(AQ864="2",BH864,0)</f>
        <v>0</v>
      </c>
      <c r="AG864" s="38">
        <f>IF(AQ864="2",BI864,0)</f>
        <v>0</v>
      </c>
      <c r="AH864" s="38">
        <f>IF(AQ864="0",BJ864,0)</f>
        <v>0</v>
      </c>
      <c r="AI864" s="50" t="s">
        <v>84</v>
      </c>
      <c r="AJ864" s="38">
        <f>IF(AN864=0,I864,0)</f>
        <v>0</v>
      </c>
      <c r="AK864" s="38">
        <f>IF(AN864=12,I864,0)</f>
        <v>0</v>
      </c>
      <c r="AL864" s="38">
        <f>IF(AN864=21,I864,0)</f>
        <v>0</v>
      </c>
      <c r="AN864" s="38">
        <v>21</v>
      </c>
      <c r="AO864" s="38">
        <f>H864*0.003845528</f>
        <v>0</v>
      </c>
      <c r="AP864" s="38">
        <f>H864*(1-0.003845528)</f>
        <v>0</v>
      </c>
      <c r="AQ864" s="72" t="s">
        <v>169</v>
      </c>
      <c r="AV864" s="38">
        <f>AW864+AX864</f>
        <v>0</v>
      </c>
      <c r="AW864" s="38">
        <f>G864*AO864</f>
        <v>0</v>
      </c>
      <c r="AX864" s="38">
        <f>G864*AP864</f>
        <v>0</v>
      </c>
      <c r="AY864" s="72" t="s">
        <v>1540</v>
      </c>
      <c r="AZ864" s="72" t="s">
        <v>1443</v>
      </c>
      <c r="BA864" s="50" t="s">
        <v>139</v>
      </c>
      <c r="BB864" s="73">
        <v>100017</v>
      </c>
      <c r="BC864" s="38">
        <f>AW864+AX864</f>
        <v>0</v>
      </c>
      <c r="BD864" s="38">
        <f>H864/(100-BE864)*100</f>
        <v>0</v>
      </c>
      <c r="BE864" s="38">
        <v>0</v>
      </c>
      <c r="BF864" s="38">
        <f>K864</f>
        <v>0</v>
      </c>
      <c r="BH864" s="38">
        <f>G864*AO864</f>
        <v>0</v>
      </c>
      <c r="BI864" s="38">
        <f>G864*AP864</f>
        <v>0</v>
      </c>
      <c r="BJ864" s="38">
        <f>G864*H864</f>
        <v>0</v>
      </c>
      <c r="BK864" s="38"/>
      <c r="BL864" s="38">
        <v>784</v>
      </c>
      <c r="BW864" s="38">
        <v>21</v>
      </c>
    </row>
    <row r="865" spans="1:12" ht="15">
      <c r="A865" s="74"/>
      <c r="D865" s="75" t="s">
        <v>606</v>
      </c>
      <c r="E865" s="75" t="s">
        <v>266</v>
      </c>
      <c r="G865" s="76">
        <v>43</v>
      </c>
      <c r="L865" s="77"/>
    </row>
    <row r="866" spans="1:75" ht="13.5" customHeight="1">
      <c r="A866" s="1" t="s">
        <v>1560</v>
      </c>
      <c r="B866" s="2" t="s">
        <v>84</v>
      </c>
      <c r="C866" s="2" t="s">
        <v>1561</v>
      </c>
      <c r="D866" s="108" t="s">
        <v>1562</v>
      </c>
      <c r="E866" s="103"/>
      <c r="F866" s="2" t="s">
        <v>263</v>
      </c>
      <c r="G866" s="38">
        <f>'Stavební rozpočet'!G866</f>
        <v>2109.85</v>
      </c>
      <c r="H866" s="38">
        <f>'Stavební rozpočet'!H866</f>
        <v>0</v>
      </c>
      <c r="I866" s="38">
        <f>G866*H866</f>
        <v>0</v>
      </c>
      <c r="J866" s="38">
        <f>'Stavební rozpočet'!J866</f>
        <v>5E-05</v>
      </c>
      <c r="K866" s="38">
        <f>G866*J866</f>
        <v>0.1054925</v>
      </c>
      <c r="L866" s="71" t="s">
        <v>136</v>
      </c>
      <c r="Z866" s="38">
        <f>IF(AQ866="5",BJ866,0)</f>
        <v>0</v>
      </c>
      <c r="AB866" s="38">
        <f>IF(AQ866="1",BH866,0)</f>
        <v>0</v>
      </c>
      <c r="AC866" s="38">
        <f>IF(AQ866="1",BI866,0)</f>
        <v>0</v>
      </c>
      <c r="AD866" s="38">
        <f>IF(AQ866="7",BH866,0)</f>
        <v>0</v>
      </c>
      <c r="AE866" s="38">
        <f>IF(AQ866="7",BI866,0)</f>
        <v>0</v>
      </c>
      <c r="AF866" s="38">
        <f>IF(AQ866="2",BH866,0)</f>
        <v>0</v>
      </c>
      <c r="AG866" s="38">
        <f>IF(AQ866="2",BI866,0)</f>
        <v>0</v>
      </c>
      <c r="AH866" s="38">
        <f>IF(AQ866="0",BJ866,0)</f>
        <v>0</v>
      </c>
      <c r="AI866" s="50" t="s">
        <v>84</v>
      </c>
      <c r="AJ866" s="38">
        <f>IF(AN866=0,I866,0)</f>
        <v>0</v>
      </c>
      <c r="AK866" s="38">
        <f>IF(AN866=12,I866,0)</f>
        <v>0</v>
      </c>
      <c r="AL866" s="38">
        <f>IF(AN866=21,I866,0)</f>
        <v>0</v>
      </c>
      <c r="AN866" s="38">
        <v>21</v>
      </c>
      <c r="AO866" s="38">
        <f>H866*0.156681155</f>
        <v>0</v>
      </c>
      <c r="AP866" s="38">
        <f>H866*(1-0.156681155)</f>
        <v>0</v>
      </c>
      <c r="AQ866" s="72" t="s">
        <v>169</v>
      </c>
      <c r="AV866" s="38">
        <f>AW866+AX866</f>
        <v>0</v>
      </c>
      <c r="AW866" s="38">
        <f>G866*AO866</f>
        <v>0</v>
      </c>
      <c r="AX866" s="38">
        <f>G866*AP866</f>
        <v>0</v>
      </c>
      <c r="AY866" s="72" t="s">
        <v>1540</v>
      </c>
      <c r="AZ866" s="72" t="s">
        <v>1443</v>
      </c>
      <c r="BA866" s="50" t="s">
        <v>139</v>
      </c>
      <c r="BB866" s="73">
        <v>100017</v>
      </c>
      <c r="BC866" s="38">
        <f>AW866+AX866</f>
        <v>0</v>
      </c>
      <c r="BD866" s="38">
        <f>H866/(100-BE866)*100</f>
        <v>0</v>
      </c>
      <c r="BE866" s="38">
        <v>0</v>
      </c>
      <c r="BF866" s="38">
        <f>K866</f>
        <v>0.1054925</v>
      </c>
      <c r="BH866" s="38">
        <f>G866*AO866</f>
        <v>0</v>
      </c>
      <c r="BI866" s="38">
        <f>G866*AP866</f>
        <v>0</v>
      </c>
      <c r="BJ866" s="38">
        <f>G866*H866</f>
        <v>0</v>
      </c>
      <c r="BK866" s="38"/>
      <c r="BL866" s="38">
        <v>784</v>
      </c>
      <c r="BW866" s="38">
        <v>21</v>
      </c>
    </row>
    <row r="867" spans="1:12" ht="15">
      <c r="A867" s="74"/>
      <c r="D867" s="75" t="s">
        <v>1563</v>
      </c>
      <c r="E867" s="75" t="s">
        <v>1564</v>
      </c>
      <c r="G867" s="76">
        <v>484.37</v>
      </c>
      <c r="L867" s="77"/>
    </row>
    <row r="868" spans="1:12" ht="15">
      <c r="A868" s="74"/>
      <c r="D868" s="75" t="s">
        <v>1565</v>
      </c>
      <c r="E868" s="75" t="s">
        <v>1566</v>
      </c>
      <c r="G868" s="76">
        <v>898.9</v>
      </c>
      <c r="L868" s="77"/>
    </row>
    <row r="869" spans="1:12" ht="15">
      <c r="A869" s="74"/>
      <c r="D869" s="75" t="s">
        <v>1567</v>
      </c>
      <c r="E869" s="75" t="s">
        <v>1568</v>
      </c>
      <c r="G869" s="76">
        <v>12.05</v>
      </c>
      <c r="L869" s="77"/>
    </row>
    <row r="870" spans="1:12" ht="15">
      <c r="A870" s="74"/>
      <c r="D870" s="75" t="s">
        <v>628</v>
      </c>
      <c r="E870" s="75" t="s">
        <v>1569</v>
      </c>
      <c r="G870" s="76">
        <v>4.31</v>
      </c>
      <c r="L870" s="77"/>
    </row>
    <row r="871" spans="1:12" ht="15">
      <c r="A871" s="74"/>
      <c r="D871" s="75" t="s">
        <v>1570</v>
      </c>
      <c r="E871" s="75" t="s">
        <v>1571</v>
      </c>
      <c r="G871" s="76">
        <v>175.23</v>
      </c>
      <c r="L871" s="77"/>
    </row>
    <row r="872" spans="1:12" ht="15">
      <c r="A872" s="74"/>
      <c r="D872" s="75" t="s">
        <v>1572</v>
      </c>
      <c r="E872" s="75" t="s">
        <v>1573</v>
      </c>
      <c r="G872" s="76">
        <v>95.01</v>
      </c>
      <c r="L872" s="77"/>
    </row>
    <row r="873" spans="1:12" ht="15">
      <c r="A873" s="74"/>
      <c r="D873" s="75" t="s">
        <v>1574</v>
      </c>
      <c r="E873" s="75" t="s">
        <v>1575</v>
      </c>
      <c r="G873" s="76">
        <v>345.78</v>
      </c>
      <c r="L873" s="77"/>
    </row>
    <row r="874" spans="1:12" ht="15">
      <c r="A874" s="74"/>
      <c r="D874" s="75" t="s">
        <v>1576</v>
      </c>
      <c r="E874" s="75" t="s">
        <v>1577</v>
      </c>
      <c r="G874" s="76">
        <v>94.2</v>
      </c>
      <c r="L874" s="77"/>
    </row>
    <row r="875" spans="1:75" ht="13.5" customHeight="1">
      <c r="A875" s="1" t="s">
        <v>1578</v>
      </c>
      <c r="B875" s="2" t="s">
        <v>84</v>
      </c>
      <c r="C875" s="2" t="s">
        <v>1579</v>
      </c>
      <c r="D875" s="108" t="s">
        <v>1580</v>
      </c>
      <c r="E875" s="103"/>
      <c r="F875" s="2" t="s">
        <v>263</v>
      </c>
      <c r="G875" s="38">
        <f>'Stavební rozpočet'!G875</f>
        <v>1054.92</v>
      </c>
      <c r="H875" s="38">
        <f>'Stavební rozpočet'!H875</f>
        <v>0</v>
      </c>
      <c r="I875" s="38">
        <f>G875*H875</f>
        <v>0</v>
      </c>
      <c r="J875" s="38">
        <f>'Stavební rozpočet'!J875</f>
        <v>0.00015</v>
      </c>
      <c r="K875" s="38">
        <f>G875*J875</f>
        <v>0.158238</v>
      </c>
      <c r="L875" s="71" t="s">
        <v>136</v>
      </c>
      <c r="Z875" s="38">
        <f>IF(AQ875="5",BJ875,0)</f>
        <v>0</v>
      </c>
      <c r="AB875" s="38">
        <f>IF(AQ875="1",BH875,0)</f>
        <v>0</v>
      </c>
      <c r="AC875" s="38">
        <f>IF(AQ875="1",BI875,0)</f>
        <v>0</v>
      </c>
      <c r="AD875" s="38">
        <f>IF(AQ875="7",BH875,0)</f>
        <v>0</v>
      </c>
      <c r="AE875" s="38">
        <f>IF(AQ875="7",BI875,0)</f>
        <v>0</v>
      </c>
      <c r="AF875" s="38">
        <f>IF(AQ875="2",BH875,0)</f>
        <v>0</v>
      </c>
      <c r="AG875" s="38">
        <f>IF(AQ875="2",BI875,0)</f>
        <v>0</v>
      </c>
      <c r="AH875" s="38">
        <f>IF(AQ875="0",BJ875,0)</f>
        <v>0</v>
      </c>
      <c r="AI875" s="50" t="s">
        <v>84</v>
      </c>
      <c r="AJ875" s="38">
        <f>IF(AN875=0,I875,0)</f>
        <v>0</v>
      </c>
      <c r="AK875" s="38">
        <f>IF(AN875=12,I875,0)</f>
        <v>0</v>
      </c>
      <c r="AL875" s="38">
        <f>IF(AN875=21,I875,0)</f>
        <v>0</v>
      </c>
      <c r="AN875" s="38">
        <v>21</v>
      </c>
      <c r="AO875" s="38">
        <f>H875*0.104361161</f>
        <v>0</v>
      </c>
      <c r="AP875" s="38">
        <f>H875*(1-0.104361161)</f>
        <v>0</v>
      </c>
      <c r="AQ875" s="72" t="s">
        <v>169</v>
      </c>
      <c r="AV875" s="38">
        <f>AW875+AX875</f>
        <v>0</v>
      </c>
      <c r="AW875" s="38">
        <f>G875*AO875</f>
        <v>0</v>
      </c>
      <c r="AX875" s="38">
        <f>G875*AP875</f>
        <v>0</v>
      </c>
      <c r="AY875" s="72" t="s">
        <v>1540</v>
      </c>
      <c r="AZ875" s="72" t="s">
        <v>1443</v>
      </c>
      <c r="BA875" s="50" t="s">
        <v>139</v>
      </c>
      <c r="BB875" s="73">
        <v>100017</v>
      </c>
      <c r="BC875" s="38">
        <f>AW875+AX875</f>
        <v>0</v>
      </c>
      <c r="BD875" s="38">
        <f>H875/(100-BE875)*100</f>
        <v>0</v>
      </c>
      <c r="BE875" s="38">
        <v>0</v>
      </c>
      <c r="BF875" s="38">
        <f>K875</f>
        <v>0.158238</v>
      </c>
      <c r="BH875" s="38">
        <f>G875*AO875</f>
        <v>0</v>
      </c>
      <c r="BI875" s="38">
        <f>G875*AP875</f>
        <v>0</v>
      </c>
      <c r="BJ875" s="38">
        <f>G875*H875</f>
        <v>0</v>
      </c>
      <c r="BK875" s="38"/>
      <c r="BL875" s="38">
        <v>784</v>
      </c>
      <c r="BW875" s="38">
        <v>21</v>
      </c>
    </row>
    <row r="876" spans="1:12" ht="13.5" customHeight="1">
      <c r="A876" s="74"/>
      <c r="D876" s="194" t="s">
        <v>1581</v>
      </c>
      <c r="E876" s="195"/>
      <c r="F876" s="195"/>
      <c r="G876" s="195"/>
      <c r="H876" s="195"/>
      <c r="I876" s="195"/>
      <c r="J876" s="195"/>
      <c r="K876" s="195"/>
      <c r="L876" s="197"/>
    </row>
    <row r="877" spans="1:12" ht="15">
      <c r="A877" s="74"/>
      <c r="D877" s="75" t="s">
        <v>1582</v>
      </c>
      <c r="E877" s="75" t="s">
        <v>1583</v>
      </c>
      <c r="G877" s="76">
        <v>1054.92</v>
      </c>
      <c r="L877" s="77"/>
    </row>
    <row r="878" spans="1:75" ht="13.5" customHeight="1">
      <c r="A878" s="1" t="s">
        <v>1584</v>
      </c>
      <c r="B878" s="2" t="s">
        <v>84</v>
      </c>
      <c r="C878" s="2" t="s">
        <v>1585</v>
      </c>
      <c r="D878" s="108" t="s">
        <v>1586</v>
      </c>
      <c r="E878" s="103"/>
      <c r="F878" s="2" t="s">
        <v>263</v>
      </c>
      <c r="G878" s="38">
        <f>'Stavební rozpočet'!G878</f>
        <v>1054.92</v>
      </c>
      <c r="H878" s="38">
        <f>'Stavební rozpočet'!H878</f>
        <v>0</v>
      </c>
      <c r="I878" s="38">
        <f>G878*H878</f>
        <v>0</v>
      </c>
      <c r="J878" s="38">
        <f>'Stavební rozpočet'!J878</f>
        <v>0.00016</v>
      </c>
      <c r="K878" s="38">
        <f>G878*J878</f>
        <v>0.16878720000000003</v>
      </c>
      <c r="L878" s="71" t="s">
        <v>136</v>
      </c>
      <c r="Z878" s="38">
        <f>IF(AQ878="5",BJ878,0)</f>
        <v>0</v>
      </c>
      <c r="AB878" s="38">
        <f>IF(AQ878="1",BH878,0)</f>
        <v>0</v>
      </c>
      <c r="AC878" s="38">
        <f>IF(AQ878="1",BI878,0)</f>
        <v>0</v>
      </c>
      <c r="AD878" s="38">
        <f>IF(AQ878="7",BH878,0)</f>
        <v>0</v>
      </c>
      <c r="AE878" s="38">
        <f>IF(AQ878="7",BI878,0)</f>
        <v>0</v>
      </c>
      <c r="AF878" s="38">
        <f>IF(AQ878="2",BH878,0)</f>
        <v>0</v>
      </c>
      <c r="AG878" s="38">
        <f>IF(AQ878="2",BI878,0)</f>
        <v>0</v>
      </c>
      <c r="AH878" s="38">
        <f>IF(AQ878="0",BJ878,0)</f>
        <v>0</v>
      </c>
      <c r="AI878" s="50" t="s">
        <v>84</v>
      </c>
      <c r="AJ878" s="38">
        <f>IF(AN878=0,I878,0)</f>
        <v>0</v>
      </c>
      <c r="AK878" s="38">
        <f>IF(AN878=12,I878,0)</f>
        <v>0</v>
      </c>
      <c r="AL878" s="38">
        <f>IF(AN878=21,I878,0)</f>
        <v>0</v>
      </c>
      <c r="AN878" s="38">
        <v>21</v>
      </c>
      <c r="AO878" s="38">
        <f>H878*0.126563127</f>
        <v>0</v>
      </c>
      <c r="AP878" s="38">
        <f>H878*(1-0.126563127)</f>
        <v>0</v>
      </c>
      <c r="AQ878" s="72" t="s">
        <v>169</v>
      </c>
      <c r="AV878" s="38">
        <f>AW878+AX878</f>
        <v>0</v>
      </c>
      <c r="AW878" s="38">
        <f>G878*AO878</f>
        <v>0</v>
      </c>
      <c r="AX878" s="38">
        <f>G878*AP878</f>
        <v>0</v>
      </c>
      <c r="AY878" s="72" t="s">
        <v>1540</v>
      </c>
      <c r="AZ878" s="72" t="s">
        <v>1443</v>
      </c>
      <c r="BA878" s="50" t="s">
        <v>139</v>
      </c>
      <c r="BB878" s="73">
        <v>100017</v>
      </c>
      <c r="BC878" s="38">
        <f>AW878+AX878</f>
        <v>0</v>
      </c>
      <c r="BD878" s="38">
        <f>H878/(100-BE878)*100</f>
        <v>0</v>
      </c>
      <c r="BE878" s="38">
        <v>0</v>
      </c>
      <c r="BF878" s="38">
        <f>K878</f>
        <v>0.16878720000000003</v>
      </c>
      <c r="BH878" s="38">
        <f>G878*AO878</f>
        <v>0</v>
      </c>
      <c r="BI878" s="38">
        <f>G878*AP878</f>
        <v>0</v>
      </c>
      <c r="BJ878" s="38">
        <f>G878*H878</f>
        <v>0</v>
      </c>
      <c r="BK878" s="38"/>
      <c r="BL878" s="38">
        <v>784</v>
      </c>
      <c r="BW878" s="38">
        <v>21</v>
      </c>
    </row>
    <row r="879" spans="1:12" ht="13.5" customHeight="1">
      <c r="A879" s="74"/>
      <c r="D879" s="194" t="s">
        <v>1587</v>
      </c>
      <c r="E879" s="195"/>
      <c r="F879" s="195"/>
      <c r="G879" s="195"/>
      <c r="H879" s="195"/>
      <c r="I879" s="195"/>
      <c r="J879" s="195"/>
      <c r="K879" s="195"/>
      <c r="L879" s="197"/>
    </row>
    <row r="880" spans="1:12" ht="15">
      <c r="A880" s="74"/>
      <c r="D880" s="75" t="s">
        <v>1582</v>
      </c>
      <c r="E880" s="75" t="s">
        <v>1588</v>
      </c>
      <c r="G880" s="76">
        <v>1054.92</v>
      </c>
      <c r="L880" s="77"/>
    </row>
    <row r="881" spans="1:47" ht="15">
      <c r="A881" s="65" t="s">
        <v>4</v>
      </c>
      <c r="B881" s="66" t="s">
        <v>84</v>
      </c>
      <c r="C881" s="66" t="s">
        <v>625</v>
      </c>
      <c r="D881" s="192" t="s">
        <v>1589</v>
      </c>
      <c r="E881" s="193"/>
      <c r="F881" s="67" t="s">
        <v>78</v>
      </c>
      <c r="G881" s="67" t="s">
        <v>78</v>
      </c>
      <c r="H881" s="67" t="s">
        <v>78</v>
      </c>
      <c r="I881" s="44">
        <f>SUM(I882:I906)</f>
        <v>0</v>
      </c>
      <c r="J881" s="50" t="s">
        <v>4</v>
      </c>
      <c r="K881" s="44">
        <f>SUM(K882:K906)</f>
        <v>3.3514</v>
      </c>
      <c r="L881" s="69" t="s">
        <v>4</v>
      </c>
      <c r="AI881" s="50" t="s">
        <v>84</v>
      </c>
      <c r="AS881" s="44">
        <f>SUM(AJ882:AJ906)</f>
        <v>0</v>
      </c>
      <c r="AT881" s="44">
        <f>SUM(AK882:AK906)</f>
        <v>0</v>
      </c>
      <c r="AU881" s="44">
        <f>SUM(AL882:AL906)</f>
        <v>0</v>
      </c>
    </row>
    <row r="882" spans="1:75" ht="13.5" customHeight="1">
      <c r="A882" s="1" t="s">
        <v>1590</v>
      </c>
      <c r="B882" s="2" t="s">
        <v>84</v>
      </c>
      <c r="C882" s="2" t="s">
        <v>1591</v>
      </c>
      <c r="D882" s="108" t="s">
        <v>1592</v>
      </c>
      <c r="E882" s="103"/>
      <c r="F882" s="2" t="s">
        <v>1593</v>
      </c>
      <c r="G882" s="38">
        <f>'Stavební rozpočet'!G882</f>
        <v>1</v>
      </c>
      <c r="H882" s="38">
        <f>'Stavební rozpočet'!H882</f>
        <v>0</v>
      </c>
      <c r="I882" s="38">
        <f>G882*H882</f>
        <v>0</v>
      </c>
      <c r="J882" s="38">
        <f>'Stavební rozpočet'!J882</f>
        <v>0</v>
      </c>
      <c r="K882" s="38">
        <f>G882*J882</f>
        <v>0</v>
      </c>
      <c r="L882" s="71" t="s">
        <v>207</v>
      </c>
      <c r="Z882" s="38">
        <f>IF(AQ882="5",BJ882,0)</f>
        <v>0</v>
      </c>
      <c r="AB882" s="38">
        <f>IF(AQ882="1",BH882,0)</f>
        <v>0</v>
      </c>
      <c r="AC882" s="38">
        <f>IF(AQ882="1",BI882,0)</f>
        <v>0</v>
      </c>
      <c r="AD882" s="38">
        <f>IF(AQ882="7",BH882,0)</f>
        <v>0</v>
      </c>
      <c r="AE882" s="38">
        <f>IF(AQ882="7",BI882,0)</f>
        <v>0</v>
      </c>
      <c r="AF882" s="38">
        <f>IF(AQ882="2",BH882,0)</f>
        <v>0</v>
      </c>
      <c r="AG882" s="38">
        <f>IF(AQ882="2",BI882,0)</f>
        <v>0</v>
      </c>
      <c r="AH882" s="38">
        <f>IF(AQ882="0",BJ882,0)</f>
        <v>0</v>
      </c>
      <c r="AI882" s="50" t="s">
        <v>84</v>
      </c>
      <c r="AJ882" s="38">
        <f>IF(AN882=0,I882,0)</f>
        <v>0</v>
      </c>
      <c r="AK882" s="38">
        <f>IF(AN882=12,I882,0)</f>
        <v>0</v>
      </c>
      <c r="AL882" s="38">
        <f>IF(AN882=21,I882,0)</f>
        <v>0</v>
      </c>
      <c r="AN882" s="38">
        <v>21</v>
      </c>
      <c r="AO882" s="38">
        <f>H882*0</f>
        <v>0</v>
      </c>
      <c r="AP882" s="38">
        <f>H882*(1-0)</f>
        <v>0</v>
      </c>
      <c r="AQ882" s="72" t="s">
        <v>169</v>
      </c>
      <c r="AV882" s="38">
        <f>AW882+AX882</f>
        <v>0</v>
      </c>
      <c r="AW882" s="38">
        <f>G882*AO882</f>
        <v>0</v>
      </c>
      <c r="AX882" s="38">
        <f>G882*AP882</f>
        <v>0</v>
      </c>
      <c r="AY882" s="72" t="s">
        <v>1594</v>
      </c>
      <c r="AZ882" s="72" t="s">
        <v>1595</v>
      </c>
      <c r="BA882" s="50" t="s">
        <v>139</v>
      </c>
      <c r="BB882" s="73">
        <v>100002</v>
      </c>
      <c r="BC882" s="38">
        <f>AW882+AX882</f>
        <v>0</v>
      </c>
      <c r="BD882" s="38">
        <f>H882/(100-BE882)*100</f>
        <v>0</v>
      </c>
      <c r="BE882" s="38">
        <v>0</v>
      </c>
      <c r="BF882" s="38">
        <f>K882</f>
        <v>0</v>
      </c>
      <c r="BH882" s="38">
        <f>G882*AO882</f>
        <v>0</v>
      </c>
      <c r="BI882" s="38">
        <f>G882*AP882</f>
        <v>0</v>
      </c>
      <c r="BJ882" s="38">
        <f>G882*H882</f>
        <v>0</v>
      </c>
      <c r="BK882" s="38"/>
      <c r="BL882" s="38">
        <v>79</v>
      </c>
      <c r="BW882" s="38">
        <v>21</v>
      </c>
    </row>
    <row r="883" spans="1:12" ht="13.5" customHeight="1">
      <c r="A883" s="74"/>
      <c r="D883" s="194" t="s">
        <v>1596</v>
      </c>
      <c r="E883" s="195"/>
      <c r="F883" s="195"/>
      <c r="G883" s="195"/>
      <c r="H883" s="195"/>
      <c r="I883" s="195"/>
      <c r="J883" s="195"/>
      <c r="K883" s="195"/>
      <c r="L883" s="197"/>
    </row>
    <row r="884" spans="1:12" ht="15">
      <c r="A884" s="74"/>
      <c r="D884" s="75" t="s">
        <v>132</v>
      </c>
      <c r="E884" s="75" t="s">
        <v>4</v>
      </c>
      <c r="G884" s="76">
        <v>1</v>
      </c>
      <c r="L884" s="77"/>
    </row>
    <row r="885" spans="1:75" ht="27" customHeight="1">
      <c r="A885" s="78" t="s">
        <v>1597</v>
      </c>
      <c r="B885" s="79" t="s">
        <v>84</v>
      </c>
      <c r="C885" s="79" t="s">
        <v>1598</v>
      </c>
      <c r="D885" s="198" t="s">
        <v>1599</v>
      </c>
      <c r="E885" s="199"/>
      <c r="F885" s="79" t="s">
        <v>199</v>
      </c>
      <c r="G885" s="80">
        <f>'Stavební rozpočet'!G885</f>
        <v>6</v>
      </c>
      <c r="H885" s="80">
        <f>'Stavební rozpočet'!H885</f>
        <v>0</v>
      </c>
      <c r="I885" s="80">
        <f>G885*H885</f>
        <v>0</v>
      </c>
      <c r="J885" s="80">
        <f>'Stavební rozpočet'!J885</f>
        <v>0.024</v>
      </c>
      <c r="K885" s="80">
        <f>G885*J885</f>
        <v>0.14400000000000002</v>
      </c>
      <c r="L885" s="82" t="s">
        <v>207</v>
      </c>
      <c r="Z885" s="38">
        <f>IF(AQ885="5",BJ885,0)</f>
        <v>0</v>
      </c>
      <c r="AB885" s="38">
        <f>IF(AQ885="1",BH885,0)</f>
        <v>0</v>
      </c>
      <c r="AC885" s="38">
        <f>IF(AQ885="1",BI885,0)</f>
        <v>0</v>
      </c>
      <c r="AD885" s="38">
        <f>IF(AQ885="7",BH885,0)</f>
        <v>0</v>
      </c>
      <c r="AE885" s="38">
        <f>IF(AQ885="7",BI885,0)</f>
        <v>0</v>
      </c>
      <c r="AF885" s="38">
        <f>IF(AQ885="2",BH885,0)</f>
        <v>0</v>
      </c>
      <c r="AG885" s="38">
        <f>IF(AQ885="2",BI885,0)</f>
        <v>0</v>
      </c>
      <c r="AH885" s="38">
        <f>IF(AQ885="0",BJ885,0)</f>
        <v>0</v>
      </c>
      <c r="AI885" s="50" t="s">
        <v>84</v>
      </c>
      <c r="AJ885" s="80">
        <f>IF(AN885=0,I885,0)</f>
        <v>0</v>
      </c>
      <c r="AK885" s="80">
        <f>IF(AN885=12,I885,0)</f>
        <v>0</v>
      </c>
      <c r="AL885" s="80">
        <f>IF(AN885=21,I885,0)</f>
        <v>0</v>
      </c>
      <c r="AN885" s="38">
        <v>21</v>
      </c>
      <c r="AO885" s="38">
        <f>H885*1</f>
        <v>0</v>
      </c>
      <c r="AP885" s="38">
        <f>H885*(1-1)</f>
        <v>0</v>
      </c>
      <c r="AQ885" s="83" t="s">
        <v>169</v>
      </c>
      <c r="AV885" s="38">
        <f>AW885+AX885</f>
        <v>0</v>
      </c>
      <c r="AW885" s="38">
        <f>G885*AO885</f>
        <v>0</v>
      </c>
      <c r="AX885" s="38">
        <f>G885*AP885</f>
        <v>0</v>
      </c>
      <c r="AY885" s="72" t="s">
        <v>1594</v>
      </c>
      <c r="AZ885" s="72" t="s">
        <v>1595</v>
      </c>
      <c r="BA885" s="50" t="s">
        <v>139</v>
      </c>
      <c r="BC885" s="38">
        <f>AW885+AX885</f>
        <v>0</v>
      </c>
      <c r="BD885" s="38">
        <f>H885/(100-BE885)*100</f>
        <v>0</v>
      </c>
      <c r="BE885" s="38">
        <v>0</v>
      </c>
      <c r="BF885" s="38">
        <f>K885</f>
        <v>0.14400000000000002</v>
      </c>
      <c r="BH885" s="80">
        <f>G885*AO885</f>
        <v>0</v>
      </c>
      <c r="BI885" s="80">
        <f>G885*AP885</f>
        <v>0</v>
      </c>
      <c r="BJ885" s="80">
        <f>G885*H885</f>
        <v>0</v>
      </c>
      <c r="BK885" s="80"/>
      <c r="BL885" s="38">
        <v>79</v>
      </c>
      <c r="BW885" s="38">
        <v>21</v>
      </c>
    </row>
    <row r="886" spans="1:12" ht="15">
      <c r="A886" s="74"/>
      <c r="D886" s="75" t="s">
        <v>166</v>
      </c>
      <c r="E886" s="75" t="s">
        <v>4</v>
      </c>
      <c r="G886" s="76">
        <v>6</v>
      </c>
      <c r="L886" s="77"/>
    </row>
    <row r="887" spans="1:75" ht="27" customHeight="1">
      <c r="A887" s="78" t="s">
        <v>1600</v>
      </c>
      <c r="B887" s="79" t="s">
        <v>84</v>
      </c>
      <c r="C887" s="79" t="s">
        <v>1601</v>
      </c>
      <c r="D887" s="198" t="s">
        <v>1602</v>
      </c>
      <c r="E887" s="199"/>
      <c r="F887" s="79" t="s">
        <v>199</v>
      </c>
      <c r="G887" s="80">
        <f>'Stavební rozpočet'!G887</f>
        <v>106</v>
      </c>
      <c r="H887" s="80">
        <f>'Stavební rozpočet'!H887</f>
        <v>0</v>
      </c>
      <c r="I887" s="80">
        <f>G887*H887</f>
        <v>0</v>
      </c>
      <c r="J887" s="80">
        <f>'Stavební rozpočet'!J887</f>
        <v>0.024</v>
      </c>
      <c r="K887" s="80">
        <f>G887*J887</f>
        <v>2.544</v>
      </c>
      <c r="L887" s="82" t="s">
        <v>207</v>
      </c>
      <c r="Z887" s="38">
        <f>IF(AQ887="5",BJ887,0)</f>
        <v>0</v>
      </c>
      <c r="AB887" s="38">
        <f>IF(AQ887="1",BH887,0)</f>
        <v>0</v>
      </c>
      <c r="AC887" s="38">
        <f>IF(AQ887="1",BI887,0)</f>
        <v>0</v>
      </c>
      <c r="AD887" s="38">
        <f>IF(AQ887="7",BH887,0)</f>
        <v>0</v>
      </c>
      <c r="AE887" s="38">
        <f>IF(AQ887="7",BI887,0)</f>
        <v>0</v>
      </c>
      <c r="AF887" s="38">
        <f>IF(AQ887="2",BH887,0)</f>
        <v>0</v>
      </c>
      <c r="AG887" s="38">
        <f>IF(AQ887="2",BI887,0)</f>
        <v>0</v>
      </c>
      <c r="AH887" s="38">
        <f>IF(AQ887="0",BJ887,0)</f>
        <v>0</v>
      </c>
      <c r="AI887" s="50" t="s">
        <v>84</v>
      </c>
      <c r="AJ887" s="80">
        <f>IF(AN887=0,I887,0)</f>
        <v>0</v>
      </c>
      <c r="AK887" s="80">
        <f>IF(AN887=12,I887,0)</f>
        <v>0</v>
      </c>
      <c r="AL887" s="80">
        <f>IF(AN887=21,I887,0)</f>
        <v>0</v>
      </c>
      <c r="AN887" s="38">
        <v>21</v>
      </c>
      <c r="AO887" s="38">
        <f>H887*1</f>
        <v>0</v>
      </c>
      <c r="AP887" s="38">
        <f>H887*(1-1)</f>
        <v>0</v>
      </c>
      <c r="AQ887" s="83" t="s">
        <v>169</v>
      </c>
      <c r="AV887" s="38">
        <f>AW887+AX887</f>
        <v>0</v>
      </c>
      <c r="AW887" s="38">
        <f>G887*AO887</f>
        <v>0</v>
      </c>
      <c r="AX887" s="38">
        <f>G887*AP887</f>
        <v>0</v>
      </c>
      <c r="AY887" s="72" t="s">
        <v>1594</v>
      </c>
      <c r="AZ887" s="72" t="s">
        <v>1595</v>
      </c>
      <c r="BA887" s="50" t="s">
        <v>139</v>
      </c>
      <c r="BC887" s="38">
        <f>AW887+AX887</f>
        <v>0</v>
      </c>
      <c r="BD887" s="38">
        <f>H887/(100-BE887)*100</f>
        <v>0</v>
      </c>
      <c r="BE887" s="38">
        <v>0</v>
      </c>
      <c r="BF887" s="38">
        <f>K887</f>
        <v>2.544</v>
      </c>
      <c r="BH887" s="80">
        <f>G887*AO887</f>
        <v>0</v>
      </c>
      <c r="BI887" s="80">
        <f>G887*AP887</f>
        <v>0</v>
      </c>
      <c r="BJ887" s="80">
        <f>G887*H887</f>
        <v>0</v>
      </c>
      <c r="BK887" s="80"/>
      <c r="BL887" s="38">
        <v>79</v>
      </c>
      <c r="BW887" s="38">
        <v>21</v>
      </c>
    </row>
    <row r="888" spans="1:12" ht="15">
      <c r="A888" s="74"/>
      <c r="D888" s="75" t="s">
        <v>776</v>
      </c>
      <c r="E888" s="75" t="s">
        <v>4</v>
      </c>
      <c r="G888" s="76">
        <v>106</v>
      </c>
      <c r="L888" s="77"/>
    </row>
    <row r="889" spans="1:75" ht="27" customHeight="1">
      <c r="A889" s="78" t="s">
        <v>1603</v>
      </c>
      <c r="B889" s="79" t="s">
        <v>84</v>
      </c>
      <c r="C889" s="79" t="s">
        <v>1604</v>
      </c>
      <c r="D889" s="198" t="s">
        <v>1605</v>
      </c>
      <c r="E889" s="199"/>
      <c r="F889" s="79" t="s">
        <v>199</v>
      </c>
      <c r="G889" s="80">
        <f>'Stavební rozpočet'!G889</f>
        <v>22</v>
      </c>
      <c r="H889" s="80">
        <f>'Stavební rozpočet'!H889</f>
        <v>0</v>
      </c>
      <c r="I889" s="80">
        <f>G889*H889</f>
        <v>0</v>
      </c>
      <c r="J889" s="80">
        <f>'Stavební rozpočet'!J889</f>
        <v>0.0297</v>
      </c>
      <c r="K889" s="80">
        <f>G889*J889</f>
        <v>0.6534</v>
      </c>
      <c r="L889" s="82" t="s">
        <v>207</v>
      </c>
      <c r="Z889" s="38">
        <f>IF(AQ889="5",BJ889,0)</f>
        <v>0</v>
      </c>
      <c r="AB889" s="38">
        <f>IF(AQ889="1",BH889,0)</f>
        <v>0</v>
      </c>
      <c r="AC889" s="38">
        <f>IF(AQ889="1",BI889,0)</f>
        <v>0</v>
      </c>
      <c r="AD889" s="38">
        <f>IF(AQ889="7",BH889,0)</f>
        <v>0</v>
      </c>
      <c r="AE889" s="38">
        <f>IF(AQ889="7",BI889,0)</f>
        <v>0</v>
      </c>
      <c r="AF889" s="38">
        <f>IF(AQ889="2",BH889,0)</f>
        <v>0</v>
      </c>
      <c r="AG889" s="38">
        <f>IF(AQ889="2",BI889,0)</f>
        <v>0</v>
      </c>
      <c r="AH889" s="38">
        <f>IF(AQ889="0",BJ889,0)</f>
        <v>0</v>
      </c>
      <c r="AI889" s="50" t="s">
        <v>84</v>
      </c>
      <c r="AJ889" s="80">
        <f>IF(AN889=0,I889,0)</f>
        <v>0</v>
      </c>
      <c r="AK889" s="80">
        <f>IF(AN889=12,I889,0)</f>
        <v>0</v>
      </c>
      <c r="AL889" s="80">
        <f>IF(AN889=21,I889,0)</f>
        <v>0</v>
      </c>
      <c r="AN889" s="38">
        <v>21</v>
      </c>
      <c r="AO889" s="38">
        <f>H889*1</f>
        <v>0</v>
      </c>
      <c r="AP889" s="38">
        <f>H889*(1-1)</f>
        <v>0</v>
      </c>
      <c r="AQ889" s="83" t="s">
        <v>169</v>
      </c>
      <c r="AV889" s="38">
        <f>AW889+AX889</f>
        <v>0</v>
      </c>
      <c r="AW889" s="38">
        <f>G889*AO889</f>
        <v>0</v>
      </c>
      <c r="AX889" s="38">
        <f>G889*AP889</f>
        <v>0</v>
      </c>
      <c r="AY889" s="72" t="s">
        <v>1594</v>
      </c>
      <c r="AZ889" s="72" t="s">
        <v>1595</v>
      </c>
      <c r="BA889" s="50" t="s">
        <v>139</v>
      </c>
      <c r="BC889" s="38">
        <f>AW889+AX889</f>
        <v>0</v>
      </c>
      <c r="BD889" s="38">
        <f>H889/(100-BE889)*100</f>
        <v>0</v>
      </c>
      <c r="BE889" s="38">
        <v>0</v>
      </c>
      <c r="BF889" s="38">
        <f>K889</f>
        <v>0.6534</v>
      </c>
      <c r="BH889" s="80">
        <f>G889*AO889</f>
        <v>0</v>
      </c>
      <c r="BI889" s="80">
        <f>G889*AP889</f>
        <v>0</v>
      </c>
      <c r="BJ889" s="80">
        <f>G889*H889</f>
        <v>0</v>
      </c>
      <c r="BK889" s="80"/>
      <c r="BL889" s="38">
        <v>79</v>
      </c>
      <c r="BW889" s="38">
        <v>21</v>
      </c>
    </row>
    <row r="890" spans="1:12" ht="15">
      <c r="A890" s="74"/>
      <c r="D890" s="75" t="s">
        <v>267</v>
      </c>
      <c r="E890" s="75" t="s">
        <v>4</v>
      </c>
      <c r="G890" s="76">
        <v>22</v>
      </c>
      <c r="L890" s="77"/>
    </row>
    <row r="891" spans="1:75" ht="13.5" customHeight="1">
      <c r="A891" s="1" t="s">
        <v>1606</v>
      </c>
      <c r="B891" s="2" t="s">
        <v>84</v>
      </c>
      <c r="C891" s="2" t="s">
        <v>1607</v>
      </c>
      <c r="D891" s="108" t="s">
        <v>1608</v>
      </c>
      <c r="E891" s="103"/>
      <c r="F891" s="2" t="s">
        <v>1593</v>
      </c>
      <c r="G891" s="38">
        <f>'Stavební rozpočet'!G891</f>
        <v>9</v>
      </c>
      <c r="H891" s="38">
        <f>'Stavební rozpočet'!H891</f>
        <v>0</v>
      </c>
      <c r="I891" s="38">
        <f>G891*H891</f>
        <v>0</v>
      </c>
      <c r="J891" s="38">
        <f>'Stavební rozpočet'!J891</f>
        <v>0</v>
      </c>
      <c r="K891" s="38">
        <f>G891*J891</f>
        <v>0</v>
      </c>
      <c r="L891" s="71" t="s">
        <v>207</v>
      </c>
      <c r="Z891" s="38">
        <f>IF(AQ891="5",BJ891,0)</f>
        <v>0</v>
      </c>
      <c r="AB891" s="38">
        <f>IF(AQ891="1",BH891,0)</f>
        <v>0</v>
      </c>
      <c r="AC891" s="38">
        <f>IF(AQ891="1",BI891,0)</f>
        <v>0</v>
      </c>
      <c r="AD891" s="38">
        <f>IF(AQ891="7",BH891,0)</f>
        <v>0</v>
      </c>
      <c r="AE891" s="38">
        <f>IF(AQ891="7",BI891,0)</f>
        <v>0</v>
      </c>
      <c r="AF891" s="38">
        <f>IF(AQ891="2",BH891,0)</f>
        <v>0</v>
      </c>
      <c r="AG891" s="38">
        <f>IF(AQ891="2",BI891,0)</f>
        <v>0</v>
      </c>
      <c r="AH891" s="38">
        <f>IF(AQ891="0",BJ891,0)</f>
        <v>0</v>
      </c>
      <c r="AI891" s="50" t="s">
        <v>84</v>
      </c>
      <c r="AJ891" s="38">
        <f>IF(AN891=0,I891,0)</f>
        <v>0</v>
      </c>
      <c r="AK891" s="38">
        <f>IF(AN891=12,I891,0)</f>
        <v>0</v>
      </c>
      <c r="AL891" s="38">
        <f>IF(AN891=21,I891,0)</f>
        <v>0</v>
      </c>
      <c r="AN891" s="38">
        <v>21</v>
      </c>
      <c r="AO891" s="38">
        <f>H891*1</f>
        <v>0</v>
      </c>
      <c r="AP891" s="38">
        <f>H891*(1-1)</f>
        <v>0</v>
      </c>
      <c r="AQ891" s="72" t="s">
        <v>169</v>
      </c>
      <c r="AV891" s="38">
        <f>AW891+AX891</f>
        <v>0</v>
      </c>
      <c r="AW891" s="38">
        <f>G891*AO891</f>
        <v>0</v>
      </c>
      <c r="AX891" s="38">
        <f>G891*AP891</f>
        <v>0</v>
      </c>
      <c r="AY891" s="72" t="s">
        <v>1594</v>
      </c>
      <c r="AZ891" s="72" t="s">
        <v>1595</v>
      </c>
      <c r="BA891" s="50" t="s">
        <v>139</v>
      </c>
      <c r="BB891" s="73">
        <v>100002</v>
      </c>
      <c r="BC891" s="38">
        <f>AW891+AX891</f>
        <v>0</v>
      </c>
      <c r="BD891" s="38">
        <f>H891/(100-BE891)*100</f>
        <v>0</v>
      </c>
      <c r="BE891" s="38">
        <v>0</v>
      </c>
      <c r="BF891" s="38">
        <f>K891</f>
        <v>0</v>
      </c>
      <c r="BH891" s="38">
        <f>G891*AO891</f>
        <v>0</v>
      </c>
      <c r="BI891" s="38">
        <f>G891*AP891</f>
        <v>0</v>
      </c>
      <c r="BJ891" s="38">
        <f>G891*H891</f>
        <v>0</v>
      </c>
      <c r="BK891" s="38"/>
      <c r="BL891" s="38">
        <v>79</v>
      </c>
      <c r="BW891" s="38">
        <v>21</v>
      </c>
    </row>
    <row r="892" spans="1:12" ht="13.5" customHeight="1">
      <c r="A892" s="74"/>
      <c r="D892" s="194" t="s">
        <v>1609</v>
      </c>
      <c r="E892" s="195"/>
      <c r="F892" s="195"/>
      <c r="G892" s="195"/>
      <c r="H892" s="195"/>
      <c r="I892" s="195"/>
      <c r="J892" s="195"/>
      <c r="K892" s="195"/>
      <c r="L892" s="197"/>
    </row>
    <row r="893" spans="1:12" ht="15">
      <c r="A893" s="74"/>
      <c r="D893" s="75" t="s">
        <v>180</v>
      </c>
      <c r="E893" s="75" t="s">
        <v>4</v>
      </c>
      <c r="G893" s="76">
        <v>9</v>
      </c>
      <c r="L893" s="77"/>
    </row>
    <row r="894" spans="1:75" ht="13.5" customHeight="1">
      <c r="A894" s="1" t="s">
        <v>1610</v>
      </c>
      <c r="B894" s="2" t="s">
        <v>84</v>
      </c>
      <c r="C894" s="2" t="s">
        <v>1611</v>
      </c>
      <c r="D894" s="108" t="s">
        <v>1612</v>
      </c>
      <c r="E894" s="103"/>
      <c r="F894" s="2" t="s">
        <v>199</v>
      </c>
      <c r="G894" s="38">
        <f>'Stavební rozpočet'!G894</f>
        <v>1</v>
      </c>
      <c r="H894" s="38">
        <f>'Stavební rozpočet'!H894</f>
        <v>0</v>
      </c>
      <c r="I894" s="38">
        <f>G894*H894</f>
        <v>0</v>
      </c>
      <c r="J894" s="38">
        <f>'Stavební rozpočet'!J894</f>
        <v>0</v>
      </c>
      <c r="K894" s="38">
        <f>G894*J894</f>
        <v>0</v>
      </c>
      <c r="L894" s="71" t="s">
        <v>207</v>
      </c>
      <c r="Z894" s="38">
        <f>IF(AQ894="5",BJ894,0)</f>
        <v>0</v>
      </c>
      <c r="AB894" s="38">
        <f>IF(AQ894="1",BH894,0)</f>
        <v>0</v>
      </c>
      <c r="AC894" s="38">
        <f>IF(AQ894="1",BI894,0)</f>
        <v>0</v>
      </c>
      <c r="AD894" s="38">
        <f>IF(AQ894="7",BH894,0)</f>
        <v>0</v>
      </c>
      <c r="AE894" s="38">
        <f>IF(AQ894="7",BI894,0)</f>
        <v>0</v>
      </c>
      <c r="AF894" s="38">
        <f>IF(AQ894="2",BH894,0)</f>
        <v>0</v>
      </c>
      <c r="AG894" s="38">
        <f>IF(AQ894="2",BI894,0)</f>
        <v>0</v>
      </c>
      <c r="AH894" s="38">
        <f>IF(AQ894="0",BJ894,0)</f>
        <v>0</v>
      </c>
      <c r="AI894" s="50" t="s">
        <v>84</v>
      </c>
      <c r="AJ894" s="38">
        <f>IF(AN894=0,I894,0)</f>
        <v>0</v>
      </c>
      <c r="AK894" s="38">
        <f>IF(AN894=12,I894,0)</f>
        <v>0</v>
      </c>
      <c r="AL894" s="38">
        <f>IF(AN894=21,I894,0)</f>
        <v>0</v>
      </c>
      <c r="AN894" s="38">
        <v>21</v>
      </c>
      <c r="AO894" s="38">
        <f>H894*1</f>
        <v>0</v>
      </c>
      <c r="AP894" s="38">
        <f>H894*(1-1)</f>
        <v>0</v>
      </c>
      <c r="AQ894" s="72" t="s">
        <v>169</v>
      </c>
      <c r="AV894" s="38">
        <f>AW894+AX894</f>
        <v>0</v>
      </c>
      <c r="AW894" s="38">
        <f>G894*AO894</f>
        <v>0</v>
      </c>
      <c r="AX894" s="38">
        <f>G894*AP894</f>
        <v>0</v>
      </c>
      <c r="AY894" s="72" t="s">
        <v>1594</v>
      </c>
      <c r="AZ894" s="72" t="s">
        <v>1595</v>
      </c>
      <c r="BA894" s="50" t="s">
        <v>139</v>
      </c>
      <c r="BB894" s="73">
        <v>100002</v>
      </c>
      <c r="BC894" s="38">
        <f>AW894+AX894</f>
        <v>0</v>
      </c>
      <c r="BD894" s="38">
        <f>H894/(100-BE894)*100</f>
        <v>0</v>
      </c>
      <c r="BE894" s="38">
        <v>0</v>
      </c>
      <c r="BF894" s="38">
        <f>K894</f>
        <v>0</v>
      </c>
      <c r="BH894" s="38">
        <f>G894*AO894</f>
        <v>0</v>
      </c>
      <c r="BI894" s="38">
        <f>G894*AP894</f>
        <v>0</v>
      </c>
      <c r="BJ894" s="38">
        <f>G894*H894</f>
        <v>0</v>
      </c>
      <c r="BK894" s="38"/>
      <c r="BL894" s="38">
        <v>79</v>
      </c>
      <c r="BW894" s="38">
        <v>21</v>
      </c>
    </row>
    <row r="895" spans="1:12" ht="13.5" customHeight="1">
      <c r="A895" s="74"/>
      <c r="D895" s="194" t="s">
        <v>1609</v>
      </c>
      <c r="E895" s="195"/>
      <c r="F895" s="195"/>
      <c r="G895" s="195"/>
      <c r="H895" s="195"/>
      <c r="I895" s="195"/>
      <c r="J895" s="195"/>
      <c r="K895" s="195"/>
      <c r="L895" s="197"/>
    </row>
    <row r="896" spans="1:12" ht="15">
      <c r="A896" s="74"/>
      <c r="D896" s="75" t="s">
        <v>132</v>
      </c>
      <c r="E896" s="75" t="s">
        <v>4</v>
      </c>
      <c r="G896" s="76">
        <v>1</v>
      </c>
      <c r="L896" s="77"/>
    </row>
    <row r="897" spans="1:75" ht="13.5" customHeight="1">
      <c r="A897" s="1" t="s">
        <v>1613</v>
      </c>
      <c r="B897" s="2" t="s">
        <v>84</v>
      </c>
      <c r="C897" s="2" t="s">
        <v>1614</v>
      </c>
      <c r="D897" s="108" t="s">
        <v>1615</v>
      </c>
      <c r="E897" s="103"/>
      <c r="F897" s="2" t="s">
        <v>199</v>
      </c>
      <c r="G897" s="38">
        <f>'Stavební rozpočet'!G897</f>
        <v>1</v>
      </c>
      <c r="H897" s="38">
        <f>'Stavební rozpočet'!H897</f>
        <v>0</v>
      </c>
      <c r="I897" s="38">
        <f>G897*H897</f>
        <v>0</v>
      </c>
      <c r="J897" s="38">
        <f>'Stavební rozpočet'!J897</f>
        <v>0</v>
      </c>
      <c r="K897" s="38">
        <f>G897*J897</f>
        <v>0</v>
      </c>
      <c r="L897" s="71" t="s">
        <v>207</v>
      </c>
      <c r="Z897" s="38">
        <f>IF(AQ897="5",BJ897,0)</f>
        <v>0</v>
      </c>
      <c r="AB897" s="38">
        <f>IF(AQ897="1",BH897,0)</f>
        <v>0</v>
      </c>
      <c r="AC897" s="38">
        <f>IF(AQ897="1",BI897,0)</f>
        <v>0</v>
      </c>
      <c r="AD897" s="38">
        <f>IF(AQ897="7",BH897,0)</f>
        <v>0</v>
      </c>
      <c r="AE897" s="38">
        <f>IF(AQ897="7",BI897,0)</f>
        <v>0</v>
      </c>
      <c r="AF897" s="38">
        <f>IF(AQ897="2",BH897,0)</f>
        <v>0</v>
      </c>
      <c r="AG897" s="38">
        <f>IF(AQ897="2",BI897,0)</f>
        <v>0</v>
      </c>
      <c r="AH897" s="38">
        <f>IF(AQ897="0",BJ897,0)</f>
        <v>0</v>
      </c>
      <c r="AI897" s="50" t="s">
        <v>84</v>
      </c>
      <c r="AJ897" s="38">
        <f>IF(AN897=0,I897,0)</f>
        <v>0</v>
      </c>
      <c r="AK897" s="38">
        <f>IF(AN897=12,I897,0)</f>
        <v>0</v>
      </c>
      <c r="AL897" s="38">
        <f>IF(AN897=21,I897,0)</f>
        <v>0</v>
      </c>
      <c r="AN897" s="38">
        <v>21</v>
      </c>
      <c r="AO897" s="38">
        <f>H897*0.877192982</f>
        <v>0</v>
      </c>
      <c r="AP897" s="38">
        <f>H897*(1-0.877192982)</f>
        <v>0</v>
      </c>
      <c r="AQ897" s="72" t="s">
        <v>169</v>
      </c>
      <c r="AV897" s="38">
        <f>AW897+AX897</f>
        <v>0</v>
      </c>
      <c r="AW897" s="38">
        <f>G897*AO897</f>
        <v>0</v>
      </c>
      <c r="AX897" s="38">
        <f>G897*AP897</f>
        <v>0</v>
      </c>
      <c r="AY897" s="72" t="s">
        <v>1594</v>
      </c>
      <c r="AZ897" s="72" t="s">
        <v>1595</v>
      </c>
      <c r="BA897" s="50" t="s">
        <v>139</v>
      </c>
      <c r="BB897" s="73">
        <v>100002</v>
      </c>
      <c r="BC897" s="38">
        <f>AW897+AX897</f>
        <v>0</v>
      </c>
      <c r="BD897" s="38">
        <f>H897/(100-BE897)*100</f>
        <v>0</v>
      </c>
      <c r="BE897" s="38">
        <v>0</v>
      </c>
      <c r="BF897" s="38">
        <f>K897</f>
        <v>0</v>
      </c>
      <c r="BH897" s="38">
        <f>G897*AO897</f>
        <v>0</v>
      </c>
      <c r="BI897" s="38">
        <f>G897*AP897</f>
        <v>0</v>
      </c>
      <c r="BJ897" s="38">
        <f>G897*H897</f>
        <v>0</v>
      </c>
      <c r="BK897" s="38"/>
      <c r="BL897" s="38">
        <v>79</v>
      </c>
      <c r="BW897" s="38">
        <v>21</v>
      </c>
    </row>
    <row r="898" spans="1:12" ht="13.5" customHeight="1">
      <c r="A898" s="74"/>
      <c r="D898" s="194" t="s">
        <v>1609</v>
      </c>
      <c r="E898" s="195"/>
      <c r="F898" s="195"/>
      <c r="G898" s="195"/>
      <c r="H898" s="195"/>
      <c r="I898" s="195"/>
      <c r="J898" s="195"/>
      <c r="K898" s="195"/>
      <c r="L898" s="197"/>
    </row>
    <row r="899" spans="1:12" ht="15">
      <c r="A899" s="74"/>
      <c r="D899" s="75" t="s">
        <v>132</v>
      </c>
      <c r="E899" s="75" t="s">
        <v>4</v>
      </c>
      <c r="G899" s="76">
        <v>1</v>
      </c>
      <c r="L899" s="77"/>
    </row>
    <row r="900" spans="1:75" ht="13.5" customHeight="1">
      <c r="A900" s="1" t="s">
        <v>1616</v>
      </c>
      <c r="B900" s="2" t="s">
        <v>84</v>
      </c>
      <c r="C900" s="2" t="s">
        <v>1614</v>
      </c>
      <c r="D900" s="108" t="s">
        <v>1617</v>
      </c>
      <c r="E900" s="103"/>
      <c r="F900" s="2" t="s">
        <v>199</v>
      </c>
      <c r="G900" s="38">
        <f>'Stavební rozpočet'!G900</f>
        <v>2</v>
      </c>
      <c r="H900" s="38">
        <f>'Stavební rozpočet'!H900</f>
        <v>0</v>
      </c>
      <c r="I900" s="38">
        <f>G900*H900</f>
        <v>0</v>
      </c>
      <c r="J900" s="38">
        <f>'Stavební rozpočet'!J900</f>
        <v>0</v>
      </c>
      <c r="K900" s="38">
        <f>G900*J900</f>
        <v>0</v>
      </c>
      <c r="L900" s="71" t="s">
        <v>207</v>
      </c>
      <c r="Z900" s="38">
        <f>IF(AQ900="5",BJ900,0)</f>
        <v>0</v>
      </c>
      <c r="AB900" s="38">
        <f>IF(AQ900="1",BH900,0)</f>
        <v>0</v>
      </c>
      <c r="AC900" s="38">
        <f>IF(AQ900="1",BI900,0)</f>
        <v>0</v>
      </c>
      <c r="AD900" s="38">
        <f>IF(AQ900="7",BH900,0)</f>
        <v>0</v>
      </c>
      <c r="AE900" s="38">
        <f>IF(AQ900="7",BI900,0)</f>
        <v>0</v>
      </c>
      <c r="AF900" s="38">
        <f>IF(AQ900="2",BH900,0)</f>
        <v>0</v>
      </c>
      <c r="AG900" s="38">
        <f>IF(AQ900="2",BI900,0)</f>
        <v>0</v>
      </c>
      <c r="AH900" s="38">
        <f>IF(AQ900="0",BJ900,0)</f>
        <v>0</v>
      </c>
      <c r="AI900" s="50" t="s">
        <v>84</v>
      </c>
      <c r="AJ900" s="38">
        <f>IF(AN900=0,I900,0)</f>
        <v>0</v>
      </c>
      <c r="AK900" s="38">
        <f>IF(AN900=12,I900,0)</f>
        <v>0</v>
      </c>
      <c r="AL900" s="38">
        <f>IF(AN900=21,I900,0)</f>
        <v>0</v>
      </c>
      <c r="AN900" s="38">
        <v>21</v>
      </c>
      <c r="AO900" s="38">
        <f>H900*0.927835052</f>
        <v>0</v>
      </c>
      <c r="AP900" s="38">
        <f>H900*(1-0.927835052)</f>
        <v>0</v>
      </c>
      <c r="AQ900" s="72" t="s">
        <v>169</v>
      </c>
      <c r="AV900" s="38">
        <f>AW900+AX900</f>
        <v>0</v>
      </c>
      <c r="AW900" s="38">
        <f>G900*AO900</f>
        <v>0</v>
      </c>
      <c r="AX900" s="38">
        <f>G900*AP900</f>
        <v>0</v>
      </c>
      <c r="AY900" s="72" t="s">
        <v>1594</v>
      </c>
      <c r="AZ900" s="72" t="s">
        <v>1595</v>
      </c>
      <c r="BA900" s="50" t="s">
        <v>139</v>
      </c>
      <c r="BB900" s="73">
        <v>100002</v>
      </c>
      <c r="BC900" s="38">
        <f>AW900+AX900</f>
        <v>0</v>
      </c>
      <c r="BD900" s="38">
        <f>H900/(100-BE900)*100</f>
        <v>0</v>
      </c>
      <c r="BE900" s="38">
        <v>0</v>
      </c>
      <c r="BF900" s="38">
        <f>K900</f>
        <v>0</v>
      </c>
      <c r="BH900" s="38">
        <f>G900*AO900</f>
        <v>0</v>
      </c>
      <c r="BI900" s="38">
        <f>G900*AP900</f>
        <v>0</v>
      </c>
      <c r="BJ900" s="38">
        <f>G900*H900</f>
        <v>0</v>
      </c>
      <c r="BK900" s="38"/>
      <c r="BL900" s="38">
        <v>79</v>
      </c>
      <c r="BW900" s="38">
        <v>21</v>
      </c>
    </row>
    <row r="901" spans="1:12" ht="13.5" customHeight="1">
      <c r="A901" s="74"/>
      <c r="D901" s="194" t="s">
        <v>1609</v>
      </c>
      <c r="E901" s="195"/>
      <c r="F901" s="195"/>
      <c r="G901" s="195"/>
      <c r="H901" s="195"/>
      <c r="I901" s="195"/>
      <c r="J901" s="195"/>
      <c r="K901" s="195"/>
      <c r="L901" s="197"/>
    </row>
    <row r="902" spans="1:12" ht="15">
      <c r="A902" s="74"/>
      <c r="D902" s="75" t="s">
        <v>143</v>
      </c>
      <c r="E902" s="75" t="s">
        <v>4</v>
      </c>
      <c r="G902" s="76">
        <v>2</v>
      </c>
      <c r="L902" s="77"/>
    </row>
    <row r="903" spans="1:75" ht="13.5" customHeight="1">
      <c r="A903" s="1" t="s">
        <v>1618</v>
      </c>
      <c r="B903" s="2" t="s">
        <v>84</v>
      </c>
      <c r="C903" s="2" t="s">
        <v>1614</v>
      </c>
      <c r="D903" s="108" t="s">
        <v>1619</v>
      </c>
      <c r="E903" s="103"/>
      <c r="F903" s="2" t="s">
        <v>199</v>
      </c>
      <c r="G903" s="38">
        <f>'Stavební rozpočet'!G903</f>
        <v>1</v>
      </c>
      <c r="H903" s="38">
        <f>'Stavební rozpočet'!H903</f>
        <v>0</v>
      </c>
      <c r="I903" s="38">
        <f>G903*H903</f>
        <v>0</v>
      </c>
      <c r="J903" s="38">
        <f>'Stavební rozpočet'!J903</f>
        <v>0.005</v>
      </c>
      <c r="K903" s="38">
        <f>G903*J903</f>
        <v>0.005</v>
      </c>
      <c r="L903" s="71" t="s">
        <v>207</v>
      </c>
      <c r="Z903" s="38">
        <f>IF(AQ903="5",BJ903,0)</f>
        <v>0</v>
      </c>
      <c r="AB903" s="38">
        <f>IF(AQ903="1",BH903,0)</f>
        <v>0</v>
      </c>
      <c r="AC903" s="38">
        <f>IF(AQ903="1",BI903,0)</f>
        <v>0</v>
      </c>
      <c r="AD903" s="38">
        <f>IF(AQ903="7",BH903,0)</f>
        <v>0</v>
      </c>
      <c r="AE903" s="38">
        <f>IF(AQ903="7",BI903,0)</f>
        <v>0</v>
      </c>
      <c r="AF903" s="38">
        <f>IF(AQ903="2",BH903,0)</f>
        <v>0</v>
      </c>
      <c r="AG903" s="38">
        <f>IF(AQ903="2",BI903,0)</f>
        <v>0</v>
      </c>
      <c r="AH903" s="38">
        <f>IF(AQ903="0",BJ903,0)</f>
        <v>0</v>
      </c>
      <c r="AI903" s="50" t="s">
        <v>84</v>
      </c>
      <c r="AJ903" s="38">
        <f>IF(AN903=0,I903,0)</f>
        <v>0</v>
      </c>
      <c r="AK903" s="38">
        <f>IF(AN903=12,I903,0)</f>
        <v>0</v>
      </c>
      <c r="AL903" s="38">
        <f>IF(AN903=21,I903,0)</f>
        <v>0</v>
      </c>
      <c r="AN903" s="38">
        <v>21</v>
      </c>
      <c r="AO903" s="38">
        <f>H903*0.630252101</f>
        <v>0</v>
      </c>
      <c r="AP903" s="38">
        <f>H903*(1-0.630252101)</f>
        <v>0</v>
      </c>
      <c r="AQ903" s="72" t="s">
        <v>169</v>
      </c>
      <c r="AV903" s="38">
        <f>AW903+AX903</f>
        <v>0</v>
      </c>
      <c r="AW903" s="38">
        <f>G903*AO903</f>
        <v>0</v>
      </c>
      <c r="AX903" s="38">
        <f>G903*AP903</f>
        <v>0</v>
      </c>
      <c r="AY903" s="72" t="s">
        <v>1594</v>
      </c>
      <c r="AZ903" s="72" t="s">
        <v>1595</v>
      </c>
      <c r="BA903" s="50" t="s">
        <v>139</v>
      </c>
      <c r="BB903" s="73">
        <v>100002</v>
      </c>
      <c r="BC903" s="38">
        <f>AW903+AX903</f>
        <v>0</v>
      </c>
      <c r="BD903" s="38">
        <f>H903/(100-BE903)*100</f>
        <v>0</v>
      </c>
      <c r="BE903" s="38">
        <v>0</v>
      </c>
      <c r="BF903" s="38">
        <f>K903</f>
        <v>0.005</v>
      </c>
      <c r="BH903" s="38">
        <f>G903*AO903</f>
        <v>0</v>
      </c>
      <c r="BI903" s="38">
        <f>G903*AP903</f>
        <v>0</v>
      </c>
      <c r="BJ903" s="38">
        <f>G903*H903</f>
        <v>0</v>
      </c>
      <c r="BK903" s="38"/>
      <c r="BL903" s="38">
        <v>79</v>
      </c>
      <c r="BW903" s="38">
        <v>21</v>
      </c>
    </row>
    <row r="904" spans="1:12" ht="13.5" customHeight="1">
      <c r="A904" s="74"/>
      <c r="D904" s="194" t="s">
        <v>1609</v>
      </c>
      <c r="E904" s="195"/>
      <c r="F904" s="195"/>
      <c r="G904" s="195"/>
      <c r="H904" s="195"/>
      <c r="I904" s="195"/>
      <c r="J904" s="195"/>
      <c r="K904" s="195"/>
      <c r="L904" s="197"/>
    </row>
    <row r="905" spans="1:12" ht="15">
      <c r="A905" s="74"/>
      <c r="D905" s="75" t="s">
        <v>132</v>
      </c>
      <c r="E905" s="75" t="s">
        <v>4</v>
      </c>
      <c r="G905" s="76">
        <v>1</v>
      </c>
      <c r="L905" s="77"/>
    </row>
    <row r="906" spans="1:75" ht="13.5" customHeight="1">
      <c r="A906" s="1" t="s">
        <v>1620</v>
      </c>
      <c r="B906" s="2" t="s">
        <v>84</v>
      </c>
      <c r="C906" s="2" t="s">
        <v>1614</v>
      </c>
      <c r="D906" s="108" t="s">
        <v>1621</v>
      </c>
      <c r="E906" s="103"/>
      <c r="F906" s="2" t="s">
        <v>199</v>
      </c>
      <c r="G906" s="38">
        <f>'Stavební rozpočet'!G906</f>
        <v>1</v>
      </c>
      <c r="H906" s="38">
        <f>'Stavební rozpočet'!H906</f>
        <v>0</v>
      </c>
      <c r="I906" s="38">
        <f>G906*H906</f>
        <v>0</v>
      </c>
      <c r="J906" s="38">
        <f>'Stavební rozpočet'!J906</f>
        <v>0.005</v>
      </c>
      <c r="K906" s="38">
        <f>G906*J906</f>
        <v>0.005</v>
      </c>
      <c r="L906" s="71" t="s">
        <v>207</v>
      </c>
      <c r="Z906" s="38">
        <f>IF(AQ906="5",BJ906,0)</f>
        <v>0</v>
      </c>
      <c r="AB906" s="38">
        <f>IF(AQ906="1",BH906,0)</f>
        <v>0</v>
      </c>
      <c r="AC906" s="38">
        <f>IF(AQ906="1",BI906,0)</f>
        <v>0</v>
      </c>
      <c r="AD906" s="38">
        <f>IF(AQ906="7",BH906,0)</f>
        <v>0</v>
      </c>
      <c r="AE906" s="38">
        <f>IF(AQ906="7",BI906,0)</f>
        <v>0</v>
      </c>
      <c r="AF906" s="38">
        <f>IF(AQ906="2",BH906,0)</f>
        <v>0</v>
      </c>
      <c r="AG906" s="38">
        <f>IF(AQ906="2",BI906,0)</f>
        <v>0</v>
      </c>
      <c r="AH906" s="38">
        <f>IF(AQ906="0",BJ906,0)</f>
        <v>0</v>
      </c>
      <c r="AI906" s="50" t="s">
        <v>84</v>
      </c>
      <c r="AJ906" s="38">
        <f>IF(AN906=0,I906,0)</f>
        <v>0</v>
      </c>
      <c r="AK906" s="38">
        <f>IF(AN906=12,I906,0)</f>
        <v>0</v>
      </c>
      <c r="AL906" s="38">
        <f>IF(AN906=21,I906,0)</f>
        <v>0</v>
      </c>
      <c r="AN906" s="38">
        <v>21</v>
      </c>
      <c r="AO906" s="38">
        <f>H906*0.630252101</f>
        <v>0</v>
      </c>
      <c r="AP906" s="38">
        <f>H906*(1-0.630252101)</f>
        <v>0</v>
      </c>
      <c r="AQ906" s="72" t="s">
        <v>169</v>
      </c>
      <c r="AV906" s="38">
        <f>AW906+AX906</f>
        <v>0</v>
      </c>
      <c r="AW906" s="38">
        <f>G906*AO906</f>
        <v>0</v>
      </c>
      <c r="AX906" s="38">
        <f>G906*AP906</f>
        <v>0</v>
      </c>
      <c r="AY906" s="72" t="s">
        <v>1594</v>
      </c>
      <c r="AZ906" s="72" t="s">
        <v>1595</v>
      </c>
      <c r="BA906" s="50" t="s">
        <v>139</v>
      </c>
      <c r="BB906" s="73">
        <v>100002</v>
      </c>
      <c r="BC906" s="38">
        <f>AW906+AX906</f>
        <v>0</v>
      </c>
      <c r="BD906" s="38">
        <f>H906/(100-BE906)*100</f>
        <v>0</v>
      </c>
      <c r="BE906" s="38">
        <v>0</v>
      </c>
      <c r="BF906" s="38">
        <f>K906</f>
        <v>0.005</v>
      </c>
      <c r="BH906" s="38">
        <f>G906*AO906</f>
        <v>0</v>
      </c>
      <c r="BI906" s="38">
        <f>G906*AP906</f>
        <v>0</v>
      </c>
      <c r="BJ906" s="38">
        <f>G906*H906</f>
        <v>0</v>
      </c>
      <c r="BK906" s="38"/>
      <c r="BL906" s="38">
        <v>79</v>
      </c>
      <c r="BW906" s="38">
        <v>21</v>
      </c>
    </row>
    <row r="907" spans="1:12" ht="13.5" customHeight="1">
      <c r="A907" s="74"/>
      <c r="D907" s="194" t="s">
        <v>1609</v>
      </c>
      <c r="E907" s="195"/>
      <c r="F907" s="195"/>
      <c r="G907" s="195"/>
      <c r="H907" s="195"/>
      <c r="I907" s="195"/>
      <c r="J907" s="195"/>
      <c r="K907" s="195"/>
      <c r="L907" s="197"/>
    </row>
    <row r="908" spans="1:12" ht="15">
      <c r="A908" s="74"/>
      <c r="D908" s="75" t="s">
        <v>132</v>
      </c>
      <c r="E908" s="75" t="s">
        <v>4</v>
      </c>
      <c r="G908" s="76">
        <v>1</v>
      </c>
      <c r="L908" s="77"/>
    </row>
    <row r="909" spans="1:47" ht="15">
      <c r="A909" s="65" t="s">
        <v>4</v>
      </c>
      <c r="B909" s="66" t="s">
        <v>84</v>
      </c>
      <c r="C909" s="66" t="s">
        <v>675</v>
      </c>
      <c r="D909" s="192" t="s">
        <v>1622</v>
      </c>
      <c r="E909" s="193"/>
      <c r="F909" s="67" t="s">
        <v>78</v>
      </c>
      <c r="G909" s="67" t="s">
        <v>78</v>
      </c>
      <c r="H909" s="67" t="s">
        <v>78</v>
      </c>
      <c r="I909" s="44">
        <f>SUM(I910:I916)</f>
        <v>0</v>
      </c>
      <c r="J909" s="50" t="s">
        <v>4</v>
      </c>
      <c r="K909" s="44">
        <f>SUM(K910:K916)</f>
        <v>27.340966999999996</v>
      </c>
      <c r="L909" s="69" t="s">
        <v>4</v>
      </c>
      <c r="AI909" s="50" t="s">
        <v>84</v>
      </c>
      <c r="AS909" s="44">
        <f>SUM(AJ910:AJ916)</f>
        <v>0</v>
      </c>
      <c r="AT909" s="44">
        <f>SUM(AK910:AK916)</f>
        <v>0</v>
      </c>
      <c r="AU909" s="44">
        <f>SUM(AL910:AL916)</f>
        <v>0</v>
      </c>
    </row>
    <row r="910" spans="1:75" ht="13.5" customHeight="1">
      <c r="A910" s="1" t="s">
        <v>1623</v>
      </c>
      <c r="B910" s="2" t="s">
        <v>84</v>
      </c>
      <c r="C910" s="2" t="s">
        <v>1624</v>
      </c>
      <c r="D910" s="108" t="s">
        <v>1625</v>
      </c>
      <c r="E910" s="103"/>
      <c r="F910" s="2" t="s">
        <v>214</v>
      </c>
      <c r="G910" s="38">
        <f>'Stavební rozpočet'!G910</f>
        <v>12.2</v>
      </c>
      <c r="H910" s="38">
        <f>'Stavební rozpočet'!H910</f>
        <v>0</v>
      </c>
      <c r="I910" s="38">
        <f>G910*H910</f>
        <v>0</v>
      </c>
      <c r="J910" s="38">
        <f>'Stavební rozpočet'!J910</f>
        <v>1.39713</v>
      </c>
      <c r="K910" s="38">
        <f>G910*J910</f>
        <v>17.044985999999998</v>
      </c>
      <c r="L910" s="71" t="s">
        <v>136</v>
      </c>
      <c r="Z910" s="38">
        <f>IF(AQ910="5",BJ910,0)</f>
        <v>0</v>
      </c>
      <c r="AB910" s="38">
        <f>IF(AQ910="1",BH910,0)</f>
        <v>0</v>
      </c>
      <c r="AC910" s="38">
        <f>IF(AQ910="1",BI910,0)</f>
        <v>0</v>
      </c>
      <c r="AD910" s="38">
        <f>IF(AQ910="7",BH910,0)</f>
        <v>0</v>
      </c>
      <c r="AE910" s="38">
        <f>IF(AQ910="7",BI910,0)</f>
        <v>0</v>
      </c>
      <c r="AF910" s="38">
        <f>IF(AQ910="2",BH910,0)</f>
        <v>0</v>
      </c>
      <c r="AG910" s="38">
        <f>IF(AQ910="2",BI910,0)</f>
        <v>0</v>
      </c>
      <c r="AH910" s="38">
        <f>IF(AQ910="0",BJ910,0)</f>
        <v>0</v>
      </c>
      <c r="AI910" s="50" t="s">
        <v>84</v>
      </c>
      <c r="AJ910" s="38">
        <f>IF(AN910=0,I910,0)</f>
        <v>0</v>
      </c>
      <c r="AK910" s="38">
        <f>IF(AN910=12,I910,0)</f>
        <v>0</v>
      </c>
      <c r="AL910" s="38">
        <f>IF(AN910=21,I910,0)</f>
        <v>0</v>
      </c>
      <c r="AN910" s="38">
        <v>21</v>
      </c>
      <c r="AO910" s="38">
        <f>H910*0.445005325</f>
        <v>0</v>
      </c>
      <c r="AP910" s="38">
        <f>H910*(1-0.445005325)</f>
        <v>0</v>
      </c>
      <c r="AQ910" s="72" t="s">
        <v>132</v>
      </c>
      <c r="AV910" s="38">
        <f>AW910+AX910</f>
        <v>0</v>
      </c>
      <c r="AW910" s="38">
        <f>G910*AO910</f>
        <v>0</v>
      </c>
      <c r="AX910" s="38">
        <f>G910*AP910</f>
        <v>0</v>
      </c>
      <c r="AY910" s="72" t="s">
        <v>1626</v>
      </c>
      <c r="AZ910" s="72" t="s">
        <v>1627</v>
      </c>
      <c r="BA910" s="50" t="s">
        <v>139</v>
      </c>
      <c r="BB910" s="73">
        <v>100046</v>
      </c>
      <c r="BC910" s="38">
        <f>AW910+AX910</f>
        <v>0</v>
      </c>
      <c r="BD910" s="38">
        <f>H910/(100-BE910)*100</f>
        <v>0</v>
      </c>
      <c r="BE910" s="38">
        <v>0</v>
      </c>
      <c r="BF910" s="38">
        <f>K910</f>
        <v>17.044985999999998</v>
      </c>
      <c r="BH910" s="38">
        <f>G910*AO910</f>
        <v>0</v>
      </c>
      <c r="BI910" s="38">
        <f>G910*AP910</f>
        <v>0</v>
      </c>
      <c r="BJ910" s="38">
        <f>G910*H910</f>
        <v>0</v>
      </c>
      <c r="BK910" s="38"/>
      <c r="BL910" s="38">
        <v>87</v>
      </c>
      <c r="BW910" s="38">
        <v>21</v>
      </c>
    </row>
    <row r="911" spans="1:12" ht="13.5" customHeight="1">
      <c r="A911" s="74"/>
      <c r="D911" s="194" t="s">
        <v>1628</v>
      </c>
      <c r="E911" s="195"/>
      <c r="F911" s="195"/>
      <c r="G911" s="195"/>
      <c r="H911" s="195"/>
      <c r="I911" s="195"/>
      <c r="J911" s="195"/>
      <c r="K911" s="195"/>
      <c r="L911" s="197"/>
    </row>
    <row r="912" spans="1:12" ht="15">
      <c r="A912" s="74"/>
      <c r="D912" s="75" t="s">
        <v>1629</v>
      </c>
      <c r="E912" s="75" t="s">
        <v>4</v>
      </c>
      <c r="G912" s="76">
        <v>12.2</v>
      </c>
      <c r="L912" s="77"/>
    </row>
    <row r="913" spans="1:75" ht="13.5" customHeight="1">
      <c r="A913" s="1" t="s">
        <v>1630</v>
      </c>
      <c r="B913" s="2" t="s">
        <v>84</v>
      </c>
      <c r="C913" s="2" t="s">
        <v>1631</v>
      </c>
      <c r="D913" s="108" t="s">
        <v>1632</v>
      </c>
      <c r="E913" s="103"/>
      <c r="F913" s="2" t="s">
        <v>214</v>
      </c>
      <c r="G913" s="38">
        <f>'Stavební rozpočet'!G913</f>
        <v>10.45</v>
      </c>
      <c r="H913" s="38">
        <f>'Stavební rozpočet'!H913</f>
        <v>0</v>
      </c>
      <c r="I913" s="38">
        <f>G913*H913</f>
        <v>0</v>
      </c>
      <c r="J913" s="38">
        <f>'Stavební rozpočet'!J913</f>
        <v>0.90902</v>
      </c>
      <c r="K913" s="38">
        <f>G913*J913</f>
        <v>9.499259</v>
      </c>
      <c r="L913" s="71" t="s">
        <v>136</v>
      </c>
      <c r="Z913" s="38">
        <f>IF(AQ913="5",BJ913,0)</f>
        <v>0</v>
      </c>
      <c r="AB913" s="38">
        <f>IF(AQ913="1",BH913,0)</f>
        <v>0</v>
      </c>
      <c r="AC913" s="38">
        <f>IF(AQ913="1",BI913,0)</f>
        <v>0</v>
      </c>
      <c r="AD913" s="38">
        <f>IF(AQ913="7",BH913,0)</f>
        <v>0</v>
      </c>
      <c r="AE913" s="38">
        <f>IF(AQ913="7",BI913,0)</f>
        <v>0</v>
      </c>
      <c r="AF913" s="38">
        <f>IF(AQ913="2",BH913,0)</f>
        <v>0</v>
      </c>
      <c r="AG913" s="38">
        <f>IF(AQ913="2",BI913,0)</f>
        <v>0</v>
      </c>
      <c r="AH913" s="38">
        <f>IF(AQ913="0",BJ913,0)</f>
        <v>0</v>
      </c>
      <c r="AI913" s="50" t="s">
        <v>84</v>
      </c>
      <c r="AJ913" s="38">
        <f>IF(AN913=0,I913,0)</f>
        <v>0</v>
      </c>
      <c r="AK913" s="38">
        <f>IF(AN913=12,I913,0)</f>
        <v>0</v>
      </c>
      <c r="AL913" s="38">
        <f>IF(AN913=21,I913,0)</f>
        <v>0</v>
      </c>
      <c r="AN913" s="38">
        <v>21</v>
      </c>
      <c r="AO913" s="38">
        <f>H913*0.274283878</f>
        <v>0</v>
      </c>
      <c r="AP913" s="38">
        <f>H913*(1-0.274283878)</f>
        <v>0</v>
      </c>
      <c r="AQ913" s="72" t="s">
        <v>132</v>
      </c>
      <c r="AV913" s="38">
        <f>AW913+AX913</f>
        <v>0</v>
      </c>
      <c r="AW913" s="38">
        <f>G913*AO913</f>
        <v>0</v>
      </c>
      <c r="AX913" s="38">
        <f>G913*AP913</f>
        <v>0</v>
      </c>
      <c r="AY913" s="72" t="s">
        <v>1626</v>
      </c>
      <c r="AZ913" s="72" t="s">
        <v>1627</v>
      </c>
      <c r="BA913" s="50" t="s">
        <v>139</v>
      </c>
      <c r="BB913" s="73">
        <v>100046</v>
      </c>
      <c r="BC913" s="38">
        <f>AW913+AX913</f>
        <v>0</v>
      </c>
      <c r="BD913" s="38">
        <f>H913/(100-BE913)*100</f>
        <v>0</v>
      </c>
      <c r="BE913" s="38">
        <v>0</v>
      </c>
      <c r="BF913" s="38">
        <f>K913</f>
        <v>9.499259</v>
      </c>
      <c r="BH913" s="38">
        <f>G913*AO913</f>
        <v>0</v>
      </c>
      <c r="BI913" s="38">
        <f>G913*AP913</f>
        <v>0</v>
      </c>
      <c r="BJ913" s="38">
        <f>G913*H913</f>
        <v>0</v>
      </c>
      <c r="BK913" s="38"/>
      <c r="BL913" s="38">
        <v>87</v>
      </c>
      <c r="BW913" s="38">
        <v>21</v>
      </c>
    </row>
    <row r="914" spans="1:12" ht="13.5" customHeight="1">
      <c r="A914" s="74"/>
      <c r="D914" s="194" t="s">
        <v>1633</v>
      </c>
      <c r="E914" s="195"/>
      <c r="F914" s="195"/>
      <c r="G914" s="195"/>
      <c r="H914" s="195"/>
      <c r="I914" s="195"/>
      <c r="J914" s="195"/>
      <c r="K914" s="195"/>
      <c r="L914" s="197"/>
    </row>
    <row r="915" spans="1:12" ht="15">
      <c r="A915" s="74"/>
      <c r="D915" s="75" t="s">
        <v>1634</v>
      </c>
      <c r="E915" s="75" t="s">
        <v>4</v>
      </c>
      <c r="G915" s="76">
        <v>10.45</v>
      </c>
      <c r="L915" s="77"/>
    </row>
    <row r="916" spans="1:75" ht="13.5" customHeight="1">
      <c r="A916" s="1" t="s">
        <v>1635</v>
      </c>
      <c r="B916" s="2" t="s">
        <v>84</v>
      </c>
      <c r="C916" s="2" t="s">
        <v>1636</v>
      </c>
      <c r="D916" s="108" t="s">
        <v>1637</v>
      </c>
      <c r="E916" s="103"/>
      <c r="F916" s="2" t="s">
        <v>214</v>
      </c>
      <c r="G916" s="38">
        <f>'Stavební rozpočet'!G916</f>
        <v>1.7</v>
      </c>
      <c r="H916" s="38">
        <f>'Stavební rozpočet'!H916</f>
        <v>0</v>
      </c>
      <c r="I916" s="38">
        <f>G916*H916</f>
        <v>0</v>
      </c>
      <c r="J916" s="38">
        <f>'Stavební rozpočet'!J916</f>
        <v>0.46866</v>
      </c>
      <c r="K916" s="38">
        <f>G916*J916</f>
        <v>0.796722</v>
      </c>
      <c r="L916" s="71" t="s">
        <v>136</v>
      </c>
      <c r="Z916" s="38">
        <f>IF(AQ916="5",BJ916,0)</f>
        <v>0</v>
      </c>
      <c r="AB916" s="38">
        <f>IF(AQ916="1",BH916,0)</f>
        <v>0</v>
      </c>
      <c r="AC916" s="38">
        <f>IF(AQ916="1",BI916,0)</f>
        <v>0</v>
      </c>
      <c r="AD916" s="38">
        <f>IF(AQ916="7",BH916,0)</f>
        <v>0</v>
      </c>
      <c r="AE916" s="38">
        <f>IF(AQ916="7",BI916,0)</f>
        <v>0</v>
      </c>
      <c r="AF916" s="38">
        <f>IF(AQ916="2",BH916,0)</f>
        <v>0</v>
      </c>
      <c r="AG916" s="38">
        <f>IF(AQ916="2",BI916,0)</f>
        <v>0</v>
      </c>
      <c r="AH916" s="38">
        <f>IF(AQ916="0",BJ916,0)</f>
        <v>0</v>
      </c>
      <c r="AI916" s="50" t="s">
        <v>84</v>
      </c>
      <c r="AJ916" s="38">
        <f>IF(AN916=0,I916,0)</f>
        <v>0</v>
      </c>
      <c r="AK916" s="38">
        <f>IF(AN916=12,I916,0)</f>
        <v>0</v>
      </c>
      <c r="AL916" s="38">
        <f>IF(AN916=21,I916,0)</f>
        <v>0</v>
      </c>
      <c r="AN916" s="38">
        <v>21</v>
      </c>
      <c r="AO916" s="38">
        <f>H916*0.302187143</f>
        <v>0</v>
      </c>
      <c r="AP916" s="38">
        <f>H916*(1-0.302187143)</f>
        <v>0</v>
      </c>
      <c r="AQ916" s="72" t="s">
        <v>132</v>
      </c>
      <c r="AV916" s="38">
        <f>AW916+AX916</f>
        <v>0</v>
      </c>
      <c r="AW916" s="38">
        <f>G916*AO916</f>
        <v>0</v>
      </c>
      <c r="AX916" s="38">
        <f>G916*AP916</f>
        <v>0</v>
      </c>
      <c r="AY916" s="72" t="s">
        <v>1626</v>
      </c>
      <c r="AZ916" s="72" t="s">
        <v>1627</v>
      </c>
      <c r="BA916" s="50" t="s">
        <v>139</v>
      </c>
      <c r="BB916" s="73">
        <v>100046</v>
      </c>
      <c r="BC916" s="38">
        <f>AW916+AX916</f>
        <v>0</v>
      </c>
      <c r="BD916" s="38">
        <f>H916/(100-BE916)*100</f>
        <v>0</v>
      </c>
      <c r="BE916" s="38">
        <v>0</v>
      </c>
      <c r="BF916" s="38">
        <f>K916</f>
        <v>0.796722</v>
      </c>
      <c r="BH916" s="38">
        <f>G916*AO916</f>
        <v>0</v>
      </c>
      <c r="BI916" s="38">
        <f>G916*AP916</f>
        <v>0</v>
      </c>
      <c r="BJ916" s="38">
        <f>G916*H916</f>
        <v>0</v>
      </c>
      <c r="BK916" s="38"/>
      <c r="BL916" s="38">
        <v>87</v>
      </c>
      <c r="BW916" s="38">
        <v>21</v>
      </c>
    </row>
    <row r="917" spans="1:12" ht="13.5" customHeight="1">
      <c r="A917" s="74"/>
      <c r="D917" s="194" t="s">
        <v>1633</v>
      </c>
      <c r="E917" s="195"/>
      <c r="F917" s="195"/>
      <c r="G917" s="195"/>
      <c r="H917" s="195"/>
      <c r="I917" s="195"/>
      <c r="J917" s="195"/>
      <c r="K917" s="195"/>
      <c r="L917" s="197"/>
    </row>
    <row r="918" spans="1:12" ht="15">
      <c r="A918" s="74"/>
      <c r="D918" s="75" t="s">
        <v>1638</v>
      </c>
      <c r="E918" s="75" t="s">
        <v>4</v>
      </c>
      <c r="G918" s="76">
        <v>1.7</v>
      </c>
      <c r="L918" s="77"/>
    </row>
    <row r="919" spans="1:47" ht="15">
      <c r="A919" s="65" t="s">
        <v>4</v>
      </c>
      <c r="B919" s="66" t="s">
        <v>84</v>
      </c>
      <c r="C919" s="66" t="s">
        <v>691</v>
      </c>
      <c r="D919" s="192" t="s">
        <v>1639</v>
      </c>
      <c r="E919" s="193"/>
      <c r="F919" s="67" t="s">
        <v>78</v>
      </c>
      <c r="G919" s="67" t="s">
        <v>78</v>
      </c>
      <c r="H919" s="67" t="s">
        <v>78</v>
      </c>
      <c r="I919" s="44">
        <f>SUM(I920:I926)</f>
        <v>0</v>
      </c>
      <c r="J919" s="50" t="s">
        <v>4</v>
      </c>
      <c r="K919" s="44">
        <f>SUM(K920:K926)</f>
        <v>0.37196999999999997</v>
      </c>
      <c r="L919" s="69" t="s">
        <v>4</v>
      </c>
      <c r="AI919" s="50" t="s">
        <v>84</v>
      </c>
      <c r="AS919" s="44">
        <f>SUM(AJ920:AJ926)</f>
        <v>0</v>
      </c>
      <c r="AT919" s="44">
        <f>SUM(AK920:AK926)</f>
        <v>0</v>
      </c>
      <c r="AU919" s="44">
        <f>SUM(AL920:AL926)</f>
        <v>0</v>
      </c>
    </row>
    <row r="920" spans="1:75" ht="13.5" customHeight="1">
      <c r="A920" s="1" t="s">
        <v>1640</v>
      </c>
      <c r="B920" s="2" t="s">
        <v>84</v>
      </c>
      <c r="C920" s="2" t="s">
        <v>1641</v>
      </c>
      <c r="D920" s="108" t="s">
        <v>1642</v>
      </c>
      <c r="E920" s="103"/>
      <c r="F920" s="2" t="s">
        <v>199</v>
      </c>
      <c r="G920" s="38">
        <f>'Stavební rozpočet'!G920</f>
        <v>1</v>
      </c>
      <c r="H920" s="38">
        <f>'Stavební rozpočet'!H920</f>
        <v>0</v>
      </c>
      <c r="I920" s="38">
        <f>G920*H920</f>
        <v>0</v>
      </c>
      <c r="J920" s="38">
        <f>'Stavební rozpočet'!J920</f>
        <v>0.32974</v>
      </c>
      <c r="K920" s="38">
        <f>G920*J920</f>
        <v>0.32974</v>
      </c>
      <c r="L920" s="71" t="s">
        <v>136</v>
      </c>
      <c r="Z920" s="38">
        <f>IF(AQ920="5",BJ920,0)</f>
        <v>0</v>
      </c>
      <c r="AB920" s="38">
        <f>IF(AQ920="1",BH920,0)</f>
        <v>0</v>
      </c>
      <c r="AC920" s="38">
        <f>IF(AQ920="1",BI920,0)</f>
        <v>0</v>
      </c>
      <c r="AD920" s="38">
        <f>IF(AQ920="7",BH920,0)</f>
        <v>0</v>
      </c>
      <c r="AE920" s="38">
        <f>IF(AQ920="7",BI920,0)</f>
        <v>0</v>
      </c>
      <c r="AF920" s="38">
        <f>IF(AQ920="2",BH920,0)</f>
        <v>0</v>
      </c>
      <c r="AG920" s="38">
        <f>IF(AQ920="2",BI920,0)</f>
        <v>0</v>
      </c>
      <c r="AH920" s="38">
        <f>IF(AQ920="0",BJ920,0)</f>
        <v>0</v>
      </c>
      <c r="AI920" s="50" t="s">
        <v>84</v>
      </c>
      <c r="AJ920" s="38">
        <f>IF(AN920=0,I920,0)</f>
        <v>0</v>
      </c>
      <c r="AK920" s="38">
        <f>IF(AN920=12,I920,0)</f>
        <v>0</v>
      </c>
      <c r="AL920" s="38">
        <f>IF(AN920=21,I920,0)</f>
        <v>0</v>
      </c>
      <c r="AN920" s="38">
        <v>21</v>
      </c>
      <c r="AO920" s="38">
        <f>H920*0.376660377</f>
        <v>0</v>
      </c>
      <c r="AP920" s="38">
        <f>H920*(1-0.376660377)</f>
        <v>0</v>
      </c>
      <c r="AQ920" s="72" t="s">
        <v>132</v>
      </c>
      <c r="AV920" s="38">
        <f>AW920+AX920</f>
        <v>0</v>
      </c>
      <c r="AW920" s="38">
        <f>G920*AO920</f>
        <v>0</v>
      </c>
      <c r="AX920" s="38">
        <f>G920*AP920</f>
        <v>0</v>
      </c>
      <c r="AY920" s="72" t="s">
        <v>1643</v>
      </c>
      <c r="AZ920" s="72" t="s">
        <v>1627</v>
      </c>
      <c r="BA920" s="50" t="s">
        <v>139</v>
      </c>
      <c r="BB920" s="73">
        <v>100034</v>
      </c>
      <c r="BC920" s="38">
        <f>AW920+AX920</f>
        <v>0</v>
      </c>
      <c r="BD920" s="38">
        <f>H920/(100-BE920)*100</f>
        <v>0</v>
      </c>
      <c r="BE920" s="38">
        <v>0</v>
      </c>
      <c r="BF920" s="38">
        <f>K920</f>
        <v>0.32974</v>
      </c>
      <c r="BH920" s="38">
        <f>G920*AO920</f>
        <v>0</v>
      </c>
      <c r="BI920" s="38">
        <f>G920*AP920</f>
        <v>0</v>
      </c>
      <c r="BJ920" s="38">
        <f>G920*H920</f>
        <v>0</v>
      </c>
      <c r="BK920" s="38"/>
      <c r="BL920" s="38">
        <v>89</v>
      </c>
      <c r="BW920" s="38">
        <v>21</v>
      </c>
    </row>
    <row r="921" spans="1:12" ht="13.5" customHeight="1">
      <c r="A921" s="74"/>
      <c r="D921" s="194" t="s">
        <v>1644</v>
      </c>
      <c r="E921" s="195"/>
      <c r="F921" s="195"/>
      <c r="G921" s="195"/>
      <c r="H921" s="195"/>
      <c r="I921" s="195"/>
      <c r="J921" s="195"/>
      <c r="K921" s="195"/>
      <c r="L921" s="197"/>
    </row>
    <row r="922" spans="1:12" ht="15">
      <c r="A922" s="74"/>
      <c r="D922" s="75" t="s">
        <v>132</v>
      </c>
      <c r="E922" s="75" t="s">
        <v>4</v>
      </c>
      <c r="G922" s="76">
        <v>1</v>
      </c>
      <c r="L922" s="77"/>
    </row>
    <row r="923" spans="1:75" ht="13.5" customHeight="1">
      <c r="A923" s="1" t="s">
        <v>1645</v>
      </c>
      <c r="B923" s="2" t="s">
        <v>84</v>
      </c>
      <c r="C923" s="2" t="s">
        <v>1646</v>
      </c>
      <c r="D923" s="108" t="s">
        <v>1647</v>
      </c>
      <c r="E923" s="103"/>
      <c r="F923" s="2" t="s">
        <v>199</v>
      </c>
      <c r="G923" s="38">
        <f>'Stavební rozpočet'!G923</f>
        <v>1</v>
      </c>
      <c r="H923" s="38">
        <f>'Stavební rozpočet'!H923</f>
        <v>0</v>
      </c>
      <c r="I923" s="38">
        <f>G923*H923</f>
        <v>0</v>
      </c>
      <c r="J923" s="38">
        <f>'Stavební rozpočet'!J923</f>
        <v>0.00475</v>
      </c>
      <c r="K923" s="38">
        <f>G923*J923</f>
        <v>0.00475</v>
      </c>
      <c r="L923" s="71" t="s">
        <v>207</v>
      </c>
      <c r="Z923" s="38">
        <f>IF(AQ923="5",BJ923,0)</f>
        <v>0</v>
      </c>
      <c r="AB923" s="38">
        <f>IF(AQ923="1",BH923,0)</f>
        <v>0</v>
      </c>
      <c r="AC923" s="38">
        <f>IF(AQ923="1",BI923,0)</f>
        <v>0</v>
      </c>
      <c r="AD923" s="38">
        <f>IF(AQ923="7",BH923,0)</f>
        <v>0</v>
      </c>
      <c r="AE923" s="38">
        <f>IF(AQ923="7",BI923,0)</f>
        <v>0</v>
      </c>
      <c r="AF923" s="38">
        <f>IF(AQ923="2",BH923,0)</f>
        <v>0</v>
      </c>
      <c r="AG923" s="38">
        <f>IF(AQ923="2",BI923,0)</f>
        <v>0</v>
      </c>
      <c r="AH923" s="38">
        <f>IF(AQ923="0",BJ923,0)</f>
        <v>0</v>
      </c>
      <c r="AI923" s="50" t="s">
        <v>84</v>
      </c>
      <c r="AJ923" s="38">
        <f>IF(AN923=0,I923,0)</f>
        <v>0</v>
      </c>
      <c r="AK923" s="38">
        <f>IF(AN923=12,I923,0)</f>
        <v>0</v>
      </c>
      <c r="AL923" s="38">
        <f>IF(AN923=21,I923,0)</f>
        <v>0</v>
      </c>
      <c r="AN923" s="38">
        <v>21</v>
      </c>
      <c r="AO923" s="38">
        <f>H923*0.964495387</f>
        <v>0</v>
      </c>
      <c r="AP923" s="38">
        <f>H923*(1-0.964495387)</f>
        <v>0</v>
      </c>
      <c r="AQ923" s="72" t="s">
        <v>132</v>
      </c>
      <c r="AV923" s="38">
        <f>AW923+AX923</f>
        <v>0</v>
      </c>
      <c r="AW923" s="38">
        <f>G923*AO923</f>
        <v>0</v>
      </c>
      <c r="AX923" s="38">
        <f>G923*AP923</f>
        <v>0</v>
      </c>
      <c r="AY923" s="72" t="s">
        <v>1643</v>
      </c>
      <c r="AZ923" s="72" t="s">
        <v>1627</v>
      </c>
      <c r="BA923" s="50" t="s">
        <v>139</v>
      </c>
      <c r="BB923" s="73">
        <v>100034</v>
      </c>
      <c r="BC923" s="38">
        <f>AW923+AX923</f>
        <v>0</v>
      </c>
      <c r="BD923" s="38">
        <f>H923/(100-BE923)*100</f>
        <v>0</v>
      </c>
      <c r="BE923" s="38">
        <v>0</v>
      </c>
      <c r="BF923" s="38">
        <f>K923</f>
        <v>0.00475</v>
      </c>
      <c r="BH923" s="38">
        <f>G923*AO923</f>
        <v>0</v>
      </c>
      <c r="BI923" s="38">
        <f>G923*AP923</f>
        <v>0</v>
      </c>
      <c r="BJ923" s="38">
        <f>G923*H923</f>
        <v>0</v>
      </c>
      <c r="BK923" s="38"/>
      <c r="BL923" s="38">
        <v>89</v>
      </c>
      <c r="BW923" s="38">
        <v>21</v>
      </c>
    </row>
    <row r="924" spans="1:12" ht="13.5" customHeight="1">
      <c r="A924" s="74"/>
      <c r="D924" s="194" t="s">
        <v>1644</v>
      </c>
      <c r="E924" s="195"/>
      <c r="F924" s="195"/>
      <c r="G924" s="195"/>
      <c r="H924" s="195"/>
      <c r="I924" s="195"/>
      <c r="J924" s="195"/>
      <c r="K924" s="195"/>
      <c r="L924" s="197"/>
    </row>
    <row r="925" spans="1:12" ht="15">
      <c r="A925" s="74"/>
      <c r="D925" s="75" t="s">
        <v>132</v>
      </c>
      <c r="E925" s="75" t="s">
        <v>4</v>
      </c>
      <c r="G925" s="76">
        <v>1</v>
      </c>
      <c r="L925" s="77"/>
    </row>
    <row r="926" spans="1:75" ht="13.5" customHeight="1">
      <c r="A926" s="1" t="s">
        <v>1648</v>
      </c>
      <c r="B926" s="2" t="s">
        <v>84</v>
      </c>
      <c r="C926" s="2" t="s">
        <v>1649</v>
      </c>
      <c r="D926" s="108" t="s">
        <v>1650</v>
      </c>
      <c r="E926" s="103"/>
      <c r="F926" s="2" t="s">
        <v>199</v>
      </c>
      <c r="G926" s="38">
        <f>'Stavební rozpočet'!G926</f>
        <v>1</v>
      </c>
      <c r="H926" s="38">
        <f>'Stavební rozpočet'!H926</f>
        <v>0</v>
      </c>
      <c r="I926" s="38">
        <f>G926*H926</f>
        <v>0</v>
      </c>
      <c r="J926" s="38">
        <f>'Stavební rozpočet'!J926</f>
        <v>0.03748</v>
      </c>
      <c r="K926" s="38">
        <f>G926*J926</f>
        <v>0.03748</v>
      </c>
      <c r="L926" s="71" t="s">
        <v>207</v>
      </c>
      <c r="Z926" s="38">
        <f>IF(AQ926="5",BJ926,0)</f>
        <v>0</v>
      </c>
      <c r="AB926" s="38">
        <f>IF(AQ926="1",BH926,0)</f>
        <v>0</v>
      </c>
      <c r="AC926" s="38">
        <f>IF(AQ926="1",BI926,0)</f>
        <v>0</v>
      </c>
      <c r="AD926" s="38">
        <f>IF(AQ926="7",BH926,0)</f>
        <v>0</v>
      </c>
      <c r="AE926" s="38">
        <f>IF(AQ926="7",BI926,0)</f>
        <v>0</v>
      </c>
      <c r="AF926" s="38">
        <f>IF(AQ926="2",BH926,0)</f>
        <v>0</v>
      </c>
      <c r="AG926" s="38">
        <f>IF(AQ926="2",BI926,0)</f>
        <v>0</v>
      </c>
      <c r="AH926" s="38">
        <f>IF(AQ926="0",BJ926,0)</f>
        <v>0</v>
      </c>
      <c r="AI926" s="50" t="s">
        <v>84</v>
      </c>
      <c r="AJ926" s="38">
        <f>IF(AN926=0,I926,0)</f>
        <v>0</v>
      </c>
      <c r="AK926" s="38">
        <f>IF(AN926=12,I926,0)</f>
        <v>0</v>
      </c>
      <c r="AL926" s="38">
        <f>IF(AN926=21,I926,0)</f>
        <v>0</v>
      </c>
      <c r="AN926" s="38">
        <v>21</v>
      </c>
      <c r="AO926" s="38">
        <f>H926*0.942396042</f>
        <v>0</v>
      </c>
      <c r="AP926" s="38">
        <f>H926*(1-0.942396042)</f>
        <v>0</v>
      </c>
      <c r="AQ926" s="72" t="s">
        <v>132</v>
      </c>
      <c r="AV926" s="38">
        <f>AW926+AX926</f>
        <v>0</v>
      </c>
      <c r="AW926" s="38">
        <f>G926*AO926</f>
        <v>0</v>
      </c>
      <c r="AX926" s="38">
        <f>G926*AP926</f>
        <v>0</v>
      </c>
      <c r="AY926" s="72" t="s">
        <v>1643</v>
      </c>
      <c r="AZ926" s="72" t="s">
        <v>1627</v>
      </c>
      <c r="BA926" s="50" t="s">
        <v>139</v>
      </c>
      <c r="BB926" s="73">
        <v>100034</v>
      </c>
      <c r="BC926" s="38">
        <f>AW926+AX926</f>
        <v>0</v>
      </c>
      <c r="BD926" s="38">
        <f>H926/(100-BE926)*100</f>
        <v>0</v>
      </c>
      <c r="BE926" s="38">
        <v>0</v>
      </c>
      <c r="BF926" s="38">
        <f>K926</f>
        <v>0.03748</v>
      </c>
      <c r="BH926" s="38">
        <f>G926*AO926</f>
        <v>0</v>
      </c>
      <c r="BI926" s="38">
        <f>G926*AP926</f>
        <v>0</v>
      </c>
      <c r="BJ926" s="38">
        <f>G926*H926</f>
        <v>0</v>
      </c>
      <c r="BK926" s="38"/>
      <c r="BL926" s="38">
        <v>89</v>
      </c>
      <c r="BW926" s="38">
        <v>21</v>
      </c>
    </row>
    <row r="927" spans="1:12" ht="13.5" customHeight="1">
      <c r="A927" s="74"/>
      <c r="D927" s="194" t="s">
        <v>1651</v>
      </c>
      <c r="E927" s="195"/>
      <c r="F927" s="195"/>
      <c r="G927" s="195"/>
      <c r="H927" s="195"/>
      <c r="I927" s="195"/>
      <c r="J927" s="195"/>
      <c r="K927" s="195"/>
      <c r="L927" s="197"/>
    </row>
    <row r="928" spans="1:12" ht="15">
      <c r="A928" s="74"/>
      <c r="D928" s="75" t="s">
        <v>132</v>
      </c>
      <c r="E928" s="75" t="s">
        <v>4</v>
      </c>
      <c r="G928" s="76">
        <v>1</v>
      </c>
      <c r="L928" s="77"/>
    </row>
    <row r="929" spans="1:47" ht="15">
      <c r="A929" s="65" t="s">
        <v>4</v>
      </c>
      <c r="B929" s="66" t="s">
        <v>84</v>
      </c>
      <c r="C929" s="66" t="s">
        <v>701</v>
      </c>
      <c r="D929" s="192" t="s">
        <v>1652</v>
      </c>
      <c r="E929" s="193"/>
      <c r="F929" s="67" t="s">
        <v>78</v>
      </c>
      <c r="G929" s="67" t="s">
        <v>78</v>
      </c>
      <c r="H929" s="67" t="s">
        <v>78</v>
      </c>
      <c r="I929" s="44">
        <f>SUM(I930:I934)</f>
        <v>0</v>
      </c>
      <c r="J929" s="50" t="s">
        <v>4</v>
      </c>
      <c r="K929" s="44">
        <f>SUM(K930:K934)</f>
        <v>1.295633</v>
      </c>
      <c r="L929" s="69" t="s">
        <v>4</v>
      </c>
      <c r="AI929" s="50" t="s">
        <v>84</v>
      </c>
      <c r="AS929" s="44">
        <f>SUM(AJ930:AJ934)</f>
        <v>0</v>
      </c>
      <c r="AT929" s="44">
        <f>SUM(AK930:AK934)</f>
        <v>0</v>
      </c>
      <c r="AU929" s="44">
        <f>SUM(AL930:AL934)</f>
        <v>0</v>
      </c>
    </row>
    <row r="930" spans="1:75" ht="13.5" customHeight="1">
      <c r="A930" s="1" t="s">
        <v>1653</v>
      </c>
      <c r="B930" s="2" t="s">
        <v>84</v>
      </c>
      <c r="C930" s="2" t="s">
        <v>1654</v>
      </c>
      <c r="D930" s="108" t="s">
        <v>1655</v>
      </c>
      <c r="E930" s="103"/>
      <c r="F930" s="2" t="s">
        <v>214</v>
      </c>
      <c r="G930" s="38">
        <f>'Stavební rozpočet'!G930</f>
        <v>4.25</v>
      </c>
      <c r="H930" s="38">
        <f>'Stavební rozpočet'!H930</f>
        <v>0</v>
      </c>
      <c r="I930" s="38">
        <f>G930*H930</f>
        <v>0</v>
      </c>
      <c r="J930" s="38">
        <f>'Stavební rozpočet'!J930</f>
        <v>0.14874</v>
      </c>
      <c r="K930" s="38">
        <f>G930*J930</f>
        <v>0.6321450000000001</v>
      </c>
      <c r="L930" s="71" t="s">
        <v>136</v>
      </c>
      <c r="Z930" s="38">
        <f>IF(AQ930="5",BJ930,0)</f>
        <v>0</v>
      </c>
      <c r="AB930" s="38">
        <f>IF(AQ930="1",BH930,0)</f>
        <v>0</v>
      </c>
      <c r="AC930" s="38">
        <f>IF(AQ930="1",BI930,0)</f>
        <v>0</v>
      </c>
      <c r="AD930" s="38">
        <f>IF(AQ930="7",BH930,0)</f>
        <v>0</v>
      </c>
      <c r="AE930" s="38">
        <f>IF(AQ930="7",BI930,0)</f>
        <v>0</v>
      </c>
      <c r="AF930" s="38">
        <f>IF(AQ930="2",BH930,0)</f>
        <v>0</v>
      </c>
      <c r="AG930" s="38">
        <f>IF(AQ930="2",BI930,0)</f>
        <v>0</v>
      </c>
      <c r="AH930" s="38">
        <f>IF(AQ930="0",BJ930,0)</f>
        <v>0</v>
      </c>
      <c r="AI930" s="50" t="s">
        <v>84</v>
      </c>
      <c r="AJ930" s="38">
        <f>IF(AN930=0,I930,0)</f>
        <v>0</v>
      </c>
      <c r="AK930" s="38">
        <f>IF(AN930=12,I930,0)</f>
        <v>0</v>
      </c>
      <c r="AL930" s="38">
        <f>IF(AN930=21,I930,0)</f>
        <v>0</v>
      </c>
      <c r="AN930" s="38">
        <v>21</v>
      </c>
      <c r="AO930" s="38">
        <f>H930*0.600884615</f>
        <v>0</v>
      </c>
      <c r="AP930" s="38">
        <f>H930*(1-0.600884615)</f>
        <v>0</v>
      </c>
      <c r="AQ930" s="72" t="s">
        <v>132</v>
      </c>
      <c r="AV930" s="38">
        <f>AW930+AX930</f>
        <v>0</v>
      </c>
      <c r="AW930" s="38">
        <f>G930*AO930</f>
        <v>0</v>
      </c>
      <c r="AX930" s="38">
        <f>G930*AP930</f>
        <v>0</v>
      </c>
      <c r="AY930" s="72" t="s">
        <v>1656</v>
      </c>
      <c r="AZ930" s="72" t="s">
        <v>1657</v>
      </c>
      <c r="BA930" s="50" t="s">
        <v>139</v>
      </c>
      <c r="BB930" s="73">
        <v>100039</v>
      </c>
      <c r="BC930" s="38">
        <f>AW930+AX930</f>
        <v>0</v>
      </c>
      <c r="BD930" s="38">
        <f>H930/(100-BE930)*100</f>
        <v>0</v>
      </c>
      <c r="BE930" s="38">
        <v>0</v>
      </c>
      <c r="BF930" s="38">
        <f>K930</f>
        <v>0.6321450000000001</v>
      </c>
      <c r="BH930" s="38">
        <f>G930*AO930</f>
        <v>0</v>
      </c>
      <c r="BI930" s="38">
        <f>G930*AP930</f>
        <v>0</v>
      </c>
      <c r="BJ930" s="38">
        <f>G930*H930</f>
        <v>0</v>
      </c>
      <c r="BK930" s="38"/>
      <c r="BL930" s="38">
        <v>91</v>
      </c>
      <c r="BW930" s="38">
        <v>21</v>
      </c>
    </row>
    <row r="931" spans="1:12" ht="15">
      <c r="A931" s="74"/>
      <c r="D931" s="75" t="s">
        <v>1658</v>
      </c>
      <c r="E931" s="75" t="s">
        <v>4</v>
      </c>
      <c r="G931" s="76">
        <v>4.25</v>
      </c>
      <c r="L931" s="77"/>
    </row>
    <row r="932" spans="1:75" ht="13.5" customHeight="1">
      <c r="A932" s="78" t="s">
        <v>1659</v>
      </c>
      <c r="B932" s="79" t="s">
        <v>84</v>
      </c>
      <c r="C932" s="79" t="s">
        <v>1660</v>
      </c>
      <c r="D932" s="198" t="s">
        <v>1661</v>
      </c>
      <c r="E932" s="199"/>
      <c r="F932" s="79" t="s">
        <v>199</v>
      </c>
      <c r="G932" s="80">
        <f>'Stavební rozpočet'!G932</f>
        <v>5</v>
      </c>
      <c r="H932" s="80">
        <f>'Stavební rozpočet'!H932</f>
        <v>0</v>
      </c>
      <c r="I932" s="80">
        <f>G932*H932</f>
        <v>0</v>
      </c>
      <c r="J932" s="80">
        <f>'Stavební rozpočet'!J932</f>
        <v>0.06</v>
      </c>
      <c r="K932" s="80">
        <f>G932*J932</f>
        <v>0.3</v>
      </c>
      <c r="L932" s="82" t="s">
        <v>136</v>
      </c>
      <c r="Z932" s="38">
        <f>IF(AQ932="5",BJ932,0)</f>
        <v>0</v>
      </c>
      <c r="AB932" s="38">
        <f>IF(AQ932="1",BH932,0)</f>
        <v>0</v>
      </c>
      <c r="AC932" s="38">
        <f>IF(AQ932="1",BI932,0)</f>
        <v>0</v>
      </c>
      <c r="AD932" s="38">
        <f>IF(AQ932="7",BH932,0)</f>
        <v>0</v>
      </c>
      <c r="AE932" s="38">
        <f>IF(AQ932="7",BI932,0)</f>
        <v>0</v>
      </c>
      <c r="AF932" s="38">
        <f>IF(AQ932="2",BH932,0)</f>
        <v>0</v>
      </c>
      <c r="AG932" s="38">
        <f>IF(AQ932="2",BI932,0)</f>
        <v>0</v>
      </c>
      <c r="AH932" s="38">
        <f>IF(AQ932="0",BJ932,0)</f>
        <v>0</v>
      </c>
      <c r="AI932" s="50" t="s">
        <v>84</v>
      </c>
      <c r="AJ932" s="80">
        <f>IF(AN932=0,I932,0)</f>
        <v>0</v>
      </c>
      <c r="AK932" s="80">
        <f>IF(AN932=12,I932,0)</f>
        <v>0</v>
      </c>
      <c r="AL932" s="80">
        <f>IF(AN932=21,I932,0)</f>
        <v>0</v>
      </c>
      <c r="AN932" s="38">
        <v>21</v>
      </c>
      <c r="AO932" s="38">
        <f>H932*1</f>
        <v>0</v>
      </c>
      <c r="AP932" s="38">
        <f>H932*(1-1)</f>
        <v>0</v>
      </c>
      <c r="AQ932" s="83" t="s">
        <v>132</v>
      </c>
      <c r="AV932" s="38">
        <f>AW932+AX932</f>
        <v>0</v>
      </c>
      <c r="AW932" s="38">
        <f>G932*AO932</f>
        <v>0</v>
      </c>
      <c r="AX932" s="38">
        <f>G932*AP932</f>
        <v>0</v>
      </c>
      <c r="AY932" s="72" t="s">
        <v>1656</v>
      </c>
      <c r="AZ932" s="72" t="s">
        <v>1657</v>
      </c>
      <c r="BA932" s="50" t="s">
        <v>139</v>
      </c>
      <c r="BC932" s="38">
        <f>AW932+AX932</f>
        <v>0</v>
      </c>
      <c r="BD932" s="38">
        <f>H932/(100-BE932)*100</f>
        <v>0</v>
      </c>
      <c r="BE932" s="38">
        <v>0</v>
      </c>
      <c r="BF932" s="38">
        <f>K932</f>
        <v>0.3</v>
      </c>
      <c r="BH932" s="80">
        <f>G932*AO932</f>
        <v>0</v>
      </c>
      <c r="BI932" s="80">
        <f>G932*AP932</f>
        <v>0</v>
      </c>
      <c r="BJ932" s="80">
        <f>G932*H932</f>
        <v>0</v>
      </c>
      <c r="BK932" s="80"/>
      <c r="BL932" s="38">
        <v>91</v>
      </c>
      <c r="BW932" s="38">
        <v>21</v>
      </c>
    </row>
    <row r="933" spans="1:12" ht="15">
      <c r="A933" s="74"/>
      <c r="D933" s="75" t="s">
        <v>162</v>
      </c>
      <c r="E933" s="75" t="s">
        <v>4</v>
      </c>
      <c r="G933" s="76">
        <v>5</v>
      </c>
      <c r="L933" s="77"/>
    </row>
    <row r="934" spans="1:75" ht="13.5" customHeight="1">
      <c r="A934" s="1" t="s">
        <v>1662</v>
      </c>
      <c r="B934" s="2" t="s">
        <v>84</v>
      </c>
      <c r="C934" s="2" t="s">
        <v>1663</v>
      </c>
      <c r="D934" s="108" t="s">
        <v>1664</v>
      </c>
      <c r="E934" s="103"/>
      <c r="F934" s="2" t="s">
        <v>214</v>
      </c>
      <c r="G934" s="38">
        <f>'Stavební rozpočet'!G934</f>
        <v>3.2</v>
      </c>
      <c r="H934" s="38">
        <f>'Stavební rozpočet'!H934</f>
        <v>0</v>
      </c>
      <c r="I934" s="38">
        <f>G934*H934</f>
        <v>0</v>
      </c>
      <c r="J934" s="38">
        <f>'Stavební rozpočet'!J934</f>
        <v>0.11359</v>
      </c>
      <c r="K934" s="38">
        <f>G934*J934</f>
        <v>0.36348800000000003</v>
      </c>
      <c r="L934" s="71" t="s">
        <v>136</v>
      </c>
      <c r="Z934" s="38">
        <f>IF(AQ934="5",BJ934,0)</f>
        <v>0</v>
      </c>
      <c r="AB934" s="38">
        <f>IF(AQ934="1",BH934,0)</f>
        <v>0</v>
      </c>
      <c r="AC934" s="38">
        <f>IF(AQ934="1",BI934,0)</f>
        <v>0</v>
      </c>
      <c r="AD934" s="38">
        <f>IF(AQ934="7",BH934,0)</f>
        <v>0</v>
      </c>
      <c r="AE934" s="38">
        <f>IF(AQ934="7",BI934,0)</f>
        <v>0</v>
      </c>
      <c r="AF934" s="38">
        <f>IF(AQ934="2",BH934,0)</f>
        <v>0</v>
      </c>
      <c r="AG934" s="38">
        <f>IF(AQ934="2",BI934,0)</f>
        <v>0</v>
      </c>
      <c r="AH934" s="38">
        <f>IF(AQ934="0",BJ934,0)</f>
        <v>0</v>
      </c>
      <c r="AI934" s="50" t="s">
        <v>84</v>
      </c>
      <c r="AJ934" s="38">
        <f>IF(AN934=0,I934,0)</f>
        <v>0</v>
      </c>
      <c r="AK934" s="38">
        <f>IF(AN934=12,I934,0)</f>
        <v>0</v>
      </c>
      <c r="AL934" s="38">
        <f>IF(AN934=21,I934,0)</f>
        <v>0</v>
      </c>
      <c r="AN934" s="38">
        <v>21</v>
      </c>
      <c r="AO934" s="38">
        <f>H934*0.685136364</f>
        <v>0</v>
      </c>
      <c r="AP934" s="38">
        <f>H934*(1-0.685136364)</f>
        <v>0</v>
      </c>
      <c r="AQ934" s="72" t="s">
        <v>132</v>
      </c>
      <c r="AV934" s="38">
        <f>AW934+AX934</f>
        <v>0</v>
      </c>
      <c r="AW934" s="38">
        <f>G934*AO934</f>
        <v>0</v>
      </c>
      <c r="AX934" s="38">
        <f>G934*AP934</f>
        <v>0</v>
      </c>
      <c r="AY934" s="72" t="s">
        <v>1656</v>
      </c>
      <c r="AZ934" s="72" t="s">
        <v>1657</v>
      </c>
      <c r="BA934" s="50" t="s">
        <v>139</v>
      </c>
      <c r="BB934" s="73">
        <v>100039</v>
      </c>
      <c r="BC934" s="38">
        <f>AW934+AX934</f>
        <v>0</v>
      </c>
      <c r="BD934" s="38">
        <f>H934/(100-BE934)*100</f>
        <v>0</v>
      </c>
      <c r="BE934" s="38">
        <v>0</v>
      </c>
      <c r="BF934" s="38">
        <f>K934</f>
        <v>0.36348800000000003</v>
      </c>
      <c r="BH934" s="38">
        <f>G934*AO934</f>
        <v>0</v>
      </c>
      <c r="BI934" s="38">
        <f>G934*AP934</f>
        <v>0</v>
      </c>
      <c r="BJ934" s="38">
        <f>G934*H934</f>
        <v>0</v>
      </c>
      <c r="BK934" s="38"/>
      <c r="BL934" s="38">
        <v>91</v>
      </c>
      <c r="BW934" s="38">
        <v>21</v>
      </c>
    </row>
    <row r="935" spans="1:12" ht="13.5" customHeight="1">
      <c r="A935" s="74"/>
      <c r="D935" s="194" t="s">
        <v>1665</v>
      </c>
      <c r="E935" s="195"/>
      <c r="F935" s="195"/>
      <c r="G935" s="195"/>
      <c r="H935" s="195"/>
      <c r="I935" s="195"/>
      <c r="J935" s="195"/>
      <c r="K935" s="195"/>
      <c r="L935" s="197"/>
    </row>
    <row r="936" spans="1:12" ht="15">
      <c r="A936" s="74"/>
      <c r="D936" s="75" t="s">
        <v>1666</v>
      </c>
      <c r="E936" s="75" t="s">
        <v>4</v>
      </c>
      <c r="G936" s="76">
        <v>3.2</v>
      </c>
      <c r="L936" s="77"/>
    </row>
    <row r="937" spans="1:47" ht="15">
      <c r="A937" s="65" t="s">
        <v>4</v>
      </c>
      <c r="B937" s="66" t="s">
        <v>84</v>
      </c>
      <c r="C937" s="66" t="s">
        <v>715</v>
      </c>
      <c r="D937" s="192" t="s">
        <v>1667</v>
      </c>
      <c r="E937" s="193"/>
      <c r="F937" s="67" t="s">
        <v>78</v>
      </c>
      <c r="G937" s="67" t="s">
        <v>78</v>
      </c>
      <c r="H937" s="67" t="s">
        <v>78</v>
      </c>
      <c r="I937" s="44">
        <f>SUM(I938:I941)</f>
        <v>0</v>
      </c>
      <c r="J937" s="50" t="s">
        <v>4</v>
      </c>
      <c r="K937" s="44">
        <f>SUM(K938:K941)</f>
        <v>0.7938</v>
      </c>
      <c r="L937" s="69" t="s">
        <v>4</v>
      </c>
      <c r="AI937" s="50" t="s">
        <v>84</v>
      </c>
      <c r="AS937" s="44">
        <f>SUM(AJ938:AJ941)</f>
        <v>0</v>
      </c>
      <c r="AT937" s="44">
        <f>SUM(AK938:AK941)</f>
        <v>0</v>
      </c>
      <c r="AU937" s="44">
        <f>SUM(AL938:AL941)</f>
        <v>0</v>
      </c>
    </row>
    <row r="938" spans="1:75" ht="13.5" customHeight="1">
      <c r="A938" s="1" t="s">
        <v>1668</v>
      </c>
      <c r="B938" s="2" t="s">
        <v>84</v>
      </c>
      <c r="C938" s="2" t="s">
        <v>1669</v>
      </c>
      <c r="D938" s="108" t="s">
        <v>1670</v>
      </c>
      <c r="E938" s="103"/>
      <c r="F938" s="2" t="s">
        <v>263</v>
      </c>
      <c r="G938" s="38">
        <f>'Stavební rozpočet'!G938</f>
        <v>390</v>
      </c>
      <c r="H938" s="38">
        <f>'Stavební rozpočet'!H938</f>
        <v>0</v>
      </c>
      <c r="I938" s="38">
        <f>G938*H938</f>
        <v>0</v>
      </c>
      <c r="J938" s="38">
        <f>'Stavební rozpočet'!J938</f>
        <v>0.00158</v>
      </c>
      <c r="K938" s="38">
        <f>G938*J938</f>
        <v>0.6162</v>
      </c>
      <c r="L938" s="71" t="s">
        <v>136</v>
      </c>
      <c r="Z938" s="38">
        <f>IF(AQ938="5",BJ938,0)</f>
        <v>0</v>
      </c>
      <c r="AB938" s="38">
        <f>IF(AQ938="1",BH938,0)</f>
        <v>0</v>
      </c>
      <c r="AC938" s="38">
        <f>IF(AQ938="1",BI938,0)</f>
        <v>0</v>
      </c>
      <c r="AD938" s="38">
        <f>IF(AQ938="7",BH938,0)</f>
        <v>0</v>
      </c>
      <c r="AE938" s="38">
        <f>IF(AQ938="7",BI938,0)</f>
        <v>0</v>
      </c>
      <c r="AF938" s="38">
        <f>IF(AQ938="2",BH938,0)</f>
        <v>0</v>
      </c>
      <c r="AG938" s="38">
        <f>IF(AQ938="2",BI938,0)</f>
        <v>0</v>
      </c>
      <c r="AH938" s="38">
        <f>IF(AQ938="0",BJ938,0)</f>
        <v>0</v>
      </c>
      <c r="AI938" s="50" t="s">
        <v>84</v>
      </c>
      <c r="AJ938" s="38">
        <f>IF(AN938=0,I938,0)</f>
        <v>0</v>
      </c>
      <c r="AK938" s="38">
        <f>IF(AN938=12,I938,0)</f>
        <v>0</v>
      </c>
      <c r="AL938" s="38">
        <f>IF(AN938=21,I938,0)</f>
        <v>0</v>
      </c>
      <c r="AN938" s="38">
        <v>21</v>
      </c>
      <c r="AO938" s="38">
        <f>H938*0.407754522</f>
        <v>0</v>
      </c>
      <c r="AP938" s="38">
        <f>H938*(1-0.407754522)</f>
        <v>0</v>
      </c>
      <c r="AQ938" s="72" t="s">
        <v>132</v>
      </c>
      <c r="AV938" s="38">
        <f>AW938+AX938</f>
        <v>0</v>
      </c>
      <c r="AW938" s="38">
        <f>G938*AO938</f>
        <v>0</v>
      </c>
      <c r="AX938" s="38">
        <f>G938*AP938</f>
        <v>0</v>
      </c>
      <c r="AY938" s="72" t="s">
        <v>1671</v>
      </c>
      <c r="AZ938" s="72" t="s">
        <v>1657</v>
      </c>
      <c r="BA938" s="50" t="s">
        <v>139</v>
      </c>
      <c r="BB938" s="73">
        <v>100004</v>
      </c>
      <c r="BC938" s="38">
        <f>AW938+AX938</f>
        <v>0</v>
      </c>
      <c r="BD938" s="38">
        <f>H938/(100-BE938)*100</f>
        <v>0</v>
      </c>
      <c r="BE938" s="38">
        <v>0</v>
      </c>
      <c r="BF938" s="38">
        <f>K938</f>
        <v>0.6162</v>
      </c>
      <c r="BH938" s="38">
        <f>G938*AO938</f>
        <v>0</v>
      </c>
      <c r="BI938" s="38">
        <f>G938*AP938</f>
        <v>0</v>
      </c>
      <c r="BJ938" s="38">
        <f>G938*H938</f>
        <v>0</v>
      </c>
      <c r="BK938" s="38"/>
      <c r="BL938" s="38">
        <v>94</v>
      </c>
      <c r="BW938" s="38">
        <v>21</v>
      </c>
    </row>
    <row r="939" spans="1:12" ht="15">
      <c r="A939" s="74"/>
      <c r="D939" s="75" t="s">
        <v>1137</v>
      </c>
      <c r="E939" s="75" t="s">
        <v>765</v>
      </c>
      <c r="G939" s="76">
        <v>185</v>
      </c>
      <c r="L939" s="77"/>
    </row>
    <row r="940" spans="1:12" ht="15">
      <c r="A940" s="74"/>
      <c r="D940" s="75" t="s">
        <v>1215</v>
      </c>
      <c r="E940" s="75" t="s">
        <v>767</v>
      </c>
      <c r="G940" s="76">
        <v>205</v>
      </c>
      <c r="L940" s="77"/>
    </row>
    <row r="941" spans="1:75" ht="13.5" customHeight="1">
      <c r="A941" s="1" t="s">
        <v>1672</v>
      </c>
      <c r="B941" s="2" t="s">
        <v>84</v>
      </c>
      <c r="C941" s="2" t="s">
        <v>1673</v>
      </c>
      <c r="D941" s="108" t="s">
        <v>1674</v>
      </c>
      <c r="E941" s="103"/>
      <c r="F941" s="2" t="s">
        <v>263</v>
      </c>
      <c r="G941" s="38">
        <f>'Stavební rozpočet'!G941</f>
        <v>30</v>
      </c>
      <c r="H941" s="38">
        <f>'Stavební rozpočet'!H941</f>
        <v>0</v>
      </c>
      <c r="I941" s="38">
        <f>G941*H941</f>
        <v>0</v>
      </c>
      <c r="J941" s="38">
        <f>'Stavební rozpočet'!J941</f>
        <v>0.00592</v>
      </c>
      <c r="K941" s="38">
        <f>G941*J941</f>
        <v>0.1776</v>
      </c>
      <c r="L941" s="71" t="s">
        <v>136</v>
      </c>
      <c r="Z941" s="38">
        <f>IF(AQ941="5",BJ941,0)</f>
        <v>0</v>
      </c>
      <c r="AB941" s="38">
        <f>IF(AQ941="1",BH941,0)</f>
        <v>0</v>
      </c>
      <c r="AC941" s="38">
        <f>IF(AQ941="1",BI941,0)</f>
        <v>0</v>
      </c>
      <c r="AD941" s="38">
        <f>IF(AQ941="7",BH941,0)</f>
        <v>0</v>
      </c>
      <c r="AE941" s="38">
        <f>IF(AQ941="7",BI941,0)</f>
        <v>0</v>
      </c>
      <c r="AF941" s="38">
        <f>IF(AQ941="2",BH941,0)</f>
        <v>0</v>
      </c>
      <c r="AG941" s="38">
        <f>IF(AQ941="2",BI941,0)</f>
        <v>0</v>
      </c>
      <c r="AH941" s="38">
        <f>IF(AQ941="0",BJ941,0)</f>
        <v>0</v>
      </c>
      <c r="AI941" s="50" t="s">
        <v>84</v>
      </c>
      <c r="AJ941" s="38">
        <f>IF(AN941=0,I941,0)</f>
        <v>0</v>
      </c>
      <c r="AK941" s="38">
        <f>IF(AN941=12,I941,0)</f>
        <v>0</v>
      </c>
      <c r="AL941" s="38">
        <f>IF(AN941=21,I941,0)</f>
        <v>0</v>
      </c>
      <c r="AN941" s="38">
        <v>21</v>
      </c>
      <c r="AO941" s="38">
        <f>H941*0.384604317</f>
        <v>0</v>
      </c>
      <c r="AP941" s="38">
        <f>H941*(1-0.384604317)</f>
        <v>0</v>
      </c>
      <c r="AQ941" s="72" t="s">
        <v>132</v>
      </c>
      <c r="AV941" s="38">
        <f>AW941+AX941</f>
        <v>0</v>
      </c>
      <c r="AW941" s="38">
        <f>G941*AO941</f>
        <v>0</v>
      </c>
      <c r="AX941" s="38">
        <f>G941*AP941</f>
        <v>0</v>
      </c>
      <c r="AY941" s="72" t="s">
        <v>1671</v>
      </c>
      <c r="AZ941" s="72" t="s">
        <v>1657</v>
      </c>
      <c r="BA941" s="50" t="s">
        <v>139</v>
      </c>
      <c r="BB941" s="73">
        <v>100004</v>
      </c>
      <c r="BC941" s="38">
        <f>AW941+AX941</f>
        <v>0</v>
      </c>
      <c r="BD941" s="38">
        <f>H941/(100-BE941)*100</f>
        <v>0</v>
      </c>
      <c r="BE941" s="38">
        <v>0</v>
      </c>
      <c r="BF941" s="38">
        <f>K941</f>
        <v>0.1776</v>
      </c>
      <c r="BH941" s="38">
        <f>G941*AO941</f>
        <v>0</v>
      </c>
      <c r="BI941" s="38">
        <f>G941*AP941</f>
        <v>0</v>
      </c>
      <c r="BJ941" s="38">
        <f>G941*H941</f>
        <v>0</v>
      </c>
      <c r="BK941" s="38"/>
      <c r="BL941" s="38">
        <v>94</v>
      </c>
      <c r="BW941" s="38">
        <v>21</v>
      </c>
    </row>
    <row r="942" spans="1:12" ht="15">
      <c r="A942" s="74"/>
      <c r="D942" s="75" t="s">
        <v>311</v>
      </c>
      <c r="E942" s="75" t="s">
        <v>4</v>
      </c>
      <c r="G942" s="76">
        <v>30</v>
      </c>
      <c r="L942" s="77"/>
    </row>
    <row r="943" spans="1:47" ht="15">
      <c r="A943" s="65" t="s">
        <v>4</v>
      </c>
      <c r="B943" s="66" t="s">
        <v>84</v>
      </c>
      <c r="C943" s="66" t="s">
        <v>720</v>
      </c>
      <c r="D943" s="192" t="s">
        <v>1675</v>
      </c>
      <c r="E943" s="193"/>
      <c r="F943" s="67" t="s">
        <v>78</v>
      </c>
      <c r="G943" s="67" t="s">
        <v>78</v>
      </c>
      <c r="H943" s="67" t="s">
        <v>78</v>
      </c>
      <c r="I943" s="44">
        <f>SUM(I944:I957)</f>
        <v>0</v>
      </c>
      <c r="J943" s="50" t="s">
        <v>4</v>
      </c>
      <c r="K943" s="44">
        <f>SUM(K944:K957)</f>
        <v>0.16435480000000002</v>
      </c>
      <c r="L943" s="69" t="s">
        <v>4</v>
      </c>
      <c r="AI943" s="50" t="s">
        <v>84</v>
      </c>
      <c r="AS943" s="44">
        <f>SUM(AJ944:AJ957)</f>
        <v>0</v>
      </c>
      <c r="AT943" s="44">
        <f>SUM(AK944:AK957)</f>
        <v>0</v>
      </c>
      <c r="AU943" s="44">
        <f>SUM(AL944:AL957)</f>
        <v>0</v>
      </c>
    </row>
    <row r="944" spans="1:75" ht="13.5" customHeight="1">
      <c r="A944" s="1" t="s">
        <v>1676</v>
      </c>
      <c r="B944" s="2" t="s">
        <v>84</v>
      </c>
      <c r="C944" s="2" t="s">
        <v>1677</v>
      </c>
      <c r="D944" s="108" t="s">
        <v>1678</v>
      </c>
      <c r="E944" s="103"/>
      <c r="F944" s="2" t="s">
        <v>263</v>
      </c>
      <c r="G944" s="38">
        <f>'Stavební rozpočet'!G944</f>
        <v>786.62</v>
      </c>
      <c r="H944" s="38">
        <f>'Stavební rozpočet'!H944</f>
        <v>0</v>
      </c>
      <c r="I944" s="38">
        <f>G944*H944</f>
        <v>0</v>
      </c>
      <c r="J944" s="38">
        <f>'Stavební rozpočet'!J944</f>
        <v>4E-05</v>
      </c>
      <c r="K944" s="38">
        <f>G944*J944</f>
        <v>0.0314648</v>
      </c>
      <c r="L944" s="71" t="s">
        <v>136</v>
      </c>
      <c r="Z944" s="38">
        <f>IF(AQ944="5",BJ944,0)</f>
        <v>0</v>
      </c>
      <c r="AB944" s="38">
        <f>IF(AQ944="1",BH944,0)</f>
        <v>0</v>
      </c>
      <c r="AC944" s="38">
        <f>IF(AQ944="1",BI944,0)</f>
        <v>0</v>
      </c>
      <c r="AD944" s="38">
        <f>IF(AQ944="7",BH944,0)</f>
        <v>0</v>
      </c>
      <c r="AE944" s="38">
        <f>IF(AQ944="7",BI944,0)</f>
        <v>0</v>
      </c>
      <c r="AF944" s="38">
        <f>IF(AQ944="2",BH944,0)</f>
        <v>0</v>
      </c>
      <c r="AG944" s="38">
        <f>IF(AQ944="2",BI944,0)</f>
        <v>0</v>
      </c>
      <c r="AH944" s="38">
        <f>IF(AQ944="0",BJ944,0)</f>
        <v>0</v>
      </c>
      <c r="AI944" s="50" t="s">
        <v>84</v>
      </c>
      <c r="AJ944" s="38">
        <f>IF(AN944=0,I944,0)</f>
        <v>0</v>
      </c>
      <c r="AK944" s="38">
        <f>IF(AN944=12,I944,0)</f>
        <v>0</v>
      </c>
      <c r="AL944" s="38">
        <f>IF(AN944=21,I944,0)</f>
        <v>0</v>
      </c>
      <c r="AN944" s="38">
        <v>21</v>
      </c>
      <c r="AO944" s="38">
        <f>H944*0.013885931</f>
        <v>0</v>
      </c>
      <c r="AP944" s="38">
        <f>H944*(1-0.013885931)</f>
        <v>0</v>
      </c>
      <c r="AQ944" s="72" t="s">
        <v>132</v>
      </c>
      <c r="AV944" s="38">
        <f>AW944+AX944</f>
        <v>0</v>
      </c>
      <c r="AW944" s="38">
        <f>G944*AO944</f>
        <v>0</v>
      </c>
      <c r="AX944" s="38">
        <f>G944*AP944</f>
        <v>0</v>
      </c>
      <c r="AY944" s="72" t="s">
        <v>1679</v>
      </c>
      <c r="AZ944" s="72" t="s">
        <v>1657</v>
      </c>
      <c r="BA944" s="50" t="s">
        <v>139</v>
      </c>
      <c r="BB944" s="73">
        <v>100005</v>
      </c>
      <c r="BC944" s="38">
        <f>AW944+AX944</f>
        <v>0</v>
      </c>
      <c r="BD944" s="38">
        <f>H944/(100-BE944)*100</f>
        <v>0</v>
      </c>
      <c r="BE944" s="38">
        <v>0</v>
      </c>
      <c r="BF944" s="38">
        <f>K944</f>
        <v>0.0314648</v>
      </c>
      <c r="BH944" s="38">
        <f>G944*AO944</f>
        <v>0</v>
      </c>
      <c r="BI944" s="38">
        <f>G944*AP944</f>
        <v>0</v>
      </c>
      <c r="BJ944" s="38">
        <f>G944*H944</f>
        <v>0</v>
      </c>
      <c r="BK944" s="38"/>
      <c r="BL944" s="38">
        <v>95</v>
      </c>
      <c r="BW944" s="38">
        <v>21</v>
      </c>
    </row>
    <row r="945" spans="1:12" ht="15">
      <c r="A945" s="74"/>
      <c r="D945" s="75" t="s">
        <v>1680</v>
      </c>
      <c r="E945" s="75" t="s">
        <v>765</v>
      </c>
      <c r="G945" s="76">
        <v>326.6</v>
      </c>
      <c r="L945" s="77"/>
    </row>
    <row r="946" spans="1:12" ht="15">
      <c r="A946" s="74"/>
      <c r="D946" s="75" t="s">
        <v>1681</v>
      </c>
      <c r="E946" s="75" t="s">
        <v>767</v>
      </c>
      <c r="G946" s="76">
        <v>392.12</v>
      </c>
      <c r="L946" s="77"/>
    </row>
    <row r="947" spans="1:12" ht="15">
      <c r="A947" s="74"/>
      <c r="D947" s="75" t="s">
        <v>1682</v>
      </c>
      <c r="E947" s="75" t="s">
        <v>1683</v>
      </c>
      <c r="G947" s="76">
        <v>67.9</v>
      </c>
      <c r="L947" s="77"/>
    </row>
    <row r="948" spans="1:75" ht="13.5" customHeight="1">
      <c r="A948" s="1" t="s">
        <v>1684</v>
      </c>
      <c r="B948" s="2" t="s">
        <v>84</v>
      </c>
      <c r="C948" s="2" t="s">
        <v>1685</v>
      </c>
      <c r="D948" s="108" t="s">
        <v>1686</v>
      </c>
      <c r="E948" s="103"/>
      <c r="F948" s="2" t="s">
        <v>199</v>
      </c>
      <c r="G948" s="38">
        <f>'Stavební rozpočet'!G948</f>
        <v>8</v>
      </c>
      <c r="H948" s="38">
        <f>'Stavební rozpočet'!H948</f>
        <v>0</v>
      </c>
      <c r="I948" s="38">
        <f>G948*H948</f>
        <v>0</v>
      </c>
      <c r="J948" s="38">
        <f>'Stavební rozpočet'!J948</f>
        <v>1E-05</v>
      </c>
      <c r="K948" s="38">
        <f>G948*J948</f>
        <v>8E-05</v>
      </c>
      <c r="L948" s="71" t="s">
        <v>136</v>
      </c>
      <c r="Z948" s="38">
        <f>IF(AQ948="5",BJ948,0)</f>
        <v>0</v>
      </c>
      <c r="AB948" s="38">
        <f>IF(AQ948="1",BH948,0)</f>
        <v>0</v>
      </c>
      <c r="AC948" s="38">
        <f>IF(AQ948="1",BI948,0)</f>
        <v>0</v>
      </c>
      <c r="AD948" s="38">
        <f>IF(AQ948="7",BH948,0)</f>
        <v>0</v>
      </c>
      <c r="AE948" s="38">
        <f>IF(AQ948="7",BI948,0)</f>
        <v>0</v>
      </c>
      <c r="AF948" s="38">
        <f>IF(AQ948="2",BH948,0)</f>
        <v>0</v>
      </c>
      <c r="AG948" s="38">
        <f>IF(AQ948="2",BI948,0)</f>
        <v>0</v>
      </c>
      <c r="AH948" s="38">
        <f>IF(AQ948="0",BJ948,0)</f>
        <v>0</v>
      </c>
      <c r="AI948" s="50" t="s">
        <v>84</v>
      </c>
      <c r="AJ948" s="38">
        <f>IF(AN948=0,I948,0)</f>
        <v>0</v>
      </c>
      <c r="AK948" s="38">
        <f>IF(AN948=12,I948,0)</f>
        <v>0</v>
      </c>
      <c r="AL948" s="38">
        <f>IF(AN948=21,I948,0)</f>
        <v>0</v>
      </c>
      <c r="AN948" s="38">
        <v>21</v>
      </c>
      <c r="AO948" s="38">
        <f>H948*0.168108108</f>
        <v>0</v>
      </c>
      <c r="AP948" s="38">
        <f>H948*(1-0.168108108)</f>
        <v>0</v>
      </c>
      <c r="AQ948" s="72" t="s">
        <v>132</v>
      </c>
      <c r="AV948" s="38">
        <f>AW948+AX948</f>
        <v>0</v>
      </c>
      <c r="AW948" s="38">
        <f>G948*AO948</f>
        <v>0</v>
      </c>
      <c r="AX948" s="38">
        <f>G948*AP948</f>
        <v>0</v>
      </c>
      <c r="AY948" s="72" t="s">
        <v>1679</v>
      </c>
      <c r="AZ948" s="72" t="s">
        <v>1657</v>
      </c>
      <c r="BA948" s="50" t="s">
        <v>139</v>
      </c>
      <c r="BB948" s="73">
        <v>100005</v>
      </c>
      <c r="BC948" s="38">
        <f>AW948+AX948</f>
        <v>0</v>
      </c>
      <c r="BD948" s="38">
        <f>H948/(100-BE948)*100</f>
        <v>0</v>
      </c>
      <c r="BE948" s="38">
        <v>0</v>
      </c>
      <c r="BF948" s="38">
        <f>K948</f>
        <v>8E-05</v>
      </c>
      <c r="BH948" s="38">
        <f>G948*AO948</f>
        <v>0</v>
      </c>
      <c r="BI948" s="38">
        <f>G948*AP948</f>
        <v>0</v>
      </c>
      <c r="BJ948" s="38">
        <f>G948*H948</f>
        <v>0</v>
      </c>
      <c r="BK948" s="38"/>
      <c r="BL948" s="38">
        <v>95</v>
      </c>
      <c r="BW948" s="38">
        <v>21</v>
      </c>
    </row>
    <row r="949" spans="1:12" ht="15">
      <c r="A949" s="74"/>
      <c r="D949" s="75" t="s">
        <v>174</v>
      </c>
      <c r="E949" s="75" t="s">
        <v>4</v>
      </c>
      <c r="G949" s="76">
        <v>8</v>
      </c>
      <c r="L949" s="77"/>
    </row>
    <row r="950" spans="1:75" ht="13.5" customHeight="1">
      <c r="A950" s="78" t="s">
        <v>1687</v>
      </c>
      <c r="B950" s="79" t="s">
        <v>84</v>
      </c>
      <c r="C950" s="79" t="s">
        <v>1688</v>
      </c>
      <c r="D950" s="198" t="s">
        <v>1689</v>
      </c>
      <c r="E950" s="199"/>
      <c r="F950" s="79" t="s">
        <v>199</v>
      </c>
      <c r="G950" s="80">
        <f>'Stavební rozpočet'!G950</f>
        <v>8</v>
      </c>
      <c r="H950" s="80">
        <f>'Stavební rozpočet'!H950</f>
        <v>0</v>
      </c>
      <c r="I950" s="80">
        <f>G950*H950</f>
        <v>0</v>
      </c>
      <c r="J950" s="80">
        <f>'Stavební rozpočet'!J950</f>
        <v>0.0166</v>
      </c>
      <c r="K950" s="80">
        <f>G950*J950</f>
        <v>0.1328</v>
      </c>
      <c r="L950" s="82" t="s">
        <v>207</v>
      </c>
      <c r="Z950" s="38">
        <f>IF(AQ950="5",BJ950,0)</f>
        <v>0</v>
      </c>
      <c r="AB950" s="38">
        <f>IF(AQ950="1",BH950,0)</f>
        <v>0</v>
      </c>
      <c r="AC950" s="38">
        <f>IF(AQ950="1",BI950,0)</f>
        <v>0</v>
      </c>
      <c r="AD950" s="38">
        <f>IF(AQ950="7",BH950,0)</f>
        <v>0</v>
      </c>
      <c r="AE950" s="38">
        <f>IF(AQ950="7",BI950,0)</f>
        <v>0</v>
      </c>
      <c r="AF950" s="38">
        <f>IF(AQ950="2",BH950,0)</f>
        <v>0</v>
      </c>
      <c r="AG950" s="38">
        <f>IF(AQ950="2",BI950,0)</f>
        <v>0</v>
      </c>
      <c r="AH950" s="38">
        <f>IF(AQ950="0",BJ950,0)</f>
        <v>0</v>
      </c>
      <c r="AI950" s="50" t="s">
        <v>84</v>
      </c>
      <c r="AJ950" s="80">
        <f>IF(AN950=0,I950,0)</f>
        <v>0</v>
      </c>
      <c r="AK950" s="80">
        <f>IF(AN950=12,I950,0)</f>
        <v>0</v>
      </c>
      <c r="AL950" s="80">
        <f>IF(AN950=21,I950,0)</f>
        <v>0</v>
      </c>
      <c r="AN950" s="38">
        <v>21</v>
      </c>
      <c r="AO950" s="38">
        <f>H950*1</f>
        <v>0</v>
      </c>
      <c r="AP950" s="38">
        <f>H950*(1-1)</f>
        <v>0</v>
      </c>
      <c r="AQ950" s="83" t="s">
        <v>132</v>
      </c>
      <c r="AV950" s="38">
        <f>AW950+AX950</f>
        <v>0</v>
      </c>
      <c r="AW950" s="38">
        <f>G950*AO950</f>
        <v>0</v>
      </c>
      <c r="AX950" s="38">
        <f>G950*AP950</f>
        <v>0</v>
      </c>
      <c r="AY950" s="72" t="s">
        <v>1679</v>
      </c>
      <c r="AZ950" s="72" t="s">
        <v>1657</v>
      </c>
      <c r="BA950" s="50" t="s">
        <v>139</v>
      </c>
      <c r="BC950" s="38">
        <f>AW950+AX950</f>
        <v>0</v>
      </c>
      <c r="BD950" s="38">
        <f>H950/(100-BE950)*100</f>
        <v>0</v>
      </c>
      <c r="BE950" s="38">
        <v>0</v>
      </c>
      <c r="BF950" s="38">
        <f>K950</f>
        <v>0.1328</v>
      </c>
      <c r="BH950" s="80">
        <f>G950*AO950</f>
        <v>0</v>
      </c>
      <c r="BI950" s="80">
        <f>G950*AP950</f>
        <v>0</v>
      </c>
      <c r="BJ950" s="80">
        <f>G950*H950</f>
        <v>0</v>
      </c>
      <c r="BK950" s="80"/>
      <c r="BL950" s="38">
        <v>95</v>
      </c>
      <c r="BW950" s="38">
        <v>21</v>
      </c>
    </row>
    <row r="951" spans="1:12" ht="15">
      <c r="A951" s="74"/>
      <c r="D951" s="75" t="s">
        <v>174</v>
      </c>
      <c r="E951" s="75" t="s">
        <v>4</v>
      </c>
      <c r="G951" s="76">
        <v>8</v>
      </c>
      <c r="L951" s="77"/>
    </row>
    <row r="952" spans="1:75" ht="13.5" customHeight="1">
      <c r="A952" s="1" t="s">
        <v>1690</v>
      </c>
      <c r="B952" s="2" t="s">
        <v>84</v>
      </c>
      <c r="C952" s="2" t="s">
        <v>1691</v>
      </c>
      <c r="D952" s="108" t="s">
        <v>1692</v>
      </c>
      <c r="E952" s="103"/>
      <c r="F952" s="2" t="s">
        <v>1693</v>
      </c>
      <c r="G952" s="38">
        <f>'Stavební rozpočet'!G952</f>
        <v>1</v>
      </c>
      <c r="H952" s="38">
        <f>'Stavební rozpočet'!H952</f>
        <v>0</v>
      </c>
      <c r="I952" s="38">
        <f>G952*H952</f>
        <v>0</v>
      </c>
      <c r="J952" s="38">
        <f>'Stavební rozpočet'!J952</f>
        <v>1E-05</v>
      </c>
      <c r="K952" s="38">
        <f>G952*J952</f>
        <v>1E-05</v>
      </c>
      <c r="L952" s="71" t="s">
        <v>207</v>
      </c>
      <c r="Z952" s="38">
        <f>IF(AQ952="5",BJ952,0)</f>
        <v>0</v>
      </c>
      <c r="AB952" s="38">
        <f>IF(AQ952="1",BH952,0)</f>
        <v>0</v>
      </c>
      <c r="AC952" s="38">
        <f>IF(AQ952="1",BI952,0)</f>
        <v>0</v>
      </c>
      <c r="AD952" s="38">
        <f>IF(AQ952="7",BH952,0)</f>
        <v>0</v>
      </c>
      <c r="AE952" s="38">
        <f>IF(AQ952="7",BI952,0)</f>
        <v>0</v>
      </c>
      <c r="AF952" s="38">
        <f>IF(AQ952="2",BH952,0)</f>
        <v>0</v>
      </c>
      <c r="AG952" s="38">
        <f>IF(AQ952="2",BI952,0)</f>
        <v>0</v>
      </c>
      <c r="AH952" s="38">
        <f>IF(AQ952="0",BJ952,0)</f>
        <v>0</v>
      </c>
      <c r="AI952" s="50" t="s">
        <v>84</v>
      </c>
      <c r="AJ952" s="38">
        <f>IF(AN952=0,I952,0)</f>
        <v>0</v>
      </c>
      <c r="AK952" s="38">
        <f>IF(AN952=12,I952,0)</f>
        <v>0</v>
      </c>
      <c r="AL952" s="38">
        <f>IF(AN952=21,I952,0)</f>
        <v>0</v>
      </c>
      <c r="AN952" s="38">
        <v>21</v>
      </c>
      <c r="AO952" s="38">
        <f>H952*0.666666667</f>
        <v>0</v>
      </c>
      <c r="AP952" s="38">
        <f>H952*(1-0.666666667)</f>
        <v>0</v>
      </c>
      <c r="AQ952" s="72" t="s">
        <v>132</v>
      </c>
      <c r="AV952" s="38">
        <f>AW952+AX952</f>
        <v>0</v>
      </c>
      <c r="AW952" s="38">
        <f>G952*AO952</f>
        <v>0</v>
      </c>
      <c r="AX952" s="38">
        <f>G952*AP952</f>
        <v>0</v>
      </c>
      <c r="AY952" s="72" t="s">
        <v>1679</v>
      </c>
      <c r="AZ952" s="72" t="s">
        <v>1657</v>
      </c>
      <c r="BA952" s="50" t="s">
        <v>139</v>
      </c>
      <c r="BB952" s="73">
        <v>100005</v>
      </c>
      <c r="BC952" s="38">
        <f>AW952+AX952</f>
        <v>0</v>
      </c>
      <c r="BD952" s="38">
        <f>H952/(100-BE952)*100</f>
        <v>0</v>
      </c>
      <c r="BE952" s="38">
        <v>0</v>
      </c>
      <c r="BF952" s="38">
        <f>K952</f>
        <v>1E-05</v>
      </c>
      <c r="BH952" s="38">
        <f>G952*AO952</f>
        <v>0</v>
      </c>
      <c r="BI952" s="38">
        <f>G952*AP952</f>
        <v>0</v>
      </c>
      <c r="BJ952" s="38">
        <f>G952*H952</f>
        <v>0</v>
      </c>
      <c r="BK952" s="38"/>
      <c r="BL952" s="38">
        <v>95</v>
      </c>
      <c r="BW952" s="38">
        <v>21</v>
      </c>
    </row>
    <row r="953" spans="1:12" ht="13.5" customHeight="1">
      <c r="A953" s="74"/>
      <c r="D953" s="194" t="s">
        <v>1694</v>
      </c>
      <c r="E953" s="195"/>
      <c r="F953" s="195"/>
      <c r="G953" s="195"/>
      <c r="H953" s="195"/>
      <c r="I953" s="195"/>
      <c r="J953" s="195"/>
      <c r="K953" s="195"/>
      <c r="L953" s="197"/>
    </row>
    <row r="954" spans="1:12" ht="15">
      <c r="A954" s="74"/>
      <c r="D954" s="75" t="s">
        <v>132</v>
      </c>
      <c r="E954" s="75" t="s">
        <v>4</v>
      </c>
      <c r="G954" s="76">
        <v>1</v>
      </c>
      <c r="L954" s="77"/>
    </row>
    <row r="955" spans="1:75" ht="13.5" customHeight="1">
      <c r="A955" s="1" t="s">
        <v>1695</v>
      </c>
      <c r="B955" s="2" t="s">
        <v>84</v>
      </c>
      <c r="C955" s="2" t="s">
        <v>1696</v>
      </c>
      <c r="D955" s="108" t="s">
        <v>1697</v>
      </c>
      <c r="E955" s="103"/>
      <c r="F955" s="2" t="s">
        <v>199</v>
      </c>
      <c r="G955" s="38">
        <f>'Stavební rozpočet'!G955</f>
        <v>32</v>
      </c>
      <c r="H955" s="38">
        <f>'Stavební rozpočet'!H955</f>
        <v>0</v>
      </c>
      <c r="I955" s="38">
        <f>G955*H955</f>
        <v>0</v>
      </c>
      <c r="J955" s="38">
        <f>'Stavební rozpočet'!J955</f>
        <v>0</v>
      </c>
      <c r="K955" s="38">
        <f>G955*J955</f>
        <v>0</v>
      </c>
      <c r="L955" s="71" t="s">
        <v>207</v>
      </c>
      <c r="Z955" s="38">
        <f>IF(AQ955="5",BJ955,0)</f>
        <v>0</v>
      </c>
      <c r="AB955" s="38">
        <f>IF(AQ955="1",BH955,0)</f>
        <v>0</v>
      </c>
      <c r="AC955" s="38">
        <f>IF(AQ955="1",BI955,0)</f>
        <v>0</v>
      </c>
      <c r="AD955" s="38">
        <f>IF(AQ955="7",BH955,0)</f>
        <v>0</v>
      </c>
      <c r="AE955" s="38">
        <f>IF(AQ955="7",BI955,0)</f>
        <v>0</v>
      </c>
      <c r="AF955" s="38">
        <f>IF(AQ955="2",BH955,0)</f>
        <v>0</v>
      </c>
      <c r="AG955" s="38">
        <f>IF(AQ955="2",BI955,0)</f>
        <v>0</v>
      </c>
      <c r="AH955" s="38">
        <f>IF(AQ955="0",BJ955,0)</f>
        <v>0</v>
      </c>
      <c r="AI955" s="50" t="s">
        <v>84</v>
      </c>
      <c r="AJ955" s="38">
        <f>IF(AN955=0,I955,0)</f>
        <v>0</v>
      </c>
      <c r="AK955" s="38">
        <f>IF(AN955=12,I955,0)</f>
        <v>0</v>
      </c>
      <c r="AL955" s="38">
        <f>IF(AN955=21,I955,0)</f>
        <v>0</v>
      </c>
      <c r="AN955" s="38">
        <v>21</v>
      </c>
      <c r="AO955" s="38">
        <f>H955*0.51760274</f>
        <v>0</v>
      </c>
      <c r="AP955" s="38">
        <f>H955*(1-0.51760274)</f>
        <v>0</v>
      </c>
      <c r="AQ955" s="72" t="s">
        <v>132</v>
      </c>
      <c r="AV955" s="38">
        <f>AW955+AX955</f>
        <v>0</v>
      </c>
      <c r="AW955" s="38">
        <f>G955*AO955</f>
        <v>0</v>
      </c>
      <c r="AX955" s="38">
        <f>G955*AP955</f>
        <v>0</v>
      </c>
      <c r="AY955" s="72" t="s">
        <v>1679</v>
      </c>
      <c r="AZ955" s="72" t="s">
        <v>1657</v>
      </c>
      <c r="BA955" s="50" t="s">
        <v>139</v>
      </c>
      <c r="BB955" s="73">
        <v>100005</v>
      </c>
      <c r="BC955" s="38">
        <f>AW955+AX955</f>
        <v>0</v>
      </c>
      <c r="BD955" s="38">
        <f>H955/(100-BE955)*100</f>
        <v>0</v>
      </c>
      <c r="BE955" s="38">
        <v>0</v>
      </c>
      <c r="BF955" s="38">
        <f>K955</f>
        <v>0</v>
      </c>
      <c r="BH955" s="38">
        <f>G955*AO955</f>
        <v>0</v>
      </c>
      <c r="BI955" s="38">
        <f>G955*AP955</f>
        <v>0</v>
      </c>
      <c r="BJ955" s="38">
        <f>G955*H955</f>
        <v>0</v>
      </c>
      <c r="BK955" s="38"/>
      <c r="BL955" s="38">
        <v>95</v>
      </c>
      <c r="BW955" s="38">
        <v>21</v>
      </c>
    </row>
    <row r="956" spans="1:12" ht="15">
      <c r="A956" s="74"/>
      <c r="D956" s="75" t="s">
        <v>1698</v>
      </c>
      <c r="E956" s="75" t="s">
        <v>4</v>
      </c>
      <c r="G956" s="76">
        <v>32</v>
      </c>
      <c r="L956" s="77"/>
    </row>
    <row r="957" spans="1:75" ht="13.5" customHeight="1">
      <c r="A957" s="1" t="s">
        <v>1699</v>
      </c>
      <c r="B957" s="2" t="s">
        <v>84</v>
      </c>
      <c r="C957" s="2" t="s">
        <v>1700</v>
      </c>
      <c r="D957" s="108" t="s">
        <v>1701</v>
      </c>
      <c r="E957" s="103"/>
      <c r="F957" s="2" t="s">
        <v>199</v>
      </c>
      <c r="G957" s="38">
        <f>'Stavební rozpočet'!G957</f>
        <v>15</v>
      </c>
      <c r="H957" s="38">
        <f>'Stavební rozpočet'!H957</f>
        <v>0</v>
      </c>
      <c r="I957" s="38">
        <f>G957*H957</f>
        <v>0</v>
      </c>
      <c r="J957" s="38">
        <f>'Stavební rozpočet'!J957</f>
        <v>0</v>
      </c>
      <c r="K957" s="38">
        <f>G957*J957</f>
        <v>0</v>
      </c>
      <c r="L957" s="71" t="s">
        <v>136</v>
      </c>
      <c r="Z957" s="38">
        <f>IF(AQ957="5",BJ957,0)</f>
        <v>0</v>
      </c>
      <c r="AB957" s="38">
        <f>IF(AQ957="1",BH957,0)</f>
        <v>0</v>
      </c>
      <c r="AC957" s="38">
        <f>IF(AQ957="1",BI957,0)</f>
        <v>0</v>
      </c>
      <c r="AD957" s="38">
        <f>IF(AQ957="7",BH957,0)</f>
        <v>0</v>
      </c>
      <c r="AE957" s="38">
        <f>IF(AQ957="7",BI957,0)</f>
        <v>0</v>
      </c>
      <c r="AF957" s="38">
        <f>IF(AQ957="2",BH957,0)</f>
        <v>0</v>
      </c>
      <c r="AG957" s="38">
        <f>IF(AQ957="2",BI957,0)</f>
        <v>0</v>
      </c>
      <c r="AH957" s="38">
        <f>IF(AQ957="0",BJ957,0)</f>
        <v>0</v>
      </c>
      <c r="AI957" s="50" t="s">
        <v>84</v>
      </c>
      <c r="AJ957" s="38">
        <f>IF(AN957=0,I957,0)</f>
        <v>0</v>
      </c>
      <c r="AK957" s="38">
        <f>IF(AN957=12,I957,0)</f>
        <v>0</v>
      </c>
      <c r="AL957" s="38">
        <f>IF(AN957=21,I957,0)</f>
        <v>0</v>
      </c>
      <c r="AN957" s="38">
        <v>21</v>
      </c>
      <c r="AO957" s="38">
        <f>H957*0.541992463</f>
        <v>0</v>
      </c>
      <c r="AP957" s="38">
        <f>H957*(1-0.541992463)</f>
        <v>0</v>
      </c>
      <c r="AQ957" s="72" t="s">
        <v>132</v>
      </c>
      <c r="AV957" s="38">
        <f>AW957+AX957</f>
        <v>0</v>
      </c>
      <c r="AW957" s="38">
        <f>G957*AO957</f>
        <v>0</v>
      </c>
      <c r="AX957" s="38">
        <f>G957*AP957</f>
        <v>0</v>
      </c>
      <c r="AY957" s="72" t="s">
        <v>1679</v>
      </c>
      <c r="AZ957" s="72" t="s">
        <v>1657</v>
      </c>
      <c r="BA957" s="50" t="s">
        <v>139</v>
      </c>
      <c r="BB957" s="73">
        <v>100005</v>
      </c>
      <c r="BC957" s="38">
        <f>AW957+AX957</f>
        <v>0</v>
      </c>
      <c r="BD957" s="38">
        <f>H957/(100-BE957)*100</f>
        <v>0</v>
      </c>
      <c r="BE957" s="38">
        <v>0</v>
      </c>
      <c r="BF957" s="38">
        <f>K957</f>
        <v>0</v>
      </c>
      <c r="BH957" s="38">
        <f>G957*AO957</f>
        <v>0</v>
      </c>
      <c r="BI957" s="38">
        <f>G957*AP957</f>
        <v>0</v>
      </c>
      <c r="BJ957" s="38">
        <f>G957*H957</f>
        <v>0</v>
      </c>
      <c r="BK957" s="38"/>
      <c r="BL957" s="38">
        <v>95</v>
      </c>
      <c r="BW957" s="38">
        <v>21</v>
      </c>
    </row>
    <row r="958" spans="1:12" ht="13.5" customHeight="1">
      <c r="A958" s="74"/>
      <c r="D958" s="194" t="s">
        <v>1702</v>
      </c>
      <c r="E958" s="195"/>
      <c r="F958" s="195"/>
      <c r="G958" s="195"/>
      <c r="H958" s="195"/>
      <c r="I958" s="195"/>
      <c r="J958" s="195"/>
      <c r="K958" s="195"/>
      <c r="L958" s="197"/>
    </row>
    <row r="959" spans="1:12" ht="15">
      <c r="A959" s="74"/>
      <c r="D959" s="75" t="s">
        <v>217</v>
      </c>
      <c r="E959" s="75" t="s">
        <v>4</v>
      </c>
      <c r="G959" s="76">
        <v>15</v>
      </c>
      <c r="L959" s="77"/>
    </row>
    <row r="960" spans="1:47" ht="15">
      <c r="A960" s="65" t="s">
        <v>4</v>
      </c>
      <c r="B960" s="66" t="s">
        <v>84</v>
      </c>
      <c r="C960" s="66" t="s">
        <v>725</v>
      </c>
      <c r="D960" s="192" t="s">
        <v>1703</v>
      </c>
      <c r="E960" s="193"/>
      <c r="F960" s="67" t="s">
        <v>78</v>
      </c>
      <c r="G960" s="67" t="s">
        <v>78</v>
      </c>
      <c r="H960" s="67" t="s">
        <v>78</v>
      </c>
      <c r="I960" s="44">
        <f>SUM(I961:I1028)</f>
        <v>0</v>
      </c>
      <c r="J960" s="50" t="s">
        <v>4</v>
      </c>
      <c r="K960" s="44">
        <f>SUM(K961:K1028)</f>
        <v>78.81726359999999</v>
      </c>
      <c r="L960" s="69" t="s">
        <v>4</v>
      </c>
      <c r="AI960" s="50" t="s">
        <v>84</v>
      </c>
      <c r="AS960" s="44">
        <f>SUM(AJ961:AJ1028)</f>
        <v>0</v>
      </c>
      <c r="AT960" s="44">
        <f>SUM(AK961:AK1028)</f>
        <v>0</v>
      </c>
      <c r="AU960" s="44">
        <f>SUM(AL961:AL1028)</f>
        <v>0</v>
      </c>
    </row>
    <row r="961" spans="1:75" ht="13.5" customHeight="1">
      <c r="A961" s="1" t="s">
        <v>1704</v>
      </c>
      <c r="B961" s="2" t="s">
        <v>84</v>
      </c>
      <c r="C961" s="2" t="s">
        <v>1705</v>
      </c>
      <c r="D961" s="108" t="s">
        <v>1706</v>
      </c>
      <c r="E961" s="103"/>
      <c r="F961" s="2" t="s">
        <v>263</v>
      </c>
      <c r="G961" s="38">
        <f>'Stavební rozpočet'!G961</f>
        <v>19.01</v>
      </c>
      <c r="H961" s="38">
        <f>'Stavební rozpočet'!H961</f>
        <v>0</v>
      </c>
      <c r="I961" s="38">
        <f>G961*H961</f>
        <v>0</v>
      </c>
      <c r="J961" s="38">
        <f>'Stavební rozpočet'!J961</f>
        <v>0.31967</v>
      </c>
      <c r="K961" s="38">
        <f>G961*J961</f>
        <v>6.0769267000000005</v>
      </c>
      <c r="L961" s="71" t="s">
        <v>136</v>
      </c>
      <c r="Z961" s="38">
        <f>IF(AQ961="5",BJ961,0)</f>
        <v>0</v>
      </c>
      <c r="AB961" s="38">
        <f>IF(AQ961="1",BH961,0)</f>
        <v>0</v>
      </c>
      <c r="AC961" s="38">
        <f>IF(AQ961="1",BI961,0)</f>
        <v>0</v>
      </c>
      <c r="AD961" s="38">
        <f>IF(AQ961="7",BH961,0)</f>
        <v>0</v>
      </c>
      <c r="AE961" s="38">
        <f>IF(AQ961="7",BI961,0)</f>
        <v>0</v>
      </c>
      <c r="AF961" s="38">
        <f>IF(AQ961="2",BH961,0)</f>
        <v>0</v>
      </c>
      <c r="AG961" s="38">
        <f>IF(AQ961="2",BI961,0)</f>
        <v>0</v>
      </c>
      <c r="AH961" s="38">
        <f>IF(AQ961="0",BJ961,0)</f>
        <v>0</v>
      </c>
      <c r="AI961" s="50" t="s">
        <v>84</v>
      </c>
      <c r="AJ961" s="38">
        <f>IF(AN961=0,I961,0)</f>
        <v>0</v>
      </c>
      <c r="AK961" s="38">
        <f>IF(AN961=12,I961,0)</f>
        <v>0</v>
      </c>
      <c r="AL961" s="38">
        <f>IF(AN961=21,I961,0)</f>
        <v>0</v>
      </c>
      <c r="AN961" s="38">
        <v>21</v>
      </c>
      <c r="AO961" s="38">
        <f>H961*0.100671654</f>
        <v>0</v>
      </c>
      <c r="AP961" s="38">
        <f>H961*(1-0.100671654)</f>
        <v>0</v>
      </c>
      <c r="AQ961" s="72" t="s">
        <v>132</v>
      </c>
      <c r="AV961" s="38">
        <f>AW961+AX961</f>
        <v>0</v>
      </c>
      <c r="AW961" s="38">
        <f>G961*AO961</f>
        <v>0</v>
      </c>
      <c r="AX961" s="38">
        <f>G961*AP961</f>
        <v>0</v>
      </c>
      <c r="AY961" s="72" t="s">
        <v>1707</v>
      </c>
      <c r="AZ961" s="72" t="s">
        <v>1657</v>
      </c>
      <c r="BA961" s="50" t="s">
        <v>139</v>
      </c>
      <c r="BB961" s="73">
        <v>100007</v>
      </c>
      <c r="BC961" s="38">
        <f>AW961+AX961</f>
        <v>0</v>
      </c>
      <c r="BD961" s="38">
        <f>H961/(100-BE961)*100</f>
        <v>0</v>
      </c>
      <c r="BE961" s="38">
        <v>0</v>
      </c>
      <c r="BF961" s="38">
        <f>K961</f>
        <v>6.0769267000000005</v>
      </c>
      <c r="BH961" s="38">
        <f>G961*AO961</f>
        <v>0</v>
      </c>
      <c r="BI961" s="38">
        <f>G961*AP961</f>
        <v>0</v>
      </c>
      <c r="BJ961" s="38">
        <f>G961*H961</f>
        <v>0</v>
      </c>
      <c r="BK961" s="38"/>
      <c r="BL961" s="38">
        <v>96</v>
      </c>
      <c r="BW961" s="38">
        <v>21</v>
      </c>
    </row>
    <row r="962" spans="1:12" ht="15">
      <c r="A962" s="74"/>
      <c r="D962" s="75" t="s">
        <v>1708</v>
      </c>
      <c r="E962" s="75" t="s">
        <v>618</v>
      </c>
      <c r="G962" s="76">
        <v>19.01</v>
      </c>
      <c r="L962" s="77"/>
    </row>
    <row r="963" spans="1:75" ht="13.5" customHeight="1">
      <c r="A963" s="1" t="s">
        <v>1709</v>
      </c>
      <c r="B963" s="2" t="s">
        <v>84</v>
      </c>
      <c r="C963" s="2" t="s">
        <v>1710</v>
      </c>
      <c r="D963" s="108" t="s">
        <v>1711</v>
      </c>
      <c r="E963" s="103"/>
      <c r="F963" s="2" t="s">
        <v>263</v>
      </c>
      <c r="G963" s="38">
        <f>'Stavební rozpočet'!G963</f>
        <v>4.58</v>
      </c>
      <c r="H963" s="38">
        <f>'Stavební rozpočet'!H963</f>
        <v>0</v>
      </c>
      <c r="I963" s="38">
        <f>G963*H963</f>
        <v>0</v>
      </c>
      <c r="J963" s="38">
        <f>'Stavební rozpočet'!J963</f>
        <v>0.05567</v>
      </c>
      <c r="K963" s="38">
        <f>G963*J963</f>
        <v>0.2549686</v>
      </c>
      <c r="L963" s="71" t="s">
        <v>136</v>
      </c>
      <c r="Z963" s="38">
        <f>IF(AQ963="5",BJ963,0)</f>
        <v>0</v>
      </c>
      <c r="AB963" s="38">
        <f>IF(AQ963="1",BH963,0)</f>
        <v>0</v>
      </c>
      <c r="AC963" s="38">
        <f>IF(AQ963="1",BI963,0)</f>
        <v>0</v>
      </c>
      <c r="AD963" s="38">
        <f>IF(AQ963="7",BH963,0)</f>
        <v>0</v>
      </c>
      <c r="AE963" s="38">
        <f>IF(AQ963="7",BI963,0)</f>
        <v>0</v>
      </c>
      <c r="AF963" s="38">
        <f>IF(AQ963="2",BH963,0)</f>
        <v>0</v>
      </c>
      <c r="AG963" s="38">
        <f>IF(AQ963="2",BI963,0)</f>
        <v>0</v>
      </c>
      <c r="AH963" s="38">
        <f>IF(AQ963="0",BJ963,0)</f>
        <v>0</v>
      </c>
      <c r="AI963" s="50" t="s">
        <v>84</v>
      </c>
      <c r="AJ963" s="38">
        <f>IF(AN963=0,I963,0)</f>
        <v>0</v>
      </c>
      <c r="AK963" s="38">
        <f>IF(AN963=12,I963,0)</f>
        <v>0</v>
      </c>
      <c r="AL963" s="38">
        <f>IF(AN963=21,I963,0)</f>
        <v>0</v>
      </c>
      <c r="AN963" s="38">
        <v>21</v>
      </c>
      <c r="AO963" s="38">
        <f>H963*0.101239363</f>
        <v>0</v>
      </c>
      <c r="AP963" s="38">
        <f>H963*(1-0.101239363)</f>
        <v>0</v>
      </c>
      <c r="AQ963" s="72" t="s">
        <v>132</v>
      </c>
      <c r="AV963" s="38">
        <f>AW963+AX963</f>
        <v>0</v>
      </c>
      <c r="AW963" s="38">
        <f>G963*AO963</f>
        <v>0</v>
      </c>
      <c r="AX963" s="38">
        <f>G963*AP963</f>
        <v>0</v>
      </c>
      <c r="AY963" s="72" t="s">
        <v>1707</v>
      </c>
      <c r="AZ963" s="72" t="s">
        <v>1657</v>
      </c>
      <c r="BA963" s="50" t="s">
        <v>139</v>
      </c>
      <c r="BB963" s="73">
        <v>100007</v>
      </c>
      <c r="BC963" s="38">
        <f>AW963+AX963</f>
        <v>0</v>
      </c>
      <c r="BD963" s="38">
        <f>H963/(100-BE963)*100</f>
        <v>0</v>
      </c>
      <c r="BE963" s="38">
        <v>0</v>
      </c>
      <c r="BF963" s="38">
        <f>K963</f>
        <v>0.2549686</v>
      </c>
      <c r="BH963" s="38">
        <f>G963*AO963</f>
        <v>0</v>
      </c>
      <c r="BI963" s="38">
        <f>G963*AP963</f>
        <v>0</v>
      </c>
      <c r="BJ963" s="38">
        <f>G963*H963</f>
        <v>0</v>
      </c>
      <c r="BK963" s="38"/>
      <c r="BL963" s="38">
        <v>96</v>
      </c>
      <c r="BW963" s="38">
        <v>21</v>
      </c>
    </row>
    <row r="964" spans="1:12" ht="15">
      <c r="A964" s="74"/>
      <c r="D964" s="75" t="s">
        <v>1712</v>
      </c>
      <c r="E964" s="75" t="s">
        <v>4</v>
      </c>
      <c r="G964" s="76">
        <v>4.58</v>
      </c>
      <c r="L964" s="77"/>
    </row>
    <row r="965" spans="1:75" ht="13.5" customHeight="1">
      <c r="A965" s="1" t="s">
        <v>1713</v>
      </c>
      <c r="B965" s="2" t="s">
        <v>84</v>
      </c>
      <c r="C965" s="2" t="s">
        <v>1714</v>
      </c>
      <c r="D965" s="108" t="s">
        <v>1715</v>
      </c>
      <c r="E965" s="103"/>
      <c r="F965" s="2" t="s">
        <v>135</v>
      </c>
      <c r="G965" s="38">
        <f>'Stavební rozpočet'!G965</f>
        <v>11.18</v>
      </c>
      <c r="H965" s="38">
        <f>'Stavební rozpočet'!H965</f>
        <v>0</v>
      </c>
      <c r="I965" s="38">
        <f>G965*H965</f>
        <v>0</v>
      </c>
      <c r="J965" s="38">
        <f>'Stavební rozpočet'!J965</f>
        <v>1.80128</v>
      </c>
      <c r="K965" s="38">
        <f>G965*J965</f>
        <v>20.138310399999998</v>
      </c>
      <c r="L965" s="71" t="s">
        <v>136</v>
      </c>
      <c r="Z965" s="38">
        <f>IF(AQ965="5",BJ965,0)</f>
        <v>0</v>
      </c>
      <c r="AB965" s="38">
        <f>IF(AQ965="1",BH965,0)</f>
        <v>0</v>
      </c>
      <c r="AC965" s="38">
        <f>IF(AQ965="1",BI965,0)</f>
        <v>0</v>
      </c>
      <c r="AD965" s="38">
        <f>IF(AQ965="7",BH965,0)</f>
        <v>0</v>
      </c>
      <c r="AE965" s="38">
        <f>IF(AQ965="7",BI965,0)</f>
        <v>0</v>
      </c>
      <c r="AF965" s="38">
        <f>IF(AQ965="2",BH965,0)</f>
        <v>0</v>
      </c>
      <c r="AG965" s="38">
        <f>IF(AQ965="2",BI965,0)</f>
        <v>0</v>
      </c>
      <c r="AH965" s="38">
        <f>IF(AQ965="0",BJ965,0)</f>
        <v>0</v>
      </c>
      <c r="AI965" s="50" t="s">
        <v>84</v>
      </c>
      <c r="AJ965" s="38">
        <f>IF(AN965=0,I965,0)</f>
        <v>0</v>
      </c>
      <c r="AK965" s="38">
        <f>IF(AN965=12,I965,0)</f>
        <v>0</v>
      </c>
      <c r="AL965" s="38">
        <f>IF(AN965=21,I965,0)</f>
        <v>0</v>
      </c>
      <c r="AN965" s="38">
        <v>21</v>
      </c>
      <c r="AO965" s="38">
        <f>H965*0.039252632</f>
        <v>0</v>
      </c>
      <c r="AP965" s="38">
        <f>H965*(1-0.039252632)</f>
        <v>0</v>
      </c>
      <c r="AQ965" s="72" t="s">
        <v>132</v>
      </c>
      <c r="AV965" s="38">
        <f>AW965+AX965</f>
        <v>0</v>
      </c>
      <c r="AW965" s="38">
        <f>G965*AO965</f>
        <v>0</v>
      </c>
      <c r="AX965" s="38">
        <f>G965*AP965</f>
        <v>0</v>
      </c>
      <c r="AY965" s="72" t="s">
        <v>1707</v>
      </c>
      <c r="AZ965" s="72" t="s">
        <v>1657</v>
      </c>
      <c r="BA965" s="50" t="s">
        <v>139</v>
      </c>
      <c r="BB965" s="73">
        <v>100007</v>
      </c>
      <c r="BC965" s="38">
        <f>AW965+AX965</f>
        <v>0</v>
      </c>
      <c r="BD965" s="38">
        <f>H965/(100-BE965)*100</f>
        <v>0</v>
      </c>
      <c r="BE965" s="38">
        <v>0</v>
      </c>
      <c r="BF965" s="38">
        <f>K965</f>
        <v>20.138310399999998</v>
      </c>
      <c r="BH965" s="38">
        <f>G965*AO965</f>
        <v>0</v>
      </c>
      <c r="BI965" s="38">
        <f>G965*AP965</f>
        <v>0</v>
      </c>
      <c r="BJ965" s="38">
        <f>G965*H965</f>
        <v>0</v>
      </c>
      <c r="BK965" s="38"/>
      <c r="BL965" s="38">
        <v>96</v>
      </c>
      <c r="BW965" s="38">
        <v>21</v>
      </c>
    </row>
    <row r="966" spans="1:12" ht="15">
      <c r="A966" s="74"/>
      <c r="D966" s="75" t="s">
        <v>1716</v>
      </c>
      <c r="E966" s="75" t="s">
        <v>1717</v>
      </c>
      <c r="G966" s="76">
        <v>5.41</v>
      </c>
      <c r="L966" s="77"/>
    </row>
    <row r="967" spans="1:12" ht="15">
      <c r="A967" s="74"/>
      <c r="D967" s="75" t="s">
        <v>1718</v>
      </c>
      <c r="E967" s="75" t="s">
        <v>1719</v>
      </c>
      <c r="G967" s="76">
        <v>5.33</v>
      </c>
      <c r="L967" s="77"/>
    </row>
    <row r="968" spans="1:12" ht="15">
      <c r="A968" s="74"/>
      <c r="D968" s="75" t="s">
        <v>1720</v>
      </c>
      <c r="E968" s="75" t="s">
        <v>1721</v>
      </c>
      <c r="G968" s="76">
        <v>0.11</v>
      </c>
      <c r="L968" s="77"/>
    </row>
    <row r="969" spans="1:12" ht="15">
      <c r="A969" s="74"/>
      <c r="D969" s="75" t="s">
        <v>1722</v>
      </c>
      <c r="E969" s="75" t="s">
        <v>1723</v>
      </c>
      <c r="G969" s="76">
        <v>0.33</v>
      </c>
      <c r="L969" s="77"/>
    </row>
    <row r="970" spans="1:75" ht="13.5" customHeight="1">
      <c r="A970" s="1" t="s">
        <v>1724</v>
      </c>
      <c r="B970" s="2" t="s">
        <v>84</v>
      </c>
      <c r="C970" s="2" t="s">
        <v>1725</v>
      </c>
      <c r="D970" s="108" t="s">
        <v>1726</v>
      </c>
      <c r="E970" s="103"/>
      <c r="F970" s="2" t="s">
        <v>199</v>
      </c>
      <c r="G970" s="38">
        <f>'Stavební rozpočet'!G970</f>
        <v>12</v>
      </c>
      <c r="H970" s="38">
        <f>'Stavební rozpočet'!H970</f>
        <v>0</v>
      </c>
      <c r="I970" s="38">
        <f>G970*H970</f>
        <v>0</v>
      </c>
      <c r="J970" s="38">
        <f>'Stavební rozpočet'!J970</f>
        <v>0</v>
      </c>
      <c r="K970" s="38">
        <f>G970*J970</f>
        <v>0</v>
      </c>
      <c r="L970" s="71" t="s">
        <v>136</v>
      </c>
      <c r="Z970" s="38">
        <f>IF(AQ970="5",BJ970,0)</f>
        <v>0</v>
      </c>
      <c r="AB970" s="38">
        <f>IF(AQ970="1",BH970,0)</f>
        <v>0</v>
      </c>
      <c r="AC970" s="38">
        <f>IF(AQ970="1",BI970,0)</f>
        <v>0</v>
      </c>
      <c r="AD970" s="38">
        <f>IF(AQ970="7",BH970,0)</f>
        <v>0</v>
      </c>
      <c r="AE970" s="38">
        <f>IF(AQ970="7",BI970,0)</f>
        <v>0</v>
      </c>
      <c r="AF970" s="38">
        <f>IF(AQ970="2",BH970,0)</f>
        <v>0</v>
      </c>
      <c r="AG970" s="38">
        <f>IF(AQ970="2",BI970,0)</f>
        <v>0</v>
      </c>
      <c r="AH970" s="38">
        <f>IF(AQ970="0",BJ970,0)</f>
        <v>0</v>
      </c>
      <c r="AI970" s="50" t="s">
        <v>84</v>
      </c>
      <c r="AJ970" s="38">
        <f>IF(AN970=0,I970,0)</f>
        <v>0</v>
      </c>
      <c r="AK970" s="38">
        <f>IF(AN970=12,I970,0)</f>
        <v>0</v>
      </c>
      <c r="AL970" s="38">
        <f>IF(AN970=21,I970,0)</f>
        <v>0</v>
      </c>
      <c r="AN970" s="38">
        <v>21</v>
      </c>
      <c r="AO970" s="38">
        <f>H970*0</f>
        <v>0</v>
      </c>
      <c r="AP970" s="38">
        <f>H970*(1-0)</f>
        <v>0</v>
      </c>
      <c r="AQ970" s="72" t="s">
        <v>132</v>
      </c>
      <c r="AV970" s="38">
        <f>AW970+AX970</f>
        <v>0</v>
      </c>
      <c r="AW970" s="38">
        <f>G970*AO970</f>
        <v>0</v>
      </c>
      <c r="AX970" s="38">
        <f>G970*AP970</f>
        <v>0</v>
      </c>
      <c r="AY970" s="72" t="s">
        <v>1707</v>
      </c>
      <c r="AZ970" s="72" t="s">
        <v>1657</v>
      </c>
      <c r="BA970" s="50" t="s">
        <v>139</v>
      </c>
      <c r="BB970" s="73">
        <v>100007</v>
      </c>
      <c r="BC970" s="38">
        <f>AW970+AX970</f>
        <v>0</v>
      </c>
      <c r="BD970" s="38">
        <f>H970/(100-BE970)*100</f>
        <v>0</v>
      </c>
      <c r="BE970" s="38">
        <v>0</v>
      </c>
      <c r="BF970" s="38">
        <f>K970</f>
        <v>0</v>
      </c>
      <c r="BH970" s="38">
        <f>G970*AO970</f>
        <v>0</v>
      </c>
      <c r="BI970" s="38">
        <f>G970*AP970</f>
        <v>0</v>
      </c>
      <c r="BJ970" s="38">
        <f>G970*H970</f>
        <v>0</v>
      </c>
      <c r="BK970" s="38"/>
      <c r="BL970" s="38">
        <v>96</v>
      </c>
      <c r="BW970" s="38">
        <v>21</v>
      </c>
    </row>
    <row r="971" spans="1:12" ht="15">
      <c r="A971" s="74"/>
      <c r="D971" s="75" t="s">
        <v>130</v>
      </c>
      <c r="E971" s="75" t="s">
        <v>4</v>
      </c>
      <c r="G971" s="76">
        <v>12</v>
      </c>
      <c r="L971" s="77"/>
    </row>
    <row r="972" spans="1:75" ht="13.5" customHeight="1">
      <c r="A972" s="1" t="s">
        <v>1727</v>
      </c>
      <c r="B972" s="2" t="s">
        <v>84</v>
      </c>
      <c r="C972" s="2" t="s">
        <v>1728</v>
      </c>
      <c r="D972" s="108" t="s">
        <v>1729</v>
      </c>
      <c r="E972" s="103"/>
      <c r="F972" s="2" t="s">
        <v>263</v>
      </c>
      <c r="G972" s="38">
        <f>'Stavební rozpočet'!G972</f>
        <v>15.76</v>
      </c>
      <c r="H972" s="38">
        <f>'Stavební rozpočet'!H972</f>
        <v>0</v>
      </c>
      <c r="I972" s="38">
        <f>G972*H972</f>
        <v>0</v>
      </c>
      <c r="J972" s="38">
        <f>'Stavební rozpočet'!J972</f>
        <v>0.076</v>
      </c>
      <c r="K972" s="38">
        <f>G972*J972</f>
        <v>1.19776</v>
      </c>
      <c r="L972" s="71" t="s">
        <v>136</v>
      </c>
      <c r="Z972" s="38">
        <f>IF(AQ972="5",BJ972,0)</f>
        <v>0</v>
      </c>
      <c r="AB972" s="38">
        <f>IF(AQ972="1",BH972,0)</f>
        <v>0</v>
      </c>
      <c r="AC972" s="38">
        <f>IF(AQ972="1",BI972,0)</f>
        <v>0</v>
      </c>
      <c r="AD972" s="38">
        <f>IF(AQ972="7",BH972,0)</f>
        <v>0</v>
      </c>
      <c r="AE972" s="38">
        <f>IF(AQ972="7",BI972,0)</f>
        <v>0</v>
      </c>
      <c r="AF972" s="38">
        <f>IF(AQ972="2",BH972,0)</f>
        <v>0</v>
      </c>
      <c r="AG972" s="38">
        <f>IF(AQ972="2",BI972,0)</f>
        <v>0</v>
      </c>
      <c r="AH972" s="38">
        <f>IF(AQ972="0",BJ972,0)</f>
        <v>0</v>
      </c>
      <c r="AI972" s="50" t="s">
        <v>84</v>
      </c>
      <c r="AJ972" s="38">
        <f>IF(AN972=0,I972,0)</f>
        <v>0</v>
      </c>
      <c r="AK972" s="38">
        <f>IF(AN972=12,I972,0)</f>
        <v>0</v>
      </c>
      <c r="AL972" s="38">
        <f>IF(AN972=21,I972,0)</f>
        <v>0</v>
      </c>
      <c r="AN972" s="38">
        <v>21</v>
      </c>
      <c r="AO972" s="38">
        <f>H972*0.074773563</f>
        <v>0</v>
      </c>
      <c r="AP972" s="38">
        <f>H972*(1-0.074773563)</f>
        <v>0</v>
      </c>
      <c r="AQ972" s="72" t="s">
        <v>132</v>
      </c>
      <c r="AV972" s="38">
        <f>AW972+AX972</f>
        <v>0</v>
      </c>
      <c r="AW972" s="38">
        <f>G972*AO972</f>
        <v>0</v>
      </c>
      <c r="AX972" s="38">
        <f>G972*AP972</f>
        <v>0</v>
      </c>
      <c r="AY972" s="72" t="s">
        <v>1707</v>
      </c>
      <c r="AZ972" s="72" t="s">
        <v>1657</v>
      </c>
      <c r="BA972" s="50" t="s">
        <v>139</v>
      </c>
      <c r="BB972" s="73">
        <v>100007</v>
      </c>
      <c r="BC972" s="38">
        <f>AW972+AX972</f>
        <v>0</v>
      </c>
      <c r="BD972" s="38">
        <f>H972/(100-BE972)*100</f>
        <v>0</v>
      </c>
      <c r="BE972" s="38">
        <v>0</v>
      </c>
      <c r="BF972" s="38">
        <f>K972</f>
        <v>1.19776</v>
      </c>
      <c r="BH972" s="38">
        <f>G972*AO972</f>
        <v>0</v>
      </c>
      <c r="BI972" s="38">
        <f>G972*AP972</f>
        <v>0</v>
      </c>
      <c r="BJ972" s="38">
        <f>G972*H972</f>
        <v>0</v>
      </c>
      <c r="BK972" s="38"/>
      <c r="BL972" s="38">
        <v>96</v>
      </c>
      <c r="BW972" s="38">
        <v>21</v>
      </c>
    </row>
    <row r="973" spans="1:12" ht="15">
      <c r="A973" s="74"/>
      <c r="D973" s="75" t="s">
        <v>1730</v>
      </c>
      <c r="E973" s="75" t="s">
        <v>767</v>
      </c>
      <c r="G973" s="76">
        <v>15.76</v>
      </c>
      <c r="L973" s="77"/>
    </row>
    <row r="974" spans="1:75" ht="13.5" customHeight="1">
      <c r="A974" s="1" t="s">
        <v>1731</v>
      </c>
      <c r="B974" s="2" t="s">
        <v>84</v>
      </c>
      <c r="C974" s="2" t="s">
        <v>1732</v>
      </c>
      <c r="D974" s="108" t="s">
        <v>1733</v>
      </c>
      <c r="E974" s="103"/>
      <c r="F974" s="2" t="s">
        <v>263</v>
      </c>
      <c r="G974" s="38">
        <f>'Stavební rozpočet'!G974</f>
        <v>1.2</v>
      </c>
      <c r="H974" s="38">
        <f>'Stavební rozpočet'!H974</f>
        <v>0</v>
      </c>
      <c r="I974" s="38">
        <f>G974*H974</f>
        <v>0</v>
      </c>
      <c r="J974" s="38">
        <f>'Stavební rozpočet'!J974</f>
        <v>0.08917</v>
      </c>
      <c r="K974" s="38">
        <f>G974*J974</f>
        <v>0.107004</v>
      </c>
      <c r="L974" s="71" t="s">
        <v>136</v>
      </c>
      <c r="Z974" s="38">
        <f>IF(AQ974="5",BJ974,0)</f>
        <v>0</v>
      </c>
      <c r="AB974" s="38">
        <f>IF(AQ974="1",BH974,0)</f>
        <v>0</v>
      </c>
      <c r="AC974" s="38">
        <f>IF(AQ974="1",BI974,0)</f>
        <v>0</v>
      </c>
      <c r="AD974" s="38">
        <f>IF(AQ974="7",BH974,0)</f>
        <v>0</v>
      </c>
      <c r="AE974" s="38">
        <f>IF(AQ974="7",BI974,0)</f>
        <v>0</v>
      </c>
      <c r="AF974" s="38">
        <f>IF(AQ974="2",BH974,0)</f>
        <v>0</v>
      </c>
      <c r="AG974" s="38">
        <f>IF(AQ974="2",BI974,0)</f>
        <v>0</v>
      </c>
      <c r="AH974" s="38">
        <f>IF(AQ974="0",BJ974,0)</f>
        <v>0</v>
      </c>
      <c r="AI974" s="50" t="s">
        <v>84</v>
      </c>
      <c r="AJ974" s="38">
        <f>IF(AN974=0,I974,0)</f>
        <v>0</v>
      </c>
      <c r="AK974" s="38">
        <f>IF(AN974=12,I974,0)</f>
        <v>0</v>
      </c>
      <c r="AL974" s="38">
        <f>IF(AN974=21,I974,0)</f>
        <v>0</v>
      </c>
      <c r="AN974" s="38">
        <v>21</v>
      </c>
      <c r="AO974" s="38">
        <f>H974*0.119197674</f>
        <v>0</v>
      </c>
      <c r="AP974" s="38">
        <f>H974*(1-0.119197674)</f>
        <v>0</v>
      </c>
      <c r="AQ974" s="72" t="s">
        <v>132</v>
      </c>
      <c r="AV974" s="38">
        <f>AW974+AX974</f>
        <v>0</v>
      </c>
      <c r="AW974" s="38">
        <f>G974*AO974</f>
        <v>0</v>
      </c>
      <c r="AX974" s="38">
        <f>G974*AP974</f>
        <v>0</v>
      </c>
      <c r="AY974" s="72" t="s">
        <v>1707</v>
      </c>
      <c r="AZ974" s="72" t="s">
        <v>1657</v>
      </c>
      <c r="BA974" s="50" t="s">
        <v>139</v>
      </c>
      <c r="BB974" s="73">
        <v>100007</v>
      </c>
      <c r="BC974" s="38">
        <f>AW974+AX974</f>
        <v>0</v>
      </c>
      <c r="BD974" s="38">
        <f>H974/(100-BE974)*100</f>
        <v>0</v>
      </c>
      <c r="BE974" s="38">
        <v>0</v>
      </c>
      <c r="BF974" s="38">
        <f>K974</f>
        <v>0.107004</v>
      </c>
      <c r="BH974" s="38">
        <f>G974*AO974</f>
        <v>0</v>
      </c>
      <c r="BI974" s="38">
        <f>G974*AP974</f>
        <v>0</v>
      </c>
      <c r="BJ974" s="38">
        <f>G974*H974</f>
        <v>0</v>
      </c>
      <c r="BK974" s="38"/>
      <c r="BL974" s="38">
        <v>96</v>
      </c>
      <c r="BW974" s="38">
        <v>21</v>
      </c>
    </row>
    <row r="975" spans="1:12" ht="15">
      <c r="A975" s="74"/>
      <c r="D975" s="75" t="s">
        <v>1734</v>
      </c>
      <c r="E975" s="75" t="s">
        <v>4</v>
      </c>
      <c r="G975" s="76">
        <v>1.2</v>
      </c>
      <c r="L975" s="77"/>
    </row>
    <row r="976" spans="1:75" ht="13.5" customHeight="1">
      <c r="A976" s="1" t="s">
        <v>1735</v>
      </c>
      <c r="B976" s="2" t="s">
        <v>84</v>
      </c>
      <c r="C976" s="2" t="s">
        <v>1736</v>
      </c>
      <c r="D976" s="108" t="s">
        <v>1737</v>
      </c>
      <c r="E976" s="103"/>
      <c r="F976" s="2" t="s">
        <v>199</v>
      </c>
      <c r="G976" s="38">
        <f>'Stavební rozpočet'!G976</f>
        <v>2</v>
      </c>
      <c r="H976" s="38">
        <f>'Stavební rozpočet'!H976</f>
        <v>0</v>
      </c>
      <c r="I976" s="38">
        <f>G976*H976</f>
        <v>0</v>
      </c>
      <c r="J976" s="38">
        <f>'Stavební rozpočet'!J976</f>
        <v>0</v>
      </c>
      <c r="K976" s="38">
        <f>G976*J976</f>
        <v>0</v>
      </c>
      <c r="L976" s="71" t="s">
        <v>136</v>
      </c>
      <c r="Z976" s="38">
        <f>IF(AQ976="5",BJ976,0)</f>
        <v>0</v>
      </c>
      <c r="AB976" s="38">
        <f>IF(AQ976="1",BH976,0)</f>
        <v>0</v>
      </c>
      <c r="AC976" s="38">
        <f>IF(AQ976="1",BI976,0)</f>
        <v>0</v>
      </c>
      <c r="AD976" s="38">
        <f>IF(AQ976="7",BH976,0)</f>
        <v>0</v>
      </c>
      <c r="AE976" s="38">
        <f>IF(AQ976="7",BI976,0)</f>
        <v>0</v>
      </c>
      <c r="AF976" s="38">
        <f>IF(AQ976="2",BH976,0)</f>
        <v>0</v>
      </c>
      <c r="AG976" s="38">
        <f>IF(AQ976="2",BI976,0)</f>
        <v>0</v>
      </c>
      <c r="AH976" s="38">
        <f>IF(AQ976="0",BJ976,0)</f>
        <v>0</v>
      </c>
      <c r="AI976" s="50" t="s">
        <v>84</v>
      </c>
      <c r="AJ976" s="38">
        <f>IF(AN976=0,I976,0)</f>
        <v>0</v>
      </c>
      <c r="AK976" s="38">
        <f>IF(AN976=12,I976,0)</f>
        <v>0</v>
      </c>
      <c r="AL976" s="38">
        <f>IF(AN976=21,I976,0)</f>
        <v>0</v>
      </c>
      <c r="AN976" s="38">
        <v>21</v>
      </c>
      <c r="AO976" s="38">
        <f>H976*0</f>
        <v>0</v>
      </c>
      <c r="AP976" s="38">
        <f>H976*(1-0)</f>
        <v>0</v>
      </c>
      <c r="AQ976" s="72" t="s">
        <v>132</v>
      </c>
      <c r="AV976" s="38">
        <f>AW976+AX976</f>
        <v>0</v>
      </c>
      <c r="AW976" s="38">
        <f>G976*AO976</f>
        <v>0</v>
      </c>
      <c r="AX976" s="38">
        <f>G976*AP976</f>
        <v>0</v>
      </c>
      <c r="AY976" s="72" t="s">
        <v>1707</v>
      </c>
      <c r="AZ976" s="72" t="s">
        <v>1657</v>
      </c>
      <c r="BA976" s="50" t="s">
        <v>139</v>
      </c>
      <c r="BB976" s="73">
        <v>100007</v>
      </c>
      <c r="BC976" s="38">
        <f>AW976+AX976</f>
        <v>0</v>
      </c>
      <c r="BD976" s="38">
        <f>H976/(100-BE976)*100</f>
        <v>0</v>
      </c>
      <c r="BE976" s="38">
        <v>0</v>
      </c>
      <c r="BF976" s="38">
        <f>K976</f>
        <v>0</v>
      </c>
      <c r="BH976" s="38">
        <f>G976*AO976</f>
        <v>0</v>
      </c>
      <c r="BI976" s="38">
        <f>G976*AP976</f>
        <v>0</v>
      </c>
      <c r="BJ976" s="38">
        <f>G976*H976</f>
        <v>0</v>
      </c>
      <c r="BK976" s="38"/>
      <c r="BL976" s="38">
        <v>96</v>
      </c>
      <c r="BW976" s="38">
        <v>21</v>
      </c>
    </row>
    <row r="977" spans="1:12" ht="15">
      <c r="A977" s="74"/>
      <c r="D977" s="75" t="s">
        <v>143</v>
      </c>
      <c r="E977" s="75" t="s">
        <v>4</v>
      </c>
      <c r="G977" s="76">
        <v>2</v>
      </c>
      <c r="L977" s="77"/>
    </row>
    <row r="978" spans="1:75" ht="13.5" customHeight="1">
      <c r="A978" s="1" t="s">
        <v>1738</v>
      </c>
      <c r="B978" s="2" t="s">
        <v>84</v>
      </c>
      <c r="C978" s="2" t="s">
        <v>1739</v>
      </c>
      <c r="D978" s="108" t="s">
        <v>1740</v>
      </c>
      <c r="E978" s="103"/>
      <c r="F978" s="2" t="s">
        <v>199</v>
      </c>
      <c r="G978" s="38">
        <f>'Stavební rozpočet'!G978</f>
        <v>2</v>
      </c>
      <c r="H978" s="38">
        <f>'Stavební rozpočet'!H978</f>
        <v>0</v>
      </c>
      <c r="I978" s="38">
        <f>G978*H978</f>
        <v>0</v>
      </c>
      <c r="J978" s="38">
        <f>'Stavební rozpočet'!J978</f>
        <v>0</v>
      </c>
      <c r="K978" s="38">
        <f>G978*J978</f>
        <v>0</v>
      </c>
      <c r="L978" s="71" t="s">
        <v>136</v>
      </c>
      <c r="Z978" s="38">
        <f>IF(AQ978="5",BJ978,0)</f>
        <v>0</v>
      </c>
      <c r="AB978" s="38">
        <f>IF(AQ978="1",BH978,0)</f>
        <v>0</v>
      </c>
      <c r="AC978" s="38">
        <f>IF(AQ978="1",BI978,0)</f>
        <v>0</v>
      </c>
      <c r="AD978" s="38">
        <f>IF(AQ978="7",BH978,0)</f>
        <v>0</v>
      </c>
      <c r="AE978" s="38">
        <f>IF(AQ978="7",BI978,0)</f>
        <v>0</v>
      </c>
      <c r="AF978" s="38">
        <f>IF(AQ978="2",BH978,0)</f>
        <v>0</v>
      </c>
      <c r="AG978" s="38">
        <f>IF(AQ978="2",BI978,0)</f>
        <v>0</v>
      </c>
      <c r="AH978" s="38">
        <f>IF(AQ978="0",BJ978,0)</f>
        <v>0</v>
      </c>
      <c r="AI978" s="50" t="s">
        <v>84</v>
      </c>
      <c r="AJ978" s="38">
        <f>IF(AN978=0,I978,0)</f>
        <v>0</v>
      </c>
      <c r="AK978" s="38">
        <f>IF(AN978=12,I978,0)</f>
        <v>0</v>
      </c>
      <c r="AL978" s="38">
        <f>IF(AN978=21,I978,0)</f>
        <v>0</v>
      </c>
      <c r="AN978" s="38">
        <v>21</v>
      </c>
      <c r="AO978" s="38">
        <f>H978*0</f>
        <v>0</v>
      </c>
      <c r="AP978" s="38">
        <f>H978*(1-0)</f>
        <v>0</v>
      </c>
      <c r="AQ978" s="72" t="s">
        <v>132</v>
      </c>
      <c r="AV978" s="38">
        <f>AW978+AX978</f>
        <v>0</v>
      </c>
      <c r="AW978" s="38">
        <f>G978*AO978</f>
        <v>0</v>
      </c>
      <c r="AX978" s="38">
        <f>G978*AP978</f>
        <v>0</v>
      </c>
      <c r="AY978" s="72" t="s">
        <v>1707</v>
      </c>
      <c r="AZ978" s="72" t="s">
        <v>1657</v>
      </c>
      <c r="BA978" s="50" t="s">
        <v>139</v>
      </c>
      <c r="BB978" s="73">
        <v>100007</v>
      </c>
      <c r="BC978" s="38">
        <f>AW978+AX978</f>
        <v>0</v>
      </c>
      <c r="BD978" s="38">
        <f>H978/(100-BE978)*100</f>
        <v>0</v>
      </c>
      <c r="BE978" s="38">
        <v>0</v>
      </c>
      <c r="BF978" s="38">
        <f>K978</f>
        <v>0</v>
      </c>
      <c r="BH978" s="38">
        <f>G978*AO978</f>
        <v>0</v>
      </c>
      <c r="BI978" s="38">
        <f>G978*AP978</f>
        <v>0</v>
      </c>
      <c r="BJ978" s="38">
        <f>G978*H978</f>
        <v>0</v>
      </c>
      <c r="BK978" s="38"/>
      <c r="BL978" s="38">
        <v>96</v>
      </c>
      <c r="BW978" s="38">
        <v>21</v>
      </c>
    </row>
    <row r="979" spans="1:12" ht="15">
      <c r="A979" s="74"/>
      <c r="D979" s="75" t="s">
        <v>143</v>
      </c>
      <c r="E979" s="75" t="s">
        <v>4</v>
      </c>
      <c r="G979" s="76">
        <v>2</v>
      </c>
      <c r="L979" s="77"/>
    </row>
    <row r="980" spans="1:75" ht="13.5" customHeight="1">
      <c r="A980" s="1" t="s">
        <v>1741</v>
      </c>
      <c r="B980" s="2" t="s">
        <v>84</v>
      </c>
      <c r="C980" s="2" t="s">
        <v>1742</v>
      </c>
      <c r="D980" s="108" t="s">
        <v>1743</v>
      </c>
      <c r="E980" s="103"/>
      <c r="F980" s="2" t="s">
        <v>263</v>
      </c>
      <c r="G980" s="38">
        <f>'Stavební rozpočet'!G980</f>
        <v>6.09</v>
      </c>
      <c r="H980" s="38">
        <f>'Stavební rozpočet'!H980</f>
        <v>0</v>
      </c>
      <c r="I980" s="38">
        <f>G980*H980</f>
        <v>0</v>
      </c>
      <c r="J980" s="38">
        <f>'Stavební rozpočet'!J980</f>
        <v>0.04782</v>
      </c>
      <c r="K980" s="38">
        <f>G980*J980</f>
        <v>0.2912238</v>
      </c>
      <c r="L980" s="71" t="s">
        <v>136</v>
      </c>
      <c r="Z980" s="38">
        <f>IF(AQ980="5",BJ980,0)</f>
        <v>0</v>
      </c>
      <c r="AB980" s="38">
        <f>IF(AQ980="1",BH980,0)</f>
        <v>0</v>
      </c>
      <c r="AC980" s="38">
        <f>IF(AQ980="1",BI980,0)</f>
        <v>0</v>
      </c>
      <c r="AD980" s="38">
        <f>IF(AQ980="7",BH980,0)</f>
        <v>0</v>
      </c>
      <c r="AE980" s="38">
        <f>IF(AQ980="7",BI980,0)</f>
        <v>0</v>
      </c>
      <c r="AF980" s="38">
        <f>IF(AQ980="2",BH980,0)</f>
        <v>0</v>
      </c>
      <c r="AG980" s="38">
        <f>IF(AQ980="2",BI980,0)</f>
        <v>0</v>
      </c>
      <c r="AH980" s="38">
        <f>IF(AQ980="0",BJ980,0)</f>
        <v>0</v>
      </c>
      <c r="AI980" s="50" t="s">
        <v>84</v>
      </c>
      <c r="AJ980" s="38">
        <f>IF(AN980=0,I980,0)</f>
        <v>0</v>
      </c>
      <c r="AK980" s="38">
        <f>IF(AN980=12,I980,0)</f>
        <v>0</v>
      </c>
      <c r="AL980" s="38">
        <f>IF(AN980=21,I980,0)</f>
        <v>0</v>
      </c>
      <c r="AN980" s="38">
        <v>21</v>
      </c>
      <c r="AO980" s="38">
        <f>H980*0.117681159</f>
        <v>0</v>
      </c>
      <c r="AP980" s="38">
        <f>H980*(1-0.117681159)</f>
        <v>0</v>
      </c>
      <c r="AQ980" s="72" t="s">
        <v>132</v>
      </c>
      <c r="AV980" s="38">
        <f>AW980+AX980</f>
        <v>0</v>
      </c>
      <c r="AW980" s="38">
        <f>G980*AO980</f>
        <v>0</v>
      </c>
      <c r="AX980" s="38">
        <f>G980*AP980</f>
        <v>0</v>
      </c>
      <c r="AY980" s="72" t="s">
        <v>1707</v>
      </c>
      <c r="AZ980" s="72" t="s">
        <v>1657</v>
      </c>
      <c r="BA980" s="50" t="s">
        <v>139</v>
      </c>
      <c r="BB980" s="73">
        <v>100007</v>
      </c>
      <c r="BC980" s="38">
        <f>AW980+AX980</f>
        <v>0</v>
      </c>
      <c r="BD980" s="38">
        <f>H980/(100-BE980)*100</f>
        <v>0</v>
      </c>
      <c r="BE980" s="38">
        <v>0</v>
      </c>
      <c r="BF980" s="38">
        <f>K980</f>
        <v>0.2912238</v>
      </c>
      <c r="BH980" s="38">
        <f>G980*AO980</f>
        <v>0</v>
      </c>
      <c r="BI980" s="38">
        <f>G980*AP980</f>
        <v>0</v>
      </c>
      <c r="BJ980" s="38">
        <f>G980*H980</f>
        <v>0</v>
      </c>
      <c r="BK980" s="38"/>
      <c r="BL980" s="38">
        <v>96</v>
      </c>
      <c r="BW980" s="38">
        <v>21</v>
      </c>
    </row>
    <row r="981" spans="1:12" ht="15">
      <c r="A981" s="74"/>
      <c r="D981" s="75" t="s">
        <v>1744</v>
      </c>
      <c r="E981" s="75" t="s">
        <v>4</v>
      </c>
      <c r="G981" s="76">
        <v>6.09</v>
      </c>
      <c r="L981" s="77"/>
    </row>
    <row r="982" spans="1:75" ht="13.5" customHeight="1">
      <c r="A982" s="1" t="s">
        <v>1745</v>
      </c>
      <c r="B982" s="2" t="s">
        <v>84</v>
      </c>
      <c r="C982" s="2" t="s">
        <v>1746</v>
      </c>
      <c r="D982" s="108" t="s">
        <v>1747</v>
      </c>
      <c r="E982" s="103"/>
      <c r="F982" s="2" t="s">
        <v>263</v>
      </c>
      <c r="G982" s="38">
        <f>'Stavební rozpočet'!G982</f>
        <v>162.9</v>
      </c>
      <c r="H982" s="38">
        <f>'Stavební rozpočet'!H982</f>
        <v>0</v>
      </c>
      <c r="I982" s="38">
        <f>G982*H982</f>
        <v>0</v>
      </c>
      <c r="J982" s="38">
        <f>'Stavební rozpočet'!J982</f>
        <v>0.045</v>
      </c>
      <c r="K982" s="38">
        <f>G982*J982</f>
        <v>7.3305</v>
      </c>
      <c r="L982" s="71" t="s">
        <v>207</v>
      </c>
      <c r="Z982" s="38">
        <f>IF(AQ982="5",BJ982,0)</f>
        <v>0</v>
      </c>
      <c r="AB982" s="38">
        <f>IF(AQ982="1",BH982,0)</f>
        <v>0</v>
      </c>
      <c r="AC982" s="38">
        <f>IF(AQ982="1",BI982,0)</f>
        <v>0</v>
      </c>
      <c r="AD982" s="38">
        <f>IF(AQ982="7",BH982,0)</f>
        <v>0</v>
      </c>
      <c r="AE982" s="38">
        <f>IF(AQ982="7",BI982,0)</f>
        <v>0</v>
      </c>
      <c r="AF982" s="38">
        <f>IF(AQ982="2",BH982,0)</f>
        <v>0</v>
      </c>
      <c r="AG982" s="38">
        <f>IF(AQ982="2",BI982,0)</f>
        <v>0</v>
      </c>
      <c r="AH982" s="38">
        <f>IF(AQ982="0",BJ982,0)</f>
        <v>0</v>
      </c>
      <c r="AI982" s="50" t="s">
        <v>84</v>
      </c>
      <c r="AJ982" s="38">
        <f>IF(AN982=0,I982,0)</f>
        <v>0</v>
      </c>
      <c r="AK982" s="38">
        <f>IF(AN982=12,I982,0)</f>
        <v>0</v>
      </c>
      <c r="AL982" s="38">
        <f>IF(AN982=21,I982,0)</f>
        <v>0</v>
      </c>
      <c r="AN982" s="38">
        <v>21</v>
      </c>
      <c r="AO982" s="38">
        <f>H982*0</f>
        <v>0</v>
      </c>
      <c r="AP982" s="38">
        <f>H982*(1-0)</f>
        <v>0</v>
      </c>
      <c r="AQ982" s="72" t="s">
        <v>132</v>
      </c>
      <c r="AV982" s="38">
        <f>AW982+AX982</f>
        <v>0</v>
      </c>
      <c r="AW982" s="38">
        <f>G982*AO982</f>
        <v>0</v>
      </c>
      <c r="AX982" s="38">
        <f>G982*AP982</f>
        <v>0</v>
      </c>
      <c r="AY982" s="72" t="s">
        <v>1707</v>
      </c>
      <c r="AZ982" s="72" t="s">
        <v>1657</v>
      </c>
      <c r="BA982" s="50" t="s">
        <v>139</v>
      </c>
      <c r="BB982" s="73">
        <v>100007</v>
      </c>
      <c r="BC982" s="38">
        <f>AW982+AX982</f>
        <v>0</v>
      </c>
      <c r="BD982" s="38">
        <f>H982/(100-BE982)*100</f>
        <v>0</v>
      </c>
      <c r="BE982" s="38">
        <v>0</v>
      </c>
      <c r="BF982" s="38">
        <f>K982</f>
        <v>7.3305</v>
      </c>
      <c r="BH982" s="38">
        <f>G982*AO982</f>
        <v>0</v>
      </c>
      <c r="BI982" s="38">
        <f>G982*AP982</f>
        <v>0</v>
      </c>
      <c r="BJ982" s="38">
        <f>G982*H982</f>
        <v>0</v>
      </c>
      <c r="BK982" s="38"/>
      <c r="BL982" s="38">
        <v>96</v>
      </c>
      <c r="BW982" s="38">
        <v>21</v>
      </c>
    </row>
    <row r="983" spans="1:12" ht="13.5" customHeight="1">
      <c r="A983" s="74"/>
      <c r="D983" s="194" t="s">
        <v>1748</v>
      </c>
      <c r="E983" s="195"/>
      <c r="F983" s="195"/>
      <c r="G983" s="195"/>
      <c r="H983" s="195"/>
      <c r="I983" s="195"/>
      <c r="J983" s="195"/>
      <c r="K983" s="195"/>
      <c r="L983" s="197"/>
    </row>
    <row r="984" spans="1:12" ht="15">
      <c r="A984" s="74"/>
      <c r="D984" s="75" t="s">
        <v>564</v>
      </c>
      <c r="E984" s="75" t="s">
        <v>1749</v>
      </c>
      <c r="G984" s="76">
        <v>5</v>
      </c>
      <c r="L984" s="77"/>
    </row>
    <row r="985" spans="1:12" ht="15">
      <c r="A985" s="74"/>
      <c r="D985" s="75" t="s">
        <v>1750</v>
      </c>
      <c r="E985" s="75" t="s">
        <v>607</v>
      </c>
      <c r="G985" s="76">
        <v>17.8</v>
      </c>
      <c r="L985" s="77"/>
    </row>
    <row r="986" spans="1:12" ht="15">
      <c r="A986" s="74"/>
      <c r="D986" s="75" t="s">
        <v>1751</v>
      </c>
      <c r="E986" s="75" t="s">
        <v>613</v>
      </c>
      <c r="G986" s="76">
        <v>61.4</v>
      </c>
      <c r="L986" s="77"/>
    </row>
    <row r="987" spans="1:12" ht="15">
      <c r="A987" s="74"/>
      <c r="D987" s="75" t="s">
        <v>1408</v>
      </c>
      <c r="E987" s="75" t="s">
        <v>1752</v>
      </c>
      <c r="G987" s="76">
        <v>38.2</v>
      </c>
      <c r="L987" s="77"/>
    </row>
    <row r="988" spans="1:12" ht="15">
      <c r="A988" s="74"/>
      <c r="D988" s="75" t="s">
        <v>1753</v>
      </c>
      <c r="E988" s="75" t="s">
        <v>1754</v>
      </c>
      <c r="G988" s="76">
        <v>7.27</v>
      </c>
      <c r="L988" s="77"/>
    </row>
    <row r="989" spans="1:12" ht="15">
      <c r="A989" s="74"/>
      <c r="D989" s="75" t="s">
        <v>1755</v>
      </c>
      <c r="E989" s="75" t="s">
        <v>1756</v>
      </c>
      <c r="G989" s="76">
        <v>33.23</v>
      </c>
      <c r="L989" s="77"/>
    </row>
    <row r="990" spans="1:75" ht="13.5" customHeight="1">
      <c r="A990" s="1" t="s">
        <v>1757</v>
      </c>
      <c r="B990" s="2" t="s">
        <v>84</v>
      </c>
      <c r="C990" s="2" t="s">
        <v>1758</v>
      </c>
      <c r="D990" s="108" t="s">
        <v>1759</v>
      </c>
      <c r="E990" s="103"/>
      <c r="F990" s="2" t="s">
        <v>214</v>
      </c>
      <c r="G990" s="38">
        <f>'Stavební rozpočet'!G990</f>
        <v>101.7</v>
      </c>
      <c r="H990" s="38">
        <f>'Stavební rozpočet'!H990</f>
        <v>0</v>
      </c>
      <c r="I990" s="38">
        <f>G990*H990</f>
        <v>0</v>
      </c>
      <c r="J990" s="38">
        <f>'Stavební rozpočet'!J990</f>
        <v>0.00824</v>
      </c>
      <c r="K990" s="38">
        <f>G990*J990</f>
        <v>0.8380080000000001</v>
      </c>
      <c r="L990" s="71" t="s">
        <v>136</v>
      </c>
      <c r="Z990" s="38">
        <f>IF(AQ990="5",BJ990,0)</f>
        <v>0</v>
      </c>
      <c r="AB990" s="38">
        <f>IF(AQ990="1",BH990,0)</f>
        <v>0</v>
      </c>
      <c r="AC990" s="38">
        <f>IF(AQ990="1",BI990,0)</f>
        <v>0</v>
      </c>
      <c r="AD990" s="38">
        <f>IF(AQ990="7",BH990,0)</f>
        <v>0</v>
      </c>
      <c r="AE990" s="38">
        <f>IF(AQ990="7",BI990,0)</f>
        <v>0</v>
      </c>
      <c r="AF990" s="38">
        <f>IF(AQ990="2",BH990,0)</f>
        <v>0</v>
      </c>
      <c r="AG990" s="38">
        <f>IF(AQ990="2",BI990,0)</f>
        <v>0</v>
      </c>
      <c r="AH990" s="38">
        <f>IF(AQ990="0",BJ990,0)</f>
        <v>0</v>
      </c>
      <c r="AI990" s="50" t="s">
        <v>84</v>
      </c>
      <c r="AJ990" s="38">
        <f>IF(AN990=0,I990,0)</f>
        <v>0</v>
      </c>
      <c r="AK990" s="38">
        <f>IF(AN990=12,I990,0)</f>
        <v>0</v>
      </c>
      <c r="AL990" s="38">
        <f>IF(AN990=21,I990,0)</f>
        <v>0</v>
      </c>
      <c r="AN990" s="38">
        <v>21</v>
      </c>
      <c r="AO990" s="38">
        <f>H990*0</f>
        <v>0</v>
      </c>
      <c r="AP990" s="38">
        <f>H990*(1-0)</f>
        <v>0</v>
      </c>
      <c r="AQ990" s="72" t="s">
        <v>132</v>
      </c>
      <c r="AV990" s="38">
        <f>AW990+AX990</f>
        <v>0</v>
      </c>
      <c r="AW990" s="38">
        <f>G990*AO990</f>
        <v>0</v>
      </c>
      <c r="AX990" s="38">
        <f>G990*AP990</f>
        <v>0</v>
      </c>
      <c r="AY990" s="72" t="s">
        <v>1707</v>
      </c>
      <c r="AZ990" s="72" t="s">
        <v>1657</v>
      </c>
      <c r="BA990" s="50" t="s">
        <v>139</v>
      </c>
      <c r="BB990" s="73">
        <v>100007</v>
      </c>
      <c r="BC990" s="38">
        <f>AW990+AX990</f>
        <v>0</v>
      </c>
      <c r="BD990" s="38">
        <f>H990/(100-BE990)*100</f>
        <v>0</v>
      </c>
      <c r="BE990" s="38">
        <v>0</v>
      </c>
      <c r="BF990" s="38">
        <f>K990</f>
        <v>0.8380080000000001</v>
      </c>
      <c r="BH990" s="38">
        <f>G990*AO990</f>
        <v>0</v>
      </c>
      <c r="BI990" s="38">
        <f>G990*AP990</f>
        <v>0</v>
      </c>
      <c r="BJ990" s="38">
        <f>G990*H990</f>
        <v>0</v>
      </c>
      <c r="BK990" s="38"/>
      <c r="BL990" s="38">
        <v>96</v>
      </c>
      <c r="BW990" s="38">
        <v>21</v>
      </c>
    </row>
    <row r="991" spans="1:12" ht="15">
      <c r="A991" s="74"/>
      <c r="D991" s="75" t="s">
        <v>1760</v>
      </c>
      <c r="E991" s="75" t="s">
        <v>266</v>
      </c>
      <c r="G991" s="76">
        <v>101.7</v>
      </c>
      <c r="L991" s="77"/>
    </row>
    <row r="992" spans="1:75" ht="13.5" customHeight="1">
      <c r="A992" s="1" t="s">
        <v>1761</v>
      </c>
      <c r="B992" s="2" t="s">
        <v>84</v>
      </c>
      <c r="C992" s="2" t="s">
        <v>1762</v>
      </c>
      <c r="D992" s="108" t="s">
        <v>1763</v>
      </c>
      <c r="E992" s="103"/>
      <c r="F992" s="2" t="s">
        <v>135</v>
      </c>
      <c r="G992" s="38">
        <f>'Stavební rozpočet'!G992</f>
        <v>4.07</v>
      </c>
      <c r="H992" s="38">
        <f>'Stavební rozpočet'!H992</f>
        <v>0</v>
      </c>
      <c r="I992" s="38">
        <f>G992*H992</f>
        <v>0</v>
      </c>
      <c r="J992" s="38">
        <f>'Stavební rozpočet'!J992</f>
        <v>2.2</v>
      </c>
      <c r="K992" s="38">
        <f>G992*J992</f>
        <v>8.954</v>
      </c>
      <c r="L992" s="71" t="s">
        <v>136</v>
      </c>
      <c r="Z992" s="38">
        <f>IF(AQ992="5",BJ992,0)</f>
        <v>0</v>
      </c>
      <c r="AB992" s="38">
        <f>IF(AQ992="1",BH992,0)</f>
        <v>0</v>
      </c>
      <c r="AC992" s="38">
        <f>IF(AQ992="1",BI992,0)</f>
        <v>0</v>
      </c>
      <c r="AD992" s="38">
        <f>IF(AQ992="7",BH992,0)</f>
        <v>0</v>
      </c>
      <c r="AE992" s="38">
        <f>IF(AQ992="7",BI992,0)</f>
        <v>0</v>
      </c>
      <c r="AF992" s="38">
        <f>IF(AQ992="2",BH992,0)</f>
        <v>0</v>
      </c>
      <c r="AG992" s="38">
        <f>IF(AQ992="2",BI992,0)</f>
        <v>0</v>
      </c>
      <c r="AH992" s="38">
        <f>IF(AQ992="0",BJ992,0)</f>
        <v>0</v>
      </c>
      <c r="AI992" s="50" t="s">
        <v>84</v>
      </c>
      <c r="AJ992" s="38">
        <f>IF(AN992=0,I992,0)</f>
        <v>0</v>
      </c>
      <c r="AK992" s="38">
        <f>IF(AN992=12,I992,0)</f>
        <v>0</v>
      </c>
      <c r="AL992" s="38">
        <f>IF(AN992=21,I992,0)</f>
        <v>0</v>
      </c>
      <c r="AN992" s="38">
        <v>21</v>
      </c>
      <c r="AO992" s="38">
        <f>H992*0</f>
        <v>0</v>
      </c>
      <c r="AP992" s="38">
        <f>H992*(1-0)</f>
        <v>0</v>
      </c>
      <c r="AQ992" s="72" t="s">
        <v>132</v>
      </c>
      <c r="AV992" s="38">
        <f>AW992+AX992</f>
        <v>0</v>
      </c>
      <c r="AW992" s="38">
        <f>G992*AO992</f>
        <v>0</v>
      </c>
      <c r="AX992" s="38">
        <f>G992*AP992</f>
        <v>0</v>
      </c>
      <c r="AY992" s="72" t="s">
        <v>1707</v>
      </c>
      <c r="AZ992" s="72" t="s">
        <v>1657</v>
      </c>
      <c r="BA992" s="50" t="s">
        <v>139</v>
      </c>
      <c r="BB992" s="73">
        <v>100007</v>
      </c>
      <c r="BC992" s="38">
        <f>AW992+AX992</f>
        <v>0</v>
      </c>
      <c r="BD992" s="38">
        <f>H992/(100-BE992)*100</f>
        <v>0</v>
      </c>
      <c r="BE992" s="38">
        <v>0</v>
      </c>
      <c r="BF992" s="38">
        <f>K992</f>
        <v>8.954</v>
      </c>
      <c r="BH992" s="38">
        <f>G992*AO992</f>
        <v>0</v>
      </c>
      <c r="BI992" s="38">
        <f>G992*AP992</f>
        <v>0</v>
      </c>
      <c r="BJ992" s="38">
        <f>G992*H992</f>
        <v>0</v>
      </c>
      <c r="BK992" s="38"/>
      <c r="BL992" s="38">
        <v>96</v>
      </c>
      <c r="BW992" s="38">
        <v>21</v>
      </c>
    </row>
    <row r="993" spans="1:12" ht="13.5" customHeight="1">
      <c r="A993" s="74"/>
      <c r="D993" s="194" t="s">
        <v>1764</v>
      </c>
      <c r="E993" s="195"/>
      <c r="F993" s="195"/>
      <c r="G993" s="195"/>
      <c r="H993" s="195"/>
      <c r="I993" s="195"/>
      <c r="J993" s="195"/>
      <c r="K993" s="195"/>
      <c r="L993" s="197"/>
    </row>
    <row r="994" spans="1:12" ht="15">
      <c r="A994" s="74"/>
      <c r="D994" s="75" t="s">
        <v>1765</v>
      </c>
      <c r="E994" s="75" t="s">
        <v>4</v>
      </c>
      <c r="G994" s="76">
        <v>4.07</v>
      </c>
      <c r="L994" s="77"/>
    </row>
    <row r="995" spans="1:75" ht="13.5" customHeight="1">
      <c r="A995" s="1" t="s">
        <v>1766</v>
      </c>
      <c r="B995" s="2" t="s">
        <v>84</v>
      </c>
      <c r="C995" s="2" t="s">
        <v>1767</v>
      </c>
      <c r="D995" s="108" t="s">
        <v>1768</v>
      </c>
      <c r="E995" s="103"/>
      <c r="F995" s="2" t="s">
        <v>135</v>
      </c>
      <c r="G995" s="38">
        <f>'Stavební rozpočet'!G995</f>
        <v>7.89</v>
      </c>
      <c r="H995" s="38">
        <f>'Stavební rozpočet'!H995</f>
        <v>0</v>
      </c>
      <c r="I995" s="38">
        <f>G995*H995</f>
        <v>0</v>
      </c>
      <c r="J995" s="38">
        <f>'Stavební rozpočet'!J995</f>
        <v>1.6</v>
      </c>
      <c r="K995" s="38">
        <f>G995*J995</f>
        <v>12.624</v>
      </c>
      <c r="L995" s="71" t="s">
        <v>136</v>
      </c>
      <c r="Z995" s="38">
        <f>IF(AQ995="5",BJ995,0)</f>
        <v>0</v>
      </c>
      <c r="AB995" s="38">
        <f>IF(AQ995="1",BH995,0)</f>
        <v>0</v>
      </c>
      <c r="AC995" s="38">
        <f>IF(AQ995="1",BI995,0)</f>
        <v>0</v>
      </c>
      <c r="AD995" s="38">
        <f>IF(AQ995="7",BH995,0)</f>
        <v>0</v>
      </c>
      <c r="AE995" s="38">
        <f>IF(AQ995="7",BI995,0)</f>
        <v>0</v>
      </c>
      <c r="AF995" s="38">
        <f>IF(AQ995="2",BH995,0)</f>
        <v>0</v>
      </c>
      <c r="AG995" s="38">
        <f>IF(AQ995="2",BI995,0)</f>
        <v>0</v>
      </c>
      <c r="AH995" s="38">
        <f>IF(AQ995="0",BJ995,0)</f>
        <v>0</v>
      </c>
      <c r="AI995" s="50" t="s">
        <v>84</v>
      </c>
      <c r="AJ995" s="38">
        <f>IF(AN995=0,I995,0)</f>
        <v>0</v>
      </c>
      <c r="AK995" s="38">
        <f>IF(AN995=12,I995,0)</f>
        <v>0</v>
      </c>
      <c r="AL995" s="38">
        <f>IF(AN995=21,I995,0)</f>
        <v>0</v>
      </c>
      <c r="AN995" s="38">
        <v>21</v>
      </c>
      <c r="AO995" s="38">
        <f>H995*0</f>
        <v>0</v>
      </c>
      <c r="AP995" s="38">
        <f>H995*(1-0)</f>
        <v>0</v>
      </c>
      <c r="AQ995" s="72" t="s">
        <v>132</v>
      </c>
      <c r="AV995" s="38">
        <f>AW995+AX995</f>
        <v>0</v>
      </c>
      <c r="AW995" s="38">
        <f>G995*AO995</f>
        <v>0</v>
      </c>
      <c r="AX995" s="38">
        <f>G995*AP995</f>
        <v>0</v>
      </c>
      <c r="AY995" s="72" t="s">
        <v>1707</v>
      </c>
      <c r="AZ995" s="72" t="s">
        <v>1657</v>
      </c>
      <c r="BA995" s="50" t="s">
        <v>139</v>
      </c>
      <c r="BB995" s="73">
        <v>100007</v>
      </c>
      <c r="BC995" s="38">
        <f>AW995+AX995</f>
        <v>0</v>
      </c>
      <c r="BD995" s="38">
        <f>H995/(100-BE995)*100</f>
        <v>0</v>
      </c>
      <c r="BE995" s="38">
        <v>0</v>
      </c>
      <c r="BF995" s="38">
        <f>K995</f>
        <v>12.624</v>
      </c>
      <c r="BH995" s="38">
        <f>G995*AO995</f>
        <v>0</v>
      </c>
      <c r="BI995" s="38">
        <f>G995*AP995</f>
        <v>0</v>
      </c>
      <c r="BJ995" s="38">
        <f>G995*H995</f>
        <v>0</v>
      </c>
      <c r="BK995" s="38"/>
      <c r="BL995" s="38">
        <v>96</v>
      </c>
      <c r="BW995" s="38">
        <v>21</v>
      </c>
    </row>
    <row r="996" spans="1:12" ht="15">
      <c r="A996" s="74"/>
      <c r="D996" s="75" t="s">
        <v>1769</v>
      </c>
      <c r="E996" s="75" t="s">
        <v>4</v>
      </c>
      <c r="G996" s="76">
        <v>7.89</v>
      </c>
      <c r="L996" s="77"/>
    </row>
    <row r="997" spans="1:75" ht="13.5" customHeight="1">
      <c r="A997" s="1" t="s">
        <v>1770</v>
      </c>
      <c r="B997" s="2" t="s">
        <v>84</v>
      </c>
      <c r="C997" s="2" t="s">
        <v>1771</v>
      </c>
      <c r="D997" s="108" t="s">
        <v>1772</v>
      </c>
      <c r="E997" s="103"/>
      <c r="F997" s="2" t="s">
        <v>135</v>
      </c>
      <c r="G997" s="38">
        <f>'Stavební rozpočet'!G997</f>
        <v>7.89</v>
      </c>
      <c r="H997" s="38">
        <f>'Stavební rozpočet'!H997</f>
        <v>0</v>
      </c>
      <c r="I997" s="38">
        <f>G997*H997</f>
        <v>0</v>
      </c>
      <c r="J997" s="38">
        <f>'Stavební rozpočet'!J997</f>
        <v>1.4</v>
      </c>
      <c r="K997" s="38">
        <f>G997*J997</f>
        <v>11.046</v>
      </c>
      <c r="L997" s="71" t="s">
        <v>136</v>
      </c>
      <c r="Z997" s="38">
        <f>IF(AQ997="5",BJ997,0)</f>
        <v>0</v>
      </c>
      <c r="AB997" s="38">
        <f>IF(AQ997="1",BH997,0)</f>
        <v>0</v>
      </c>
      <c r="AC997" s="38">
        <f>IF(AQ997="1",BI997,0)</f>
        <v>0</v>
      </c>
      <c r="AD997" s="38">
        <f>IF(AQ997="7",BH997,0)</f>
        <v>0</v>
      </c>
      <c r="AE997" s="38">
        <f>IF(AQ997="7",BI997,0)</f>
        <v>0</v>
      </c>
      <c r="AF997" s="38">
        <f>IF(AQ997="2",BH997,0)</f>
        <v>0</v>
      </c>
      <c r="AG997" s="38">
        <f>IF(AQ997="2",BI997,0)</f>
        <v>0</v>
      </c>
      <c r="AH997" s="38">
        <f>IF(AQ997="0",BJ997,0)</f>
        <v>0</v>
      </c>
      <c r="AI997" s="50" t="s">
        <v>84</v>
      </c>
      <c r="AJ997" s="38">
        <f>IF(AN997=0,I997,0)</f>
        <v>0</v>
      </c>
      <c r="AK997" s="38">
        <f>IF(AN997=12,I997,0)</f>
        <v>0</v>
      </c>
      <c r="AL997" s="38">
        <f>IF(AN997=21,I997,0)</f>
        <v>0</v>
      </c>
      <c r="AN997" s="38">
        <v>21</v>
      </c>
      <c r="AO997" s="38">
        <f>H997*0</f>
        <v>0</v>
      </c>
      <c r="AP997" s="38">
        <f>H997*(1-0)</f>
        <v>0</v>
      </c>
      <c r="AQ997" s="72" t="s">
        <v>132</v>
      </c>
      <c r="AV997" s="38">
        <f>AW997+AX997</f>
        <v>0</v>
      </c>
      <c r="AW997" s="38">
        <f>G997*AO997</f>
        <v>0</v>
      </c>
      <c r="AX997" s="38">
        <f>G997*AP997</f>
        <v>0</v>
      </c>
      <c r="AY997" s="72" t="s">
        <v>1707</v>
      </c>
      <c r="AZ997" s="72" t="s">
        <v>1657</v>
      </c>
      <c r="BA997" s="50" t="s">
        <v>139</v>
      </c>
      <c r="BB997" s="73">
        <v>100007</v>
      </c>
      <c r="BC997" s="38">
        <f>AW997+AX997</f>
        <v>0</v>
      </c>
      <c r="BD997" s="38">
        <f>H997/(100-BE997)*100</f>
        <v>0</v>
      </c>
      <c r="BE997" s="38">
        <v>0</v>
      </c>
      <c r="BF997" s="38">
        <f>K997</f>
        <v>11.046</v>
      </c>
      <c r="BH997" s="38">
        <f>G997*AO997</f>
        <v>0</v>
      </c>
      <c r="BI997" s="38">
        <f>G997*AP997</f>
        <v>0</v>
      </c>
      <c r="BJ997" s="38">
        <f>G997*H997</f>
        <v>0</v>
      </c>
      <c r="BK997" s="38"/>
      <c r="BL997" s="38">
        <v>96</v>
      </c>
      <c r="BW997" s="38">
        <v>21</v>
      </c>
    </row>
    <row r="998" spans="1:12" ht="15">
      <c r="A998" s="74"/>
      <c r="D998" s="75" t="s">
        <v>1769</v>
      </c>
      <c r="E998" s="75" t="s">
        <v>4</v>
      </c>
      <c r="G998" s="76">
        <v>7.89</v>
      </c>
      <c r="L998" s="77"/>
    </row>
    <row r="999" spans="1:75" ht="13.5" customHeight="1">
      <c r="A999" s="1" t="s">
        <v>1773</v>
      </c>
      <c r="B999" s="2" t="s">
        <v>84</v>
      </c>
      <c r="C999" s="2" t="s">
        <v>1774</v>
      </c>
      <c r="D999" s="108" t="s">
        <v>1775</v>
      </c>
      <c r="E999" s="103"/>
      <c r="F999" s="2" t="s">
        <v>263</v>
      </c>
      <c r="G999" s="38">
        <f>'Stavební rozpočet'!G999</f>
        <v>35.37</v>
      </c>
      <c r="H999" s="38">
        <f>'Stavební rozpočet'!H999</f>
        <v>0</v>
      </c>
      <c r="I999" s="38">
        <f>G999*H999</f>
        <v>0</v>
      </c>
      <c r="J999" s="38">
        <f>'Stavební rozpočet'!J999</f>
        <v>0.02</v>
      </c>
      <c r="K999" s="38">
        <f>G999*J999</f>
        <v>0.7073999999999999</v>
      </c>
      <c r="L999" s="71" t="s">
        <v>136</v>
      </c>
      <c r="Z999" s="38">
        <f>IF(AQ999="5",BJ999,0)</f>
        <v>0</v>
      </c>
      <c r="AB999" s="38">
        <f>IF(AQ999="1",BH999,0)</f>
        <v>0</v>
      </c>
      <c r="AC999" s="38">
        <f>IF(AQ999="1",BI999,0)</f>
        <v>0</v>
      </c>
      <c r="AD999" s="38">
        <f>IF(AQ999="7",BH999,0)</f>
        <v>0</v>
      </c>
      <c r="AE999" s="38">
        <f>IF(AQ999="7",BI999,0)</f>
        <v>0</v>
      </c>
      <c r="AF999" s="38">
        <f>IF(AQ999="2",BH999,0)</f>
        <v>0</v>
      </c>
      <c r="AG999" s="38">
        <f>IF(AQ999="2",BI999,0)</f>
        <v>0</v>
      </c>
      <c r="AH999" s="38">
        <f>IF(AQ999="0",BJ999,0)</f>
        <v>0</v>
      </c>
      <c r="AI999" s="50" t="s">
        <v>84</v>
      </c>
      <c r="AJ999" s="38">
        <f>IF(AN999=0,I999,0)</f>
        <v>0</v>
      </c>
      <c r="AK999" s="38">
        <f>IF(AN999=12,I999,0)</f>
        <v>0</v>
      </c>
      <c r="AL999" s="38">
        <f>IF(AN999=21,I999,0)</f>
        <v>0</v>
      </c>
      <c r="AN999" s="38">
        <v>21</v>
      </c>
      <c r="AO999" s="38">
        <f>H999*0</f>
        <v>0</v>
      </c>
      <c r="AP999" s="38">
        <f>H999*(1-0)</f>
        <v>0</v>
      </c>
      <c r="AQ999" s="72" t="s">
        <v>132</v>
      </c>
      <c r="AV999" s="38">
        <f>AW999+AX999</f>
        <v>0</v>
      </c>
      <c r="AW999" s="38">
        <f>G999*AO999</f>
        <v>0</v>
      </c>
      <c r="AX999" s="38">
        <f>G999*AP999</f>
        <v>0</v>
      </c>
      <c r="AY999" s="72" t="s">
        <v>1707</v>
      </c>
      <c r="AZ999" s="72" t="s">
        <v>1657</v>
      </c>
      <c r="BA999" s="50" t="s">
        <v>139</v>
      </c>
      <c r="BB999" s="73">
        <v>100007</v>
      </c>
      <c r="BC999" s="38">
        <f>AW999+AX999</f>
        <v>0</v>
      </c>
      <c r="BD999" s="38">
        <f>H999/(100-BE999)*100</f>
        <v>0</v>
      </c>
      <c r="BE999" s="38">
        <v>0</v>
      </c>
      <c r="BF999" s="38">
        <f>K999</f>
        <v>0.7073999999999999</v>
      </c>
      <c r="BH999" s="38">
        <f>G999*AO999</f>
        <v>0</v>
      </c>
      <c r="BI999" s="38">
        <f>G999*AP999</f>
        <v>0</v>
      </c>
      <c r="BJ999" s="38">
        <f>G999*H999</f>
        <v>0</v>
      </c>
      <c r="BK999" s="38"/>
      <c r="BL999" s="38">
        <v>96</v>
      </c>
      <c r="BW999" s="38">
        <v>21</v>
      </c>
    </row>
    <row r="1000" spans="1:12" ht="15">
      <c r="A1000" s="74"/>
      <c r="D1000" s="75" t="s">
        <v>1776</v>
      </c>
      <c r="E1000" s="75" t="s">
        <v>690</v>
      </c>
      <c r="G1000" s="76">
        <v>24.22</v>
      </c>
      <c r="L1000" s="77"/>
    </row>
    <row r="1001" spans="1:12" ht="15">
      <c r="A1001" s="74"/>
      <c r="D1001" s="75" t="s">
        <v>320</v>
      </c>
      <c r="E1001" s="75" t="s">
        <v>1777</v>
      </c>
      <c r="G1001" s="76">
        <v>4.7</v>
      </c>
      <c r="L1001" s="77"/>
    </row>
    <row r="1002" spans="1:12" ht="15">
      <c r="A1002" s="74"/>
      <c r="D1002" s="75" t="s">
        <v>1778</v>
      </c>
      <c r="E1002" s="75" t="s">
        <v>1556</v>
      </c>
      <c r="G1002" s="76">
        <v>6.45</v>
      </c>
      <c r="L1002" s="77"/>
    </row>
    <row r="1003" spans="1:75" ht="13.5" customHeight="1">
      <c r="A1003" s="1" t="s">
        <v>1779</v>
      </c>
      <c r="B1003" s="2" t="s">
        <v>84</v>
      </c>
      <c r="C1003" s="2" t="s">
        <v>1780</v>
      </c>
      <c r="D1003" s="108" t="s">
        <v>1781</v>
      </c>
      <c r="E1003" s="103"/>
      <c r="F1003" s="2" t="s">
        <v>214</v>
      </c>
      <c r="G1003" s="38">
        <f>'Stavební rozpočet'!G1003</f>
        <v>16.5</v>
      </c>
      <c r="H1003" s="38">
        <f>'Stavební rozpočet'!H1003</f>
        <v>0</v>
      </c>
      <c r="I1003" s="38">
        <f>G1003*H1003</f>
        <v>0</v>
      </c>
      <c r="J1003" s="38">
        <f>'Stavební rozpočet'!J1003</f>
        <v>0.0004</v>
      </c>
      <c r="K1003" s="38">
        <f>G1003*J1003</f>
        <v>0.0066</v>
      </c>
      <c r="L1003" s="71" t="s">
        <v>136</v>
      </c>
      <c r="Z1003" s="38">
        <f>IF(AQ1003="5",BJ1003,0)</f>
        <v>0</v>
      </c>
      <c r="AB1003" s="38">
        <f>IF(AQ1003="1",BH1003,0)</f>
        <v>0</v>
      </c>
      <c r="AC1003" s="38">
        <f>IF(AQ1003="1",BI1003,0)</f>
        <v>0</v>
      </c>
      <c r="AD1003" s="38">
        <f>IF(AQ1003="7",BH1003,0)</f>
        <v>0</v>
      </c>
      <c r="AE1003" s="38">
        <f>IF(AQ1003="7",BI1003,0)</f>
        <v>0</v>
      </c>
      <c r="AF1003" s="38">
        <f>IF(AQ1003="2",BH1003,0)</f>
        <v>0</v>
      </c>
      <c r="AG1003" s="38">
        <f>IF(AQ1003="2",BI1003,0)</f>
        <v>0</v>
      </c>
      <c r="AH1003" s="38">
        <f>IF(AQ1003="0",BJ1003,0)</f>
        <v>0</v>
      </c>
      <c r="AI1003" s="50" t="s">
        <v>84</v>
      </c>
      <c r="AJ1003" s="38">
        <f>IF(AN1003=0,I1003,0)</f>
        <v>0</v>
      </c>
      <c r="AK1003" s="38">
        <f>IF(AN1003=12,I1003,0)</f>
        <v>0</v>
      </c>
      <c r="AL1003" s="38">
        <f>IF(AN1003=21,I1003,0)</f>
        <v>0</v>
      </c>
      <c r="AN1003" s="38">
        <v>21</v>
      </c>
      <c r="AO1003" s="38">
        <f>H1003*0</f>
        <v>0</v>
      </c>
      <c r="AP1003" s="38">
        <f>H1003*(1-0)</f>
        <v>0</v>
      </c>
      <c r="AQ1003" s="72" t="s">
        <v>132</v>
      </c>
      <c r="AV1003" s="38">
        <f>AW1003+AX1003</f>
        <v>0</v>
      </c>
      <c r="AW1003" s="38">
        <f>G1003*AO1003</f>
        <v>0</v>
      </c>
      <c r="AX1003" s="38">
        <f>G1003*AP1003</f>
        <v>0</v>
      </c>
      <c r="AY1003" s="72" t="s">
        <v>1707</v>
      </c>
      <c r="AZ1003" s="72" t="s">
        <v>1657</v>
      </c>
      <c r="BA1003" s="50" t="s">
        <v>139</v>
      </c>
      <c r="BB1003" s="73">
        <v>100007</v>
      </c>
      <c r="BC1003" s="38">
        <f>AW1003+AX1003</f>
        <v>0</v>
      </c>
      <c r="BD1003" s="38">
        <f>H1003/(100-BE1003)*100</f>
        <v>0</v>
      </c>
      <c r="BE1003" s="38">
        <v>0</v>
      </c>
      <c r="BF1003" s="38">
        <f>K1003</f>
        <v>0.0066</v>
      </c>
      <c r="BH1003" s="38">
        <f>G1003*AO1003</f>
        <v>0</v>
      </c>
      <c r="BI1003" s="38">
        <f>G1003*AP1003</f>
        <v>0</v>
      </c>
      <c r="BJ1003" s="38">
        <f>G1003*H1003</f>
        <v>0</v>
      </c>
      <c r="BK1003" s="38"/>
      <c r="BL1003" s="38">
        <v>96</v>
      </c>
      <c r="BW1003" s="38">
        <v>21</v>
      </c>
    </row>
    <row r="1004" spans="1:12" ht="15">
      <c r="A1004" s="74"/>
      <c r="D1004" s="75" t="s">
        <v>1782</v>
      </c>
      <c r="E1004" s="75" t="s">
        <v>1319</v>
      </c>
      <c r="G1004" s="76">
        <v>16.5</v>
      </c>
      <c r="L1004" s="77"/>
    </row>
    <row r="1005" spans="1:75" ht="13.5" customHeight="1">
      <c r="A1005" s="1" t="s">
        <v>1783</v>
      </c>
      <c r="B1005" s="2" t="s">
        <v>84</v>
      </c>
      <c r="C1005" s="2" t="s">
        <v>1784</v>
      </c>
      <c r="D1005" s="108" t="s">
        <v>1785</v>
      </c>
      <c r="E1005" s="103"/>
      <c r="F1005" s="2" t="s">
        <v>263</v>
      </c>
      <c r="G1005" s="38">
        <f>'Stavební rozpočet'!G1005</f>
        <v>0.73</v>
      </c>
      <c r="H1005" s="38">
        <f>'Stavební rozpočet'!H1005</f>
        <v>0</v>
      </c>
      <c r="I1005" s="38">
        <f>G1005*H1005</f>
        <v>0</v>
      </c>
      <c r="J1005" s="38">
        <f>'Stavební rozpočet'!J1005</f>
        <v>0.27534</v>
      </c>
      <c r="K1005" s="38">
        <f>G1005*J1005</f>
        <v>0.2009982</v>
      </c>
      <c r="L1005" s="71" t="s">
        <v>136</v>
      </c>
      <c r="Z1005" s="38">
        <f>IF(AQ1005="5",BJ1005,0)</f>
        <v>0</v>
      </c>
      <c r="AB1005" s="38">
        <f>IF(AQ1005="1",BH1005,0)</f>
        <v>0</v>
      </c>
      <c r="AC1005" s="38">
        <f>IF(AQ1005="1",BI1005,0)</f>
        <v>0</v>
      </c>
      <c r="AD1005" s="38">
        <f>IF(AQ1005="7",BH1005,0)</f>
        <v>0</v>
      </c>
      <c r="AE1005" s="38">
        <f>IF(AQ1005="7",BI1005,0)</f>
        <v>0</v>
      </c>
      <c r="AF1005" s="38">
        <f>IF(AQ1005="2",BH1005,0)</f>
        <v>0</v>
      </c>
      <c r="AG1005" s="38">
        <f>IF(AQ1005="2",BI1005,0)</f>
        <v>0</v>
      </c>
      <c r="AH1005" s="38">
        <f>IF(AQ1005="0",BJ1005,0)</f>
        <v>0</v>
      </c>
      <c r="AI1005" s="50" t="s">
        <v>84</v>
      </c>
      <c r="AJ1005" s="38">
        <f>IF(AN1005=0,I1005,0)</f>
        <v>0</v>
      </c>
      <c r="AK1005" s="38">
        <f>IF(AN1005=12,I1005,0)</f>
        <v>0</v>
      </c>
      <c r="AL1005" s="38">
        <f>IF(AN1005=21,I1005,0)</f>
        <v>0</v>
      </c>
      <c r="AN1005" s="38">
        <v>21</v>
      </c>
      <c r="AO1005" s="38">
        <f>H1005*0.02217205</f>
        <v>0</v>
      </c>
      <c r="AP1005" s="38">
        <f>H1005*(1-0.02217205)</f>
        <v>0</v>
      </c>
      <c r="AQ1005" s="72" t="s">
        <v>132</v>
      </c>
      <c r="AV1005" s="38">
        <f>AW1005+AX1005</f>
        <v>0</v>
      </c>
      <c r="AW1005" s="38">
        <f>G1005*AO1005</f>
        <v>0</v>
      </c>
      <c r="AX1005" s="38">
        <f>G1005*AP1005</f>
        <v>0</v>
      </c>
      <c r="AY1005" s="72" t="s">
        <v>1707</v>
      </c>
      <c r="AZ1005" s="72" t="s">
        <v>1657</v>
      </c>
      <c r="BA1005" s="50" t="s">
        <v>139</v>
      </c>
      <c r="BB1005" s="73">
        <v>100007</v>
      </c>
      <c r="BC1005" s="38">
        <f>AW1005+AX1005</f>
        <v>0</v>
      </c>
      <c r="BD1005" s="38">
        <f>H1005/(100-BE1005)*100</f>
        <v>0</v>
      </c>
      <c r="BE1005" s="38">
        <v>0</v>
      </c>
      <c r="BF1005" s="38">
        <f>K1005</f>
        <v>0.2009982</v>
      </c>
      <c r="BH1005" s="38">
        <f>G1005*AO1005</f>
        <v>0</v>
      </c>
      <c r="BI1005" s="38">
        <f>G1005*AP1005</f>
        <v>0</v>
      </c>
      <c r="BJ1005" s="38">
        <f>G1005*H1005</f>
        <v>0</v>
      </c>
      <c r="BK1005" s="38"/>
      <c r="BL1005" s="38">
        <v>96</v>
      </c>
      <c r="BW1005" s="38">
        <v>21</v>
      </c>
    </row>
    <row r="1006" spans="1:12" ht="15">
      <c r="A1006" s="74"/>
      <c r="D1006" s="75" t="s">
        <v>1786</v>
      </c>
      <c r="E1006" s="75" t="s">
        <v>1787</v>
      </c>
      <c r="G1006" s="76">
        <v>0.73</v>
      </c>
      <c r="L1006" s="77"/>
    </row>
    <row r="1007" spans="1:75" ht="13.5" customHeight="1">
      <c r="A1007" s="1" t="s">
        <v>1788</v>
      </c>
      <c r="B1007" s="2" t="s">
        <v>84</v>
      </c>
      <c r="C1007" s="2" t="s">
        <v>1789</v>
      </c>
      <c r="D1007" s="108" t="s">
        <v>1790</v>
      </c>
      <c r="E1007" s="103"/>
      <c r="F1007" s="2" t="s">
        <v>263</v>
      </c>
      <c r="G1007" s="38">
        <f>'Stavební rozpočet'!G1007</f>
        <v>1.27</v>
      </c>
      <c r="H1007" s="38">
        <f>'Stavební rozpočet'!H1007</f>
        <v>0</v>
      </c>
      <c r="I1007" s="38">
        <f>G1007*H1007</f>
        <v>0</v>
      </c>
      <c r="J1007" s="38">
        <f>'Stavební rozpočet'!J1007</f>
        <v>0.54534</v>
      </c>
      <c r="K1007" s="38">
        <f>G1007*J1007</f>
        <v>0.6925818</v>
      </c>
      <c r="L1007" s="71" t="s">
        <v>136</v>
      </c>
      <c r="Z1007" s="38">
        <f>IF(AQ1007="5",BJ1007,0)</f>
        <v>0</v>
      </c>
      <c r="AB1007" s="38">
        <f>IF(AQ1007="1",BH1007,0)</f>
        <v>0</v>
      </c>
      <c r="AC1007" s="38">
        <f>IF(AQ1007="1",BI1007,0)</f>
        <v>0</v>
      </c>
      <c r="AD1007" s="38">
        <f>IF(AQ1007="7",BH1007,0)</f>
        <v>0</v>
      </c>
      <c r="AE1007" s="38">
        <f>IF(AQ1007="7",BI1007,0)</f>
        <v>0</v>
      </c>
      <c r="AF1007" s="38">
        <f>IF(AQ1007="2",BH1007,0)</f>
        <v>0</v>
      </c>
      <c r="AG1007" s="38">
        <f>IF(AQ1007="2",BI1007,0)</f>
        <v>0</v>
      </c>
      <c r="AH1007" s="38">
        <f>IF(AQ1007="0",BJ1007,0)</f>
        <v>0</v>
      </c>
      <c r="AI1007" s="50" t="s">
        <v>84</v>
      </c>
      <c r="AJ1007" s="38">
        <f>IF(AN1007=0,I1007,0)</f>
        <v>0</v>
      </c>
      <c r="AK1007" s="38">
        <f>IF(AN1007=12,I1007,0)</f>
        <v>0</v>
      </c>
      <c r="AL1007" s="38">
        <f>IF(AN1007=21,I1007,0)</f>
        <v>0</v>
      </c>
      <c r="AN1007" s="38">
        <v>21</v>
      </c>
      <c r="AO1007" s="38">
        <f>H1007*0.015448507</f>
        <v>0</v>
      </c>
      <c r="AP1007" s="38">
        <f>H1007*(1-0.015448507)</f>
        <v>0</v>
      </c>
      <c r="AQ1007" s="72" t="s">
        <v>132</v>
      </c>
      <c r="AV1007" s="38">
        <f>AW1007+AX1007</f>
        <v>0</v>
      </c>
      <c r="AW1007" s="38">
        <f>G1007*AO1007</f>
        <v>0</v>
      </c>
      <c r="AX1007" s="38">
        <f>G1007*AP1007</f>
        <v>0</v>
      </c>
      <c r="AY1007" s="72" t="s">
        <v>1707</v>
      </c>
      <c r="AZ1007" s="72" t="s">
        <v>1657</v>
      </c>
      <c r="BA1007" s="50" t="s">
        <v>139</v>
      </c>
      <c r="BB1007" s="73">
        <v>100007</v>
      </c>
      <c r="BC1007" s="38">
        <f>AW1007+AX1007</f>
        <v>0</v>
      </c>
      <c r="BD1007" s="38">
        <f>H1007/(100-BE1007)*100</f>
        <v>0</v>
      </c>
      <c r="BE1007" s="38">
        <v>0</v>
      </c>
      <c r="BF1007" s="38">
        <f>K1007</f>
        <v>0.6925818</v>
      </c>
      <c r="BH1007" s="38">
        <f>G1007*AO1007</f>
        <v>0</v>
      </c>
      <c r="BI1007" s="38">
        <f>G1007*AP1007</f>
        <v>0</v>
      </c>
      <c r="BJ1007" s="38">
        <f>G1007*H1007</f>
        <v>0</v>
      </c>
      <c r="BK1007" s="38"/>
      <c r="BL1007" s="38">
        <v>96</v>
      </c>
      <c r="BW1007" s="38">
        <v>21</v>
      </c>
    </row>
    <row r="1008" spans="1:12" ht="15">
      <c r="A1008" s="74"/>
      <c r="D1008" s="75" t="s">
        <v>1791</v>
      </c>
      <c r="E1008" s="75" t="s">
        <v>1792</v>
      </c>
      <c r="G1008" s="76">
        <v>1.27</v>
      </c>
      <c r="L1008" s="77"/>
    </row>
    <row r="1009" spans="1:75" ht="13.5" customHeight="1">
      <c r="A1009" s="1" t="s">
        <v>1793</v>
      </c>
      <c r="B1009" s="2" t="s">
        <v>84</v>
      </c>
      <c r="C1009" s="2" t="s">
        <v>1794</v>
      </c>
      <c r="D1009" s="108" t="s">
        <v>1795</v>
      </c>
      <c r="E1009" s="103"/>
      <c r="F1009" s="2" t="s">
        <v>135</v>
      </c>
      <c r="G1009" s="38">
        <f>'Stavební rozpočet'!G1009</f>
        <v>0.56</v>
      </c>
      <c r="H1009" s="38">
        <f>'Stavební rozpočet'!H1009</f>
        <v>0</v>
      </c>
      <c r="I1009" s="38">
        <f>G1009*H1009</f>
        <v>0</v>
      </c>
      <c r="J1009" s="38">
        <f>'Stavební rozpočet'!J1009</f>
        <v>2.2</v>
      </c>
      <c r="K1009" s="38">
        <f>G1009*J1009</f>
        <v>1.2320000000000002</v>
      </c>
      <c r="L1009" s="71" t="s">
        <v>136</v>
      </c>
      <c r="Z1009" s="38">
        <f>IF(AQ1009="5",BJ1009,0)</f>
        <v>0</v>
      </c>
      <c r="AB1009" s="38">
        <f>IF(AQ1009="1",BH1009,0)</f>
        <v>0</v>
      </c>
      <c r="AC1009" s="38">
        <f>IF(AQ1009="1",BI1009,0)</f>
        <v>0</v>
      </c>
      <c r="AD1009" s="38">
        <f>IF(AQ1009="7",BH1009,0)</f>
        <v>0</v>
      </c>
      <c r="AE1009" s="38">
        <f>IF(AQ1009="7",BI1009,0)</f>
        <v>0</v>
      </c>
      <c r="AF1009" s="38">
        <f>IF(AQ1009="2",BH1009,0)</f>
        <v>0</v>
      </c>
      <c r="AG1009" s="38">
        <f>IF(AQ1009="2",BI1009,0)</f>
        <v>0</v>
      </c>
      <c r="AH1009" s="38">
        <f>IF(AQ1009="0",BJ1009,0)</f>
        <v>0</v>
      </c>
      <c r="AI1009" s="50" t="s">
        <v>84</v>
      </c>
      <c r="AJ1009" s="38">
        <f>IF(AN1009=0,I1009,0)</f>
        <v>0</v>
      </c>
      <c r="AK1009" s="38">
        <f>IF(AN1009=12,I1009,0)</f>
        <v>0</v>
      </c>
      <c r="AL1009" s="38">
        <f>IF(AN1009=21,I1009,0)</f>
        <v>0</v>
      </c>
      <c r="AN1009" s="38">
        <v>21</v>
      </c>
      <c r="AO1009" s="38">
        <f>H1009*0</f>
        <v>0</v>
      </c>
      <c r="AP1009" s="38">
        <f>H1009*(1-0)</f>
        <v>0</v>
      </c>
      <c r="AQ1009" s="72" t="s">
        <v>132</v>
      </c>
      <c r="AV1009" s="38">
        <f>AW1009+AX1009</f>
        <v>0</v>
      </c>
      <c r="AW1009" s="38">
        <f>G1009*AO1009</f>
        <v>0</v>
      </c>
      <c r="AX1009" s="38">
        <f>G1009*AP1009</f>
        <v>0</v>
      </c>
      <c r="AY1009" s="72" t="s">
        <v>1707</v>
      </c>
      <c r="AZ1009" s="72" t="s">
        <v>1657</v>
      </c>
      <c r="BA1009" s="50" t="s">
        <v>139</v>
      </c>
      <c r="BB1009" s="73">
        <v>100007</v>
      </c>
      <c r="BC1009" s="38">
        <f>AW1009+AX1009</f>
        <v>0</v>
      </c>
      <c r="BD1009" s="38">
        <f>H1009/(100-BE1009)*100</f>
        <v>0</v>
      </c>
      <c r="BE1009" s="38">
        <v>0</v>
      </c>
      <c r="BF1009" s="38">
        <f>K1009</f>
        <v>1.2320000000000002</v>
      </c>
      <c r="BH1009" s="38">
        <f>G1009*AO1009</f>
        <v>0</v>
      </c>
      <c r="BI1009" s="38">
        <f>G1009*AP1009</f>
        <v>0</v>
      </c>
      <c r="BJ1009" s="38">
        <f>G1009*H1009</f>
        <v>0</v>
      </c>
      <c r="BK1009" s="38"/>
      <c r="BL1009" s="38">
        <v>96</v>
      </c>
      <c r="BW1009" s="38">
        <v>21</v>
      </c>
    </row>
    <row r="1010" spans="1:12" ht="13.5" customHeight="1">
      <c r="A1010" s="74"/>
      <c r="D1010" s="194" t="s">
        <v>1796</v>
      </c>
      <c r="E1010" s="195"/>
      <c r="F1010" s="195"/>
      <c r="G1010" s="195"/>
      <c r="H1010" s="195"/>
      <c r="I1010" s="195"/>
      <c r="J1010" s="195"/>
      <c r="K1010" s="195"/>
      <c r="L1010" s="197"/>
    </row>
    <row r="1011" spans="1:12" ht="15">
      <c r="A1011" s="74"/>
      <c r="D1011" s="75" t="s">
        <v>1797</v>
      </c>
      <c r="E1011" s="75" t="s">
        <v>974</v>
      </c>
      <c r="G1011" s="76">
        <v>0.56</v>
      </c>
      <c r="L1011" s="77"/>
    </row>
    <row r="1012" spans="1:75" ht="13.5" customHeight="1">
      <c r="A1012" s="1" t="s">
        <v>1798</v>
      </c>
      <c r="B1012" s="2" t="s">
        <v>84</v>
      </c>
      <c r="C1012" s="2" t="s">
        <v>1799</v>
      </c>
      <c r="D1012" s="108" t="s">
        <v>1800</v>
      </c>
      <c r="E1012" s="103"/>
      <c r="F1012" s="2" t="s">
        <v>135</v>
      </c>
      <c r="G1012" s="38">
        <f>'Stavební rozpočet'!G1012</f>
        <v>0.74</v>
      </c>
      <c r="H1012" s="38">
        <f>'Stavební rozpočet'!H1012</f>
        <v>0</v>
      </c>
      <c r="I1012" s="38">
        <f>G1012*H1012</f>
        <v>0</v>
      </c>
      <c r="J1012" s="38">
        <f>'Stavební rozpočet'!J1012</f>
        <v>2.2</v>
      </c>
      <c r="K1012" s="38">
        <f>G1012*J1012</f>
        <v>1.6280000000000001</v>
      </c>
      <c r="L1012" s="71" t="s">
        <v>136</v>
      </c>
      <c r="Z1012" s="38">
        <f>IF(AQ1012="5",BJ1012,0)</f>
        <v>0</v>
      </c>
      <c r="AB1012" s="38">
        <f>IF(AQ1012="1",BH1012,0)</f>
        <v>0</v>
      </c>
      <c r="AC1012" s="38">
        <f>IF(AQ1012="1",BI1012,0)</f>
        <v>0</v>
      </c>
      <c r="AD1012" s="38">
        <f>IF(AQ1012="7",BH1012,0)</f>
        <v>0</v>
      </c>
      <c r="AE1012" s="38">
        <f>IF(AQ1012="7",BI1012,0)</f>
        <v>0</v>
      </c>
      <c r="AF1012" s="38">
        <f>IF(AQ1012="2",BH1012,0)</f>
        <v>0</v>
      </c>
      <c r="AG1012" s="38">
        <f>IF(AQ1012="2",BI1012,0)</f>
        <v>0</v>
      </c>
      <c r="AH1012" s="38">
        <f>IF(AQ1012="0",BJ1012,0)</f>
        <v>0</v>
      </c>
      <c r="AI1012" s="50" t="s">
        <v>84</v>
      </c>
      <c r="AJ1012" s="38">
        <f>IF(AN1012=0,I1012,0)</f>
        <v>0</v>
      </c>
      <c r="AK1012" s="38">
        <f>IF(AN1012=12,I1012,0)</f>
        <v>0</v>
      </c>
      <c r="AL1012" s="38">
        <f>IF(AN1012=21,I1012,0)</f>
        <v>0</v>
      </c>
      <c r="AN1012" s="38">
        <v>21</v>
      </c>
      <c r="AO1012" s="38">
        <f>H1012*0</f>
        <v>0</v>
      </c>
      <c r="AP1012" s="38">
        <f>H1012*(1-0)</f>
        <v>0</v>
      </c>
      <c r="AQ1012" s="72" t="s">
        <v>132</v>
      </c>
      <c r="AV1012" s="38">
        <f>AW1012+AX1012</f>
        <v>0</v>
      </c>
      <c r="AW1012" s="38">
        <f>G1012*AO1012</f>
        <v>0</v>
      </c>
      <c r="AX1012" s="38">
        <f>G1012*AP1012</f>
        <v>0</v>
      </c>
      <c r="AY1012" s="72" t="s">
        <v>1707</v>
      </c>
      <c r="AZ1012" s="72" t="s">
        <v>1657</v>
      </c>
      <c r="BA1012" s="50" t="s">
        <v>139</v>
      </c>
      <c r="BB1012" s="73">
        <v>100007</v>
      </c>
      <c r="BC1012" s="38">
        <f>AW1012+AX1012</f>
        <v>0</v>
      </c>
      <c r="BD1012" s="38">
        <f>H1012/(100-BE1012)*100</f>
        <v>0</v>
      </c>
      <c r="BE1012" s="38">
        <v>0</v>
      </c>
      <c r="BF1012" s="38">
        <f>K1012</f>
        <v>1.6280000000000001</v>
      </c>
      <c r="BH1012" s="38">
        <f>G1012*AO1012</f>
        <v>0</v>
      </c>
      <c r="BI1012" s="38">
        <f>G1012*AP1012</f>
        <v>0</v>
      </c>
      <c r="BJ1012" s="38">
        <f>G1012*H1012</f>
        <v>0</v>
      </c>
      <c r="BK1012" s="38"/>
      <c r="BL1012" s="38">
        <v>96</v>
      </c>
      <c r="BW1012" s="38">
        <v>21</v>
      </c>
    </row>
    <row r="1013" spans="1:12" ht="15">
      <c r="A1013" s="74"/>
      <c r="D1013" s="75" t="s">
        <v>1801</v>
      </c>
      <c r="E1013" s="75" t="s">
        <v>523</v>
      </c>
      <c r="G1013" s="76">
        <v>0.45</v>
      </c>
      <c r="L1013" s="77"/>
    </row>
    <row r="1014" spans="1:12" ht="15">
      <c r="A1014" s="74"/>
      <c r="D1014" s="75" t="s">
        <v>1802</v>
      </c>
      <c r="E1014" s="75" t="s">
        <v>979</v>
      </c>
      <c r="G1014" s="76">
        <v>0.29</v>
      </c>
      <c r="L1014" s="77"/>
    </row>
    <row r="1015" spans="1:75" ht="13.5" customHeight="1">
      <c r="A1015" s="1" t="s">
        <v>1803</v>
      </c>
      <c r="B1015" s="2" t="s">
        <v>84</v>
      </c>
      <c r="C1015" s="2" t="s">
        <v>1804</v>
      </c>
      <c r="D1015" s="108" t="s">
        <v>1805</v>
      </c>
      <c r="E1015" s="103"/>
      <c r="F1015" s="2" t="s">
        <v>263</v>
      </c>
      <c r="G1015" s="38">
        <f>'Stavební rozpočet'!G1015</f>
        <v>25.87</v>
      </c>
      <c r="H1015" s="38">
        <f>'Stavební rozpočet'!H1015</f>
        <v>0</v>
      </c>
      <c r="I1015" s="38">
        <f>G1015*H1015</f>
        <v>0</v>
      </c>
      <c r="J1015" s="38">
        <f>'Stavební rozpočet'!J1015</f>
        <v>0.00175</v>
      </c>
      <c r="K1015" s="38">
        <f>G1015*J1015</f>
        <v>0.0452725</v>
      </c>
      <c r="L1015" s="71" t="s">
        <v>136</v>
      </c>
      <c r="Z1015" s="38">
        <f>IF(AQ1015="5",BJ1015,0)</f>
        <v>0</v>
      </c>
      <c r="AB1015" s="38">
        <f>IF(AQ1015="1",BH1015,0)</f>
        <v>0</v>
      </c>
      <c r="AC1015" s="38">
        <f>IF(AQ1015="1",BI1015,0)</f>
        <v>0</v>
      </c>
      <c r="AD1015" s="38">
        <f>IF(AQ1015="7",BH1015,0)</f>
        <v>0</v>
      </c>
      <c r="AE1015" s="38">
        <f>IF(AQ1015="7",BI1015,0)</f>
        <v>0</v>
      </c>
      <c r="AF1015" s="38">
        <f>IF(AQ1015="2",BH1015,0)</f>
        <v>0</v>
      </c>
      <c r="AG1015" s="38">
        <f>IF(AQ1015="2",BI1015,0)</f>
        <v>0</v>
      </c>
      <c r="AH1015" s="38">
        <f>IF(AQ1015="0",BJ1015,0)</f>
        <v>0</v>
      </c>
      <c r="AI1015" s="50" t="s">
        <v>84</v>
      </c>
      <c r="AJ1015" s="38">
        <f>IF(AN1015=0,I1015,0)</f>
        <v>0</v>
      </c>
      <c r="AK1015" s="38">
        <f>IF(AN1015=12,I1015,0)</f>
        <v>0</v>
      </c>
      <c r="AL1015" s="38">
        <f>IF(AN1015=21,I1015,0)</f>
        <v>0</v>
      </c>
      <c r="AN1015" s="38">
        <v>21</v>
      </c>
      <c r="AO1015" s="38">
        <f>H1015*0</f>
        <v>0</v>
      </c>
      <c r="AP1015" s="38">
        <f>H1015*(1-0)</f>
        <v>0</v>
      </c>
      <c r="AQ1015" s="72" t="s">
        <v>132</v>
      </c>
      <c r="AV1015" s="38">
        <f>AW1015+AX1015</f>
        <v>0</v>
      </c>
      <c r="AW1015" s="38">
        <f>G1015*AO1015</f>
        <v>0</v>
      </c>
      <c r="AX1015" s="38">
        <f>G1015*AP1015</f>
        <v>0</v>
      </c>
      <c r="AY1015" s="72" t="s">
        <v>1707</v>
      </c>
      <c r="AZ1015" s="72" t="s">
        <v>1657</v>
      </c>
      <c r="BA1015" s="50" t="s">
        <v>139</v>
      </c>
      <c r="BB1015" s="73">
        <v>100007</v>
      </c>
      <c r="BC1015" s="38">
        <f>AW1015+AX1015</f>
        <v>0</v>
      </c>
      <c r="BD1015" s="38">
        <f>H1015/(100-BE1015)*100</f>
        <v>0</v>
      </c>
      <c r="BE1015" s="38">
        <v>0</v>
      </c>
      <c r="BF1015" s="38">
        <f>K1015</f>
        <v>0.0452725</v>
      </c>
      <c r="BH1015" s="38">
        <f>G1015*AO1015</f>
        <v>0</v>
      </c>
      <c r="BI1015" s="38">
        <f>G1015*AP1015</f>
        <v>0</v>
      </c>
      <c r="BJ1015" s="38">
        <f>G1015*H1015</f>
        <v>0</v>
      </c>
      <c r="BK1015" s="38"/>
      <c r="BL1015" s="38">
        <v>96</v>
      </c>
      <c r="BW1015" s="38">
        <v>21</v>
      </c>
    </row>
    <row r="1016" spans="1:12" ht="15">
      <c r="A1016" s="74"/>
      <c r="D1016" s="75" t="s">
        <v>1806</v>
      </c>
      <c r="E1016" s="75" t="s">
        <v>1807</v>
      </c>
      <c r="G1016" s="76">
        <v>19.42</v>
      </c>
      <c r="L1016" s="77"/>
    </row>
    <row r="1017" spans="1:12" ht="15">
      <c r="A1017" s="74"/>
      <c r="D1017" s="75" t="s">
        <v>1778</v>
      </c>
      <c r="E1017" s="75" t="s">
        <v>1556</v>
      </c>
      <c r="G1017" s="76">
        <v>6.45</v>
      </c>
      <c r="L1017" s="77"/>
    </row>
    <row r="1018" spans="1:75" ht="13.5" customHeight="1">
      <c r="A1018" s="1" t="s">
        <v>1808</v>
      </c>
      <c r="B1018" s="2" t="s">
        <v>84</v>
      </c>
      <c r="C1018" s="2" t="s">
        <v>1809</v>
      </c>
      <c r="D1018" s="108" t="s">
        <v>1810</v>
      </c>
      <c r="E1018" s="103"/>
      <c r="F1018" s="2" t="s">
        <v>135</v>
      </c>
      <c r="G1018" s="38">
        <f>'Stavební rozpočet'!G1018</f>
        <v>1.56</v>
      </c>
      <c r="H1018" s="38">
        <f>'Stavební rozpočet'!H1018</f>
        <v>0</v>
      </c>
      <c r="I1018" s="38">
        <f>G1018*H1018</f>
        <v>0</v>
      </c>
      <c r="J1018" s="38">
        <f>'Stavební rozpočet'!J1018</f>
        <v>2.40666</v>
      </c>
      <c r="K1018" s="38">
        <f>G1018*J1018</f>
        <v>3.7543896</v>
      </c>
      <c r="L1018" s="71" t="s">
        <v>136</v>
      </c>
      <c r="Z1018" s="38">
        <f>IF(AQ1018="5",BJ1018,0)</f>
        <v>0</v>
      </c>
      <c r="AB1018" s="38">
        <f>IF(AQ1018="1",BH1018,0)</f>
        <v>0</v>
      </c>
      <c r="AC1018" s="38">
        <f>IF(AQ1018="1",BI1018,0)</f>
        <v>0</v>
      </c>
      <c r="AD1018" s="38">
        <f>IF(AQ1018="7",BH1018,0)</f>
        <v>0</v>
      </c>
      <c r="AE1018" s="38">
        <f>IF(AQ1018="7",BI1018,0)</f>
        <v>0</v>
      </c>
      <c r="AF1018" s="38">
        <f>IF(AQ1018="2",BH1018,0)</f>
        <v>0</v>
      </c>
      <c r="AG1018" s="38">
        <f>IF(AQ1018="2",BI1018,0)</f>
        <v>0</v>
      </c>
      <c r="AH1018" s="38">
        <f>IF(AQ1018="0",BJ1018,0)</f>
        <v>0</v>
      </c>
      <c r="AI1018" s="50" t="s">
        <v>84</v>
      </c>
      <c r="AJ1018" s="38">
        <f>IF(AN1018=0,I1018,0)</f>
        <v>0</v>
      </c>
      <c r="AK1018" s="38">
        <f>IF(AN1018=12,I1018,0)</f>
        <v>0</v>
      </c>
      <c r="AL1018" s="38">
        <f>IF(AN1018=21,I1018,0)</f>
        <v>0</v>
      </c>
      <c r="AN1018" s="38">
        <v>21</v>
      </c>
      <c r="AO1018" s="38">
        <f>H1018*0.045830602</f>
        <v>0</v>
      </c>
      <c r="AP1018" s="38">
        <f>H1018*(1-0.045830602)</f>
        <v>0</v>
      </c>
      <c r="AQ1018" s="72" t="s">
        <v>132</v>
      </c>
      <c r="AV1018" s="38">
        <f>AW1018+AX1018</f>
        <v>0</v>
      </c>
      <c r="AW1018" s="38">
        <f>G1018*AO1018</f>
        <v>0</v>
      </c>
      <c r="AX1018" s="38">
        <f>G1018*AP1018</f>
        <v>0</v>
      </c>
      <c r="AY1018" s="72" t="s">
        <v>1707</v>
      </c>
      <c r="AZ1018" s="72" t="s">
        <v>1657</v>
      </c>
      <c r="BA1018" s="50" t="s">
        <v>139</v>
      </c>
      <c r="BB1018" s="73">
        <v>100007</v>
      </c>
      <c r="BC1018" s="38">
        <f>AW1018+AX1018</f>
        <v>0</v>
      </c>
      <c r="BD1018" s="38">
        <f>H1018/(100-BE1018)*100</f>
        <v>0</v>
      </c>
      <c r="BE1018" s="38">
        <v>0</v>
      </c>
      <c r="BF1018" s="38">
        <f>K1018</f>
        <v>3.7543896</v>
      </c>
      <c r="BH1018" s="38">
        <f>G1018*AO1018</f>
        <v>0</v>
      </c>
      <c r="BI1018" s="38">
        <f>G1018*AP1018</f>
        <v>0</v>
      </c>
      <c r="BJ1018" s="38">
        <f>G1018*H1018</f>
        <v>0</v>
      </c>
      <c r="BK1018" s="38"/>
      <c r="BL1018" s="38">
        <v>96</v>
      </c>
      <c r="BW1018" s="38">
        <v>21</v>
      </c>
    </row>
    <row r="1019" spans="1:12" ht="15">
      <c r="A1019" s="74"/>
      <c r="D1019" s="75" t="s">
        <v>1811</v>
      </c>
      <c r="E1019" s="75" t="s">
        <v>1812</v>
      </c>
      <c r="G1019" s="76">
        <v>1.56</v>
      </c>
      <c r="L1019" s="77"/>
    </row>
    <row r="1020" spans="1:75" ht="13.5" customHeight="1">
      <c r="A1020" s="1" t="s">
        <v>1813</v>
      </c>
      <c r="B1020" s="2" t="s">
        <v>84</v>
      </c>
      <c r="C1020" s="2" t="s">
        <v>1814</v>
      </c>
      <c r="D1020" s="108" t="s">
        <v>1815</v>
      </c>
      <c r="E1020" s="103"/>
      <c r="F1020" s="2" t="s">
        <v>135</v>
      </c>
      <c r="G1020" s="38">
        <f>'Stavební rozpočet'!G1020</f>
        <v>0.55</v>
      </c>
      <c r="H1020" s="38">
        <f>'Stavební rozpočet'!H1020</f>
        <v>0</v>
      </c>
      <c r="I1020" s="38">
        <f>G1020*H1020</f>
        <v>0</v>
      </c>
      <c r="J1020" s="38">
        <f>'Stavební rozpočet'!J1020</f>
        <v>2.2</v>
      </c>
      <c r="K1020" s="38">
        <f>G1020*J1020</f>
        <v>1.2100000000000002</v>
      </c>
      <c r="L1020" s="71" t="s">
        <v>136</v>
      </c>
      <c r="Z1020" s="38">
        <f>IF(AQ1020="5",BJ1020,0)</f>
        <v>0</v>
      </c>
      <c r="AB1020" s="38">
        <f>IF(AQ1020="1",BH1020,0)</f>
        <v>0</v>
      </c>
      <c r="AC1020" s="38">
        <f>IF(AQ1020="1",BI1020,0)</f>
        <v>0</v>
      </c>
      <c r="AD1020" s="38">
        <f>IF(AQ1020="7",BH1020,0)</f>
        <v>0</v>
      </c>
      <c r="AE1020" s="38">
        <f>IF(AQ1020="7",BI1020,0)</f>
        <v>0</v>
      </c>
      <c r="AF1020" s="38">
        <f>IF(AQ1020="2",BH1020,0)</f>
        <v>0</v>
      </c>
      <c r="AG1020" s="38">
        <f>IF(AQ1020="2",BI1020,0)</f>
        <v>0</v>
      </c>
      <c r="AH1020" s="38">
        <f>IF(AQ1020="0",BJ1020,0)</f>
        <v>0</v>
      </c>
      <c r="AI1020" s="50" t="s">
        <v>84</v>
      </c>
      <c r="AJ1020" s="38">
        <f>IF(AN1020=0,I1020,0)</f>
        <v>0</v>
      </c>
      <c r="AK1020" s="38">
        <f>IF(AN1020=12,I1020,0)</f>
        <v>0</v>
      </c>
      <c r="AL1020" s="38">
        <f>IF(AN1020=21,I1020,0)</f>
        <v>0</v>
      </c>
      <c r="AN1020" s="38">
        <v>21</v>
      </c>
      <c r="AO1020" s="38">
        <f>H1020*0</f>
        <v>0</v>
      </c>
      <c r="AP1020" s="38">
        <f>H1020*(1-0)</f>
        <v>0</v>
      </c>
      <c r="AQ1020" s="72" t="s">
        <v>132</v>
      </c>
      <c r="AV1020" s="38">
        <f>AW1020+AX1020</f>
        <v>0</v>
      </c>
      <c r="AW1020" s="38">
        <f>G1020*AO1020</f>
        <v>0</v>
      </c>
      <c r="AX1020" s="38">
        <f>G1020*AP1020</f>
        <v>0</v>
      </c>
      <c r="AY1020" s="72" t="s">
        <v>1707</v>
      </c>
      <c r="AZ1020" s="72" t="s">
        <v>1657</v>
      </c>
      <c r="BA1020" s="50" t="s">
        <v>139</v>
      </c>
      <c r="BB1020" s="73">
        <v>100007</v>
      </c>
      <c r="BC1020" s="38">
        <f>AW1020+AX1020</f>
        <v>0</v>
      </c>
      <c r="BD1020" s="38">
        <f>H1020/(100-BE1020)*100</f>
        <v>0</v>
      </c>
      <c r="BE1020" s="38">
        <v>0</v>
      </c>
      <c r="BF1020" s="38">
        <f>K1020</f>
        <v>1.2100000000000002</v>
      </c>
      <c r="BH1020" s="38">
        <f>G1020*AO1020</f>
        <v>0</v>
      </c>
      <c r="BI1020" s="38">
        <f>G1020*AP1020</f>
        <v>0</v>
      </c>
      <c r="BJ1020" s="38">
        <f>G1020*H1020</f>
        <v>0</v>
      </c>
      <c r="BK1020" s="38"/>
      <c r="BL1020" s="38">
        <v>96</v>
      </c>
      <c r="BW1020" s="38">
        <v>21</v>
      </c>
    </row>
    <row r="1021" spans="1:12" ht="13.5" customHeight="1">
      <c r="A1021" s="74"/>
      <c r="D1021" s="194" t="s">
        <v>153</v>
      </c>
      <c r="E1021" s="195"/>
      <c r="F1021" s="195"/>
      <c r="G1021" s="195"/>
      <c r="H1021" s="195"/>
      <c r="I1021" s="195"/>
      <c r="J1021" s="195"/>
      <c r="K1021" s="195"/>
      <c r="L1021" s="197"/>
    </row>
    <row r="1022" spans="1:12" ht="15">
      <c r="A1022" s="74"/>
      <c r="D1022" s="75" t="s">
        <v>1816</v>
      </c>
      <c r="E1022" s="75" t="s">
        <v>1817</v>
      </c>
      <c r="G1022" s="76">
        <v>0.55</v>
      </c>
      <c r="L1022" s="77"/>
    </row>
    <row r="1023" spans="1:75" ht="13.5" customHeight="1">
      <c r="A1023" s="1" t="s">
        <v>1818</v>
      </c>
      <c r="B1023" s="2" t="s">
        <v>84</v>
      </c>
      <c r="C1023" s="2" t="s">
        <v>1819</v>
      </c>
      <c r="D1023" s="108" t="s">
        <v>1820</v>
      </c>
      <c r="E1023" s="103"/>
      <c r="F1023" s="2" t="s">
        <v>135</v>
      </c>
      <c r="G1023" s="38">
        <f>'Stavební rozpočet'!G1023</f>
        <v>1.34</v>
      </c>
      <c r="H1023" s="38">
        <f>'Stavební rozpočet'!H1023</f>
        <v>0</v>
      </c>
      <c r="I1023" s="38">
        <f>G1023*H1023</f>
        <v>0</v>
      </c>
      <c r="J1023" s="38">
        <f>'Stavební rozpočet'!J1023</f>
        <v>0</v>
      </c>
      <c r="K1023" s="38">
        <f>G1023*J1023</f>
        <v>0</v>
      </c>
      <c r="L1023" s="71" t="s">
        <v>136</v>
      </c>
      <c r="Z1023" s="38">
        <f>IF(AQ1023="5",BJ1023,0)</f>
        <v>0</v>
      </c>
      <c r="AB1023" s="38">
        <f>IF(AQ1023="1",BH1023,0)</f>
        <v>0</v>
      </c>
      <c r="AC1023" s="38">
        <f>IF(AQ1023="1",BI1023,0)</f>
        <v>0</v>
      </c>
      <c r="AD1023" s="38">
        <f>IF(AQ1023="7",BH1023,0)</f>
        <v>0</v>
      </c>
      <c r="AE1023" s="38">
        <f>IF(AQ1023="7",BI1023,0)</f>
        <v>0</v>
      </c>
      <c r="AF1023" s="38">
        <f>IF(AQ1023="2",BH1023,0)</f>
        <v>0</v>
      </c>
      <c r="AG1023" s="38">
        <f>IF(AQ1023="2",BI1023,0)</f>
        <v>0</v>
      </c>
      <c r="AH1023" s="38">
        <f>IF(AQ1023="0",BJ1023,0)</f>
        <v>0</v>
      </c>
      <c r="AI1023" s="50" t="s">
        <v>84</v>
      </c>
      <c r="AJ1023" s="38">
        <f>IF(AN1023=0,I1023,0)</f>
        <v>0</v>
      </c>
      <c r="AK1023" s="38">
        <f>IF(AN1023=12,I1023,0)</f>
        <v>0</v>
      </c>
      <c r="AL1023" s="38">
        <f>IF(AN1023=21,I1023,0)</f>
        <v>0</v>
      </c>
      <c r="AN1023" s="38">
        <v>21</v>
      </c>
      <c r="AO1023" s="38">
        <f>H1023*0</f>
        <v>0</v>
      </c>
      <c r="AP1023" s="38">
        <f>H1023*(1-0)</f>
        <v>0</v>
      </c>
      <c r="AQ1023" s="72" t="s">
        <v>132</v>
      </c>
      <c r="AV1023" s="38">
        <f>AW1023+AX1023</f>
        <v>0</v>
      </c>
      <c r="AW1023" s="38">
        <f>G1023*AO1023</f>
        <v>0</v>
      </c>
      <c r="AX1023" s="38">
        <f>G1023*AP1023</f>
        <v>0</v>
      </c>
      <c r="AY1023" s="72" t="s">
        <v>1707</v>
      </c>
      <c r="AZ1023" s="72" t="s">
        <v>1657</v>
      </c>
      <c r="BA1023" s="50" t="s">
        <v>139</v>
      </c>
      <c r="BB1023" s="73">
        <v>100007</v>
      </c>
      <c r="BC1023" s="38">
        <f>AW1023+AX1023</f>
        <v>0</v>
      </c>
      <c r="BD1023" s="38">
        <f>H1023/(100-BE1023)*100</f>
        <v>0</v>
      </c>
      <c r="BE1023" s="38">
        <v>0</v>
      </c>
      <c r="BF1023" s="38">
        <f>K1023</f>
        <v>0</v>
      </c>
      <c r="BH1023" s="38">
        <f>G1023*AO1023</f>
        <v>0</v>
      </c>
      <c r="BI1023" s="38">
        <f>G1023*AP1023</f>
        <v>0</v>
      </c>
      <c r="BJ1023" s="38">
        <f>G1023*H1023</f>
        <v>0</v>
      </c>
      <c r="BK1023" s="38"/>
      <c r="BL1023" s="38">
        <v>96</v>
      </c>
      <c r="BW1023" s="38">
        <v>21</v>
      </c>
    </row>
    <row r="1024" spans="1:12" ht="13.5" customHeight="1">
      <c r="A1024" s="74"/>
      <c r="D1024" s="194" t="s">
        <v>153</v>
      </c>
      <c r="E1024" s="195"/>
      <c r="F1024" s="195"/>
      <c r="G1024" s="195"/>
      <c r="H1024" s="195"/>
      <c r="I1024" s="195"/>
      <c r="J1024" s="195"/>
      <c r="K1024" s="195"/>
      <c r="L1024" s="197"/>
    </row>
    <row r="1025" spans="1:12" ht="15">
      <c r="A1025" s="74"/>
      <c r="D1025" s="75" t="s">
        <v>708</v>
      </c>
      <c r="E1025" s="75" t="s">
        <v>1821</v>
      </c>
      <c r="G1025" s="76">
        <v>0.5</v>
      </c>
      <c r="L1025" s="77"/>
    </row>
    <row r="1026" spans="1:12" ht="15">
      <c r="A1026" s="74"/>
      <c r="D1026" s="75" t="s">
        <v>1816</v>
      </c>
      <c r="E1026" s="75" t="s">
        <v>1817</v>
      </c>
      <c r="G1026" s="76">
        <v>0.55</v>
      </c>
      <c r="L1026" s="77"/>
    </row>
    <row r="1027" spans="1:12" ht="15">
      <c r="A1027" s="74"/>
      <c r="D1027" s="75" t="s">
        <v>1802</v>
      </c>
      <c r="E1027" s="75" t="s">
        <v>979</v>
      </c>
      <c r="G1027" s="76">
        <v>0.29</v>
      </c>
      <c r="L1027" s="77"/>
    </row>
    <row r="1028" spans="1:75" ht="13.5" customHeight="1">
      <c r="A1028" s="1" t="s">
        <v>1822</v>
      </c>
      <c r="B1028" s="2" t="s">
        <v>84</v>
      </c>
      <c r="C1028" s="2" t="s">
        <v>1823</v>
      </c>
      <c r="D1028" s="108" t="s">
        <v>1824</v>
      </c>
      <c r="E1028" s="103"/>
      <c r="F1028" s="2" t="s">
        <v>263</v>
      </c>
      <c r="G1028" s="38">
        <f>'Stavební rozpočet'!G1028</f>
        <v>38.2</v>
      </c>
      <c r="H1028" s="38">
        <f>'Stavební rozpočet'!H1028</f>
        <v>0</v>
      </c>
      <c r="I1028" s="38">
        <f>G1028*H1028</f>
        <v>0</v>
      </c>
      <c r="J1028" s="38">
        <f>'Stavební rozpočet'!J1028</f>
        <v>0.0126</v>
      </c>
      <c r="K1028" s="38">
        <f>G1028*J1028</f>
        <v>0.48132</v>
      </c>
      <c r="L1028" s="71" t="s">
        <v>136</v>
      </c>
      <c r="Z1028" s="38">
        <f>IF(AQ1028="5",BJ1028,0)</f>
        <v>0</v>
      </c>
      <c r="AB1028" s="38">
        <f>IF(AQ1028="1",BH1028,0)</f>
        <v>0</v>
      </c>
      <c r="AC1028" s="38">
        <f>IF(AQ1028="1",BI1028,0)</f>
        <v>0</v>
      </c>
      <c r="AD1028" s="38">
        <f>IF(AQ1028="7",BH1028,0)</f>
        <v>0</v>
      </c>
      <c r="AE1028" s="38">
        <f>IF(AQ1028="7",BI1028,0)</f>
        <v>0</v>
      </c>
      <c r="AF1028" s="38">
        <f>IF(AQ1028="2",BH1028,0)</f>
        <v>0</v>
      </c>
      <c r="AG1028" s="38">
        <f>IF(AQ1028="2",BI1028,0)</f>
        <v>0</v>
      </c>
      <c r="AH1028" s="38">
        <f>IF(AQ1028="0",BJ1028,0)</f>
        <v>0</v>
      </c>
      <c r="AI1028" s="50" t="s">
        <v>84</v>
      </c>
      <c r="AJ1028" s="38">
        <f>IF(AN1028=0,I1028,0)</f>
        <v>0</v>
      </c>
      <c r="AK1028" s="38">
        <f>IF(AN1028=12,I1028,0)</f>
        <v>0</v>
      </c>
      <c r="AL1028" s="38">
        <f>IF(AN1028=21,I1028,0)</f>
        <v>0</v>
      </c>
      <c r="AN1028" s="38">
        <v>21</v>
      </c>
      <c r="AO1028" s="38">
        <f>H1028*0</f>
        <v>0</v>
      </c>
      <c r="AP1028" s="38">
        <f>H1028*(1-0)</f>
        <v>0</v>
      </c>
      <c r="AQ1028" s="72" t="s">
        <v>132</v>
      </c>
      <c r="AV1028" s="38">
        <f>AW1028+AX1028</f>
        <v>0</v>
      </c>
      <c r="AW1028" s="38">
        <f>G1028*AO1028</f>
        <v>0</v>
      </c>
      <c r="AX1028" s="38">
        <f>G1028*AP1028</f>
        <v>0</v>
      </c>
      <c r="AY1028" s="72" t="s">
        <v>1707</v>
      </c>
      <c r="AZ1028" s="72" t="s">
        <v>1657</v>
      </c>
      <c r="BA1028" s="50" t="s">
        <v>139</v>
      </c>
      <c r="BB1028" s="73">
        <v>100007</v>
      </c>
      <c r="BC1028" s="38">
        <f>AW1028+AX1028</f>
        <v>0</v>
      </c>
      <c r="BD1028" s="38">
        <f>H1028/(100-BE1028)*100</f>
        <v>0</v>
      </c>
      <c r="BE1028" s="38">
        <v>0</v>
      </c>
      <c r="BF1028" s="38">
        <f>K1028</f>
        <v>0.48132</v>
      </c>
      <c r="BH1028" s="38">
        <f>G1028*AO1028</f>
        <v>0</v>
      </c>
      <c r="BI1028" s="38">
        <f>G1028*AP1028</f>
        <v>0</v>
      </c>
      <c r="BJ1028" s="38">
        <f>G1028*H1028</f>
        <v>0</v>
      </c>
      <c r="BK1028" s="38"/>
      <c r="BL1028" s="38">
        <v>96</v>
      </c>
      <c r="BW1028" s="38">
        <v>21</v>
      </c>
    </row>
    <row r="1029" spans="1:12" ht="13.5" customHeight="1">
      <c r="A1029" s="74"/>
      <c r="D1029" s="194" t="s">
        <v>1825</v>
      </c>
      <c r="E1029" s="195"/>
      <c r="F1029" s="195"/>
      <c r="G1029" s="195"/>
      <c r="H1029" s="195"/>
      <c r="I1029" s="195"/>
      <c r="J1029" s="195"/>
      <c r="K1029" s="195"/>
      <c r="L1029" s="197"/>
    </row>
    <row r="1030" spans="1:12" ht="15">
      <c r="A1030" s="74"/>
      <c r="D1030" s="75" t="s">
        <v>1408</v>
      </c>
      <c r="E1030" s="75" t="s">
        <v>1826</v>
      </c>
      <c r="G1030" s="76">
        <v>38.2</v>
      </c>
      <c r="L1030" s="77"/>
    </row>
    <row r="1031" spans="1:47" ht="15">
      <c r="A1031" s="65" t="s">
        <v>4</v>
      </c>
      <c r="B1031" s="66" t="s">
        <v>84</v>
      </c>
      <c r="C1031" s="66" t="s">
        <v>729</v>
      </c>
      <c r="D1031" s="192" t="s">
        <v>1827</v>
      </c>
      <c r="E1031" s="193"/>
      <c r="F1031" s="67" t="s">
        <v>78</v>
      </c>
      <c r="G1031" s="67" t="s">
        <v>78</v>
      </c>
      <c r="H1031" s="67" t="s">
        <v>78</v>
      </c>
      <c r="I1031" s="44">
        <f>SUM(I1032:I1096)</f>
        <v>0</v>
      </c>
      <c r="J1031" s="50" t="s">
        <v>4</v>
      </c>
      <c r="K1031" s="44">
        <f>SUM(K1032:K1096)</f>
        <v>34.3617124</v>
      </c>
      <c r="L1031" s="69" t="s">
        <v>4</v>
      </c>
      <c r="AI1031" s="50" t="s">
        <v>84</v>
      </c>
      <c r="AS1031" s="44">
        <f>SUM(AJ1032:AJ1096)</f>
        <v>0</v>
      </c>
      <c r="AT1031" s="44">
        <f>SUM(AK1032:AK1096)</f>
        <v>0</v>
      </c>
      <c r="AU1031" s="44">
        <f>SUM(AL1032:AL1096)</f>
        <v>0</v>
      </c>
    </row>
    <row r="1032" spans="1:75" ht="13.5" customHeight="1">
      <c r="A1032" s="1" t="s">
        <v>1828</v>
      </c>
      <c r="B1032" s="2" t="s">
        <v>84</v>
      </c>
      <c r="C1032" s="2" t="s">
        <v>1829</v>
      </c>
      <c r="D1032" s="108" t="s">
        <v>1830</v>
      </c>
      <c r="E1032" s="103"/>
      <c r="F1032" s="2" t="s">
        <v>199</v>
      </c>
      <c r="G1032" s="38">
        <f>'Stavební rozpočet'!G1032</f>
        <v>4</v>
      </c>
      <c r="H1032" s="38">
        <f>'Stavební rozpočet'!H1032</f>
        <v>0</v>
      </c>
      <c r="I1032" s="38">
        <f>G1032*H1032</f>
        <v>0</v>
      </c>
      <c r="J1032" s="38">
        <f>'Stavební rozpočet'!J1032</f>
        <v>0.15033</v>
      </c>
      <c r="K1032" s="38">
        <f>G1032*J1032</f>
        <v>0.60132</v>
      </c>
      <c r="L1032" s="71" t="s">
        <v>136</v>
      </c>
      <c r="Z1032" s="38">
        <f>IF(AQ1032="5",BJ1032,0)</f>
        <v>0</v>
      </c>
      <c r="AB1032" s="38">
        <f>IF(AQ1032="1",BH1032,0)</f>
        <v>0</v>
      </c>
      <c r="AC1032" s="38">
        <f>IF(AQ1032="1",BI1032,0)</f>
        <v>0</v>
      </c>
      <c r="AD1032" s="38">
        <f>IF(AQ1032="7",BH1032,0)</f>
        <v>0</v>
      </c>
      <c r="AE1032" s="38">
        <f>IF(AQ1032="7",BI1032,0)</f>
        <v>0</v>
      </c>
      <c r="AF1032" s="38">
        <f>IF(AQ1032="2",BH1032,0)</f>
        <v>0</v>
      </c>
      <c r="AG1032" s="38">
        <f>IF(AQ1032="2",BI1032,0)</f>
        <v>0</v>
      </c>
      <c r="AH1032" s="38">
        <f>IF(AQ1032="0",BJ1032,0)</f>
        <v>0</v>
      </c>
      <c r="AI1032" s="50" t="s">
        <v>84</v>
      </c>
      <c r="AJ1032" s="38">
        <f>IF(AN1032=0,I1032,0)</f>
        <v>0</v>
      </c>
      <c r="AK1032" s="38">
        <f>IF(AN1032=12,I1032,0)</f>
        <v>0</v>
      </c>
      <c r="AL1032" s="38">
        <f>IF(AN1032=21,I1032,0)</f>
        <v>0</v>
      </c>
      <c r="AN1032" s="38">
        <v>21</v>
      </c>
      <c r="AO1032" s="38">
        <f>H1032*0.039331984</f>
        <v>0</v>
      </c>
      <c r="AP1032" s="38">
        <f>H1032*(1-0.039331984)</f>
        <v>0</v>
      </c>
      <c r="AQ1032" s="72" t="s">
        <v>132</v>
      </c>
      <c r="AV1032" s="38">
        <f>AW1032+AX1032</f>
        <v>0</v>
      </c>
      <c r="AW1032" s="38">
        <f>G1032*AO1032</f>
        <v>0</v>
      </c>
      <c r="AX1032" s="38">
        <f>G1032*AP1032</f>
        <v>0</v>
      </c>
      <c r="AY1032" s="72" t="s">
        <v>1831</v>
      </c>
      <c r="AZ1032" s="72" t="s">
        <v>1657</v>
      </c>
      <c r="BA1032" s="50" t="s">
        <v>139</v>
      </c>
      <c r="BB1032" s="73">
        <v>100010</v>
      </c>
      <c r="BC1032" s="38">
        <f>AW1032+AX1032</f>
        <v>0</v>
      </c>
      <c r="BD1032" s="38">
        <f>H1032/(100-BE1032)*100</f>
        <v>0</v>
      </c>
      <c r="BE1032" s="38">
        <v>0</v>
      </c>
      <c r="BF1032" s="38">
        <f>K1032</f>
        <v>0.60132</v>
      </c>
      <c r="BH1032" s="38">
        <f>G1032*AO1032</f>
        <v>0</v>
      </c>
      <c r="BI1032" s="38">
        <f>G1032*AP1032</f>
        <v>0</v>
      </c>
      <c r="BJ1032" s="38">
        <f>G1032*H1032</f>
        <v>0</v>
      </c>
      <c r="BK1032" s="38"/>
      <c r="BL1032" s="38">
        <v>97</v>
      </c>
      <c r="BW1032" s="38">
        <v>21</v>
      </c>
    </row>
    <row r="1033" spans="1:12" ht="15">
      <c r="A1033" s="74"/>
      <c r="D1033" s="75" t="s">
        <v>157</v>
      </c>
      <c r="E1033" s="75" t="s">
        <v>1832</v>
      </c>
      <c r="G1033" s="76">
        <v>4</v>
      </c>
      <c r="L1033" s="77"/>
    </row>
    <row r="1034" spans="1:75" ht="13.5" customHeight="1">
      <c r="A1034" s="1" t="s">
        <v>1833</v>
      </c>
      <c r="B1034" s="2" t="s">
        <v>84</v>
      </c>
      <c r="C1034" s="2" t="s">
        <v>1834</v>
      </c>
      <c r="D1034" s="108" t="s">
        <v>1835</v>
      </c>
      <c r="E1034" s="103"/>
      <c r="F1034" s="2" t="s">
        <v>135</v>
      </c>
      <c r="G1034" s="38">
        <f>'Stavební rozpočet'!G1034</f>
        <v>1.08</v>
      </c>
      <c r="H1034" s="38">
        <f>'Stavební rozpočet'!H1034</f>
        <v>0</v>
      </c>
      <c r="I1034" s="38">
        <f>G1034*H1034</f>
        <v>0</v>
      </c>
      <c r="J1034" s="38">
        <f>'Stavební rozpočet'!J1034</f>
        <v>1.80133</v>
      </c>
      <c r="K1034" s="38">
        <f>G1034*J1034</f>
        <v>1.9454364000000002</v>
      </c>
      <c r="L1034" s="71" t="s">
        <v>136</v>
      </c>
      <c r="Z1034" s="38">
        <f>IF(AQ1034="5",BJ1034,0)</f>
        <v>0</v>
      </c>
      <c r="AB1034" s="38">
        <f>IF(AQ1034="1",BH1034,0)</f>
        <v>0</v>
      </c>
      <c r="AC1034" s="38">
        <f>IF(AQ1034="1",BI1034,0)</f>
        <v>0</v>
      </c>
      <c r="AD1034" s="38">
        <f>IF(AQ1034="7",BH1034,0)</f>
        <v>0</v>
      </c>
      <c r="AE1034" s="38">
        <f>IF(AQ1034="7",BI1034,0)</f>
        <v>0</v>
      </c>
      <c r="AF1034" s="38">
        <f>IF(AQ1034="2",BH1034,0)</f>
        <v>0</v>
      </c>
      <c r="AG1034" s="38">
        <f>IF(AQ1034="2",BI1034,0)</f>
        <v>0</v>
      </c>
      <c r="AH1034" s="38">
        <f>IF(AQ1034="0",BJ1034,0)</f>
        <v>0</v>
      </c>
      <c r="AI1034" s="50" t="s">
        <v>84</v>
      </c>
      <c r="AJ1034" s="38">
        <f>IF(AN1034=0,I1034,0)</f>
        <v>0</v>
      </c>
      <c r="AK1034" s="38">
        <f>IF(AN1034=12,I1034,0)</f>
        <v>0</v>
      </c>
      <c r="AL1034" s="38">
        <f>IF(AN1034=21,I1034,0)</f>
        <v>0</v>
      </c>
      <c r="AN1034" s="38">
        <v>21</v>
      </c>
      <c r="AO1034" s="38">
        <f>H1034*0.012909505</f>
        <v>0</v>
      </c>
      <c r="AP1034" s="38">
        <f>H1034*(1-0.012909505)</f>
        <v>0</v>
      </c>
      <c r="AQ1034" s="72" t="s">
        <v>132</v>
      </c>
      <c r="AV1034" s="38">
        <f>AW1034+AX1034</f>
        <v>0</v>
      </c>
      <c r="AW1034" s="38">
        <f>G1034*AO1034</f>
        <v>0</v>
      </c>
      <c r="AX1034" s="38">
        <f>G1034*AP1034</f>
        <v>0</v>
      </c>
      <c r="AY1034" s="72" t="s">
        <v>1831</v>
      </c>
      <c r="AZ1034" s="72" t="s">
        <v>1657</v>
      </c>
      <c r="BA1034" s="50" t="s">
        <v>139</v>
      </c>
      <c r="BB1034" s="73">
        <v>100010</v>
      </c>
      <c r="BC1034" s="38">
        <f>AW1034+AX1034</f>
        <v>0</v>
      </c>
      <c r="BD1034" s="38">
        <f>H1034/(100-BE1034)*100</f>
        <v>0</v>
      </c>
      <c r="BE1034" s="38">
        <v>0</v>
      </c>
      <c r="BF1034" s="38">
        <f>K1034</f>
        <v>1.9454364000000002</v>
      </c>
      <c r="BH1034" s="38">
        <f>G1034*AO1034</f>
        <v>0</v>
      </c>
      <c r="BI1034" s="38">
        <f>G1034*AP1034</f>
        <v>0</v>
      </c>
      <c r="BJ1034" s="38">
        <f>G1034*H1034</f>
        <v>0</v>
      </c>
      <c r="BK1034" s="38"/>
      <c r="BL1034" s="38">
        <v>97</v>
      </c>
      <c r="BW1034" s="38">
        <v>21</v>
      </c>
    </row>
    <row r="1035" spans="1:12" ht="15">
      <c r="A1035" s="74"/>
      <c r="D1035" s="75" t="s">
        <v>1836</v>
      </c>
      <c r="E1035" s="75" t="s">
        <v>1837</v>
      </c>
      <c r="G1035" s="76">
        <v>0.71</v>
      </c>
      <c r="L1035" s="77"/>
    </row>
    <row r="1036" spans="1:12" ht="15">
      <c r="A1036" s="74"/>
      <c r="D1036" s="75" t="s">
        <v>1838</v>
      </c>
      <c r="E1036" s="75" t="s">
        <v>690</v>
      </c>
      <c r="G1036" s="76">
        <v>0.37</v>
      </c>
      <c r="L1036" s="77"/>
    </row>
    <row r="1037" spans="1:75" ht="13.5" customHeight="1">
      <c r="A1037" s="1" t="s">
        <v>1839</v>
      </c>
      <c r="B1037" s="2" t="s">
        <v>84</v>
      </c>
      <c r="C1037" s="2" t="s">
        <v>1840</v>
      </c>
      <c r="D1037" s="108" t="s">
        <v>1841</v>
      </c>
      <c r="E1037" s="103"/>
      <c r="F1037" s="2" t="s">
        <v>135</v>
      </c>
      <c r="G1037" s="38">
        <f>'Stavební rozpočet'!G1037</f>
        <v>0.38</v>
      </c>
      <c r="H1037" s="38">
        <f>'Stavební rozpočet'!H1037</f>
        <v>0</v>
      </c>
      <c r="I1037" s="38">
        <f>G1037*H1037</f>
        <v>0</v>
      </c>
      <c r="J1037" s="38">
        <f>'Stavební rozpočet'!J1037</f>
        <v>1.80133</v>
      </c>
      <c r="K1037" s="38">
        <f>G1037*J1037</f>
        <v>0.6845054</v>
      </c>
      <c r="L1037" s="71" t="s">
        <v>136</v>
      </c>
      <c r="Z1037" s="38">
        <f>IF(AQ1037="5",BJ1037,0)</f>
        <v>0</v>
      </c>
      <c r="AB1037" s="38">
        <f>IF(AQ1037="1",BH1037,0)</f>
        <v>0</v>
      </c>
      <c r="AC1037" s="38">
        <f>IF(AQ1037="1",BI1037,0)</f>
        <v>0</v>
      </c>
      <c r="AD1037" s="38">
        <f>IF(AQ1037="7",BH1037,0)</f>
        <v>0</v>
      </c>
      <c r="AE1037" s="38">
        <f>IF(AQ1037="7",BI1037,0)</f>
        <v>0</v>
      </c>
      <c r="AF1037" s="38">
        <f>IF(AQ1037="2",BH1037,0)</f>
        <v>0</v>
      </c>
      <c r="AG1037" s="38">
        <f>IF(AQ1037="2",BI1037,0)</f>
        <v>0</v>
      </c>
      <c r="AH1037" s="38">
        <f>IF(AQ1037="0",BJ1037,0)</f>
        <v>0</v>
      </c>
      <c r="AI1037" s="50" t="s">
        <v>84</v>
      </c>
      <c r="AJ1037" s="38">
        <f>IF(AN1037=0,I1037,0)</f>
        <v>0</v>
      </c>
      <c r="AK1037" s="38">
        <f>IF(AN1037=12,I1037,0)</f>
        <v>0</v>
      </c>
      <c r="AL1037" s="38">
        <f>IF(AN1037=21,I1037,0)</f>
        <v>0</v>
      </c>
      <c r="AN1037" s="38">
        <v>21</v>
      </c>
      <c r="AO1037" s="38">
        <f>H1037*0.011879968</f>
        <v>0</v>
      </c>
      <c r="AP1037" s="38">
        <f>H1037*(1-0.011879968)</f>
        <v>0</v>
      </c>
      <c r="AQ1037" s="72" t="s">
        <v>132</v>
      </c>
      <c r="AV1037" s="38">
        <f>AW1037+AX1037</f>
        <v>0</v>
      </c>
      <c r="AW1037" s="38">
        <f>G1037*AO1037</f>
        <v>0</v>
      </c>
      <c r="AX1037" s="38">
        <f>G1037*AP1037</f>
        <v>0</v>
      </c>
      <c r="AY1037" s="72" t="s">
        <v>1831</v>
      </c>
      <c r="AZ1037" s="72" t="s">
        <v>1657</v>
      </c>
      <c r="BA1037" s="50" t="s">
        <v>139</v>
      </c>
      <c r="BB1037" s="73">
        <v>100010</v>
      </c>
      <c r="BC1037" s="38">
        <f>AW1037+AX1037</f>
        <v>0</v>
      </c>
      <c r="BD1037" s="38">
        <f>H1037/(100-BE1037)*100</f>
        <v>0</v>
      </c>
      <c r="BE1037" s="38">
        <v>0</v>
      </c>
      <c r="BF1037" s="38">
        <f>K1037</f>
        <v>0.6845054</v>
      </c>
      <c r="BH1037" s="38">
        <f>G1037*AO1037</f>
        <v>0</v>
      </c>
      <c r="BI1037" s="38">
        <f>G1037*AP1037</f>
        <v>0</v>
      </c>
      <c r="BJ1037" s="38">
        <f>G1037*H1037</f>
        <v>0</v>
      </c>
      <c r="BK1037" s="38"/>
      <c r="BL1037" s="38">
        <v>97</v>
      </c>
      <c r="BW1037" s="38">
        <v>21</v>
      </c>
    </row>
    <row r="1038" spans="1:12" ht="15">
      <c r="A1038" s="74"/>
      <c r="D1038" s="75" t="s">
        <v>1842</v>
      </c>
      <c r="E1038" s="75" t="s">
        <v>1843</v>
      </c>
      <c r="G1038" s="76">
        <v>0.38</v>
      </c>
      <c r="L1038" s="77"/>
    </row>
    <row r="1039" spans="1:75" ht="13.5" customHeight="1">
      <c r="A1039" s="1" t="s">
        <v>1844</v>
      </c>
      <c r="B1039" s="2" t="s">
        <v>84</v>
      </c>
      <c r="C1039" s="2" t="s">
        <v>1845</v>
      </c>
      <c r="D1039" s="108" t="s">
        <v>1846</v>
      </c>
      <c r="E1039" s="103"/>
      <c r="F1039" s="2" t="s">
        <v>135</v>
      </c>
      <c r="G1039" s="38">
        <f>'Stavební rozpočet'!G1039</f>
        <v>9.24</v>
      </c>
      <c r="H1039" s="38">
        <f>'Stavební rozpočet'!H1039</f>
        <v>0</v>
      </c>
      <c r="I1039" s="38">
        <f>G1039*H1039</f>
        <v>0</v>
      </c>
      <c r="J1039" s="38">
        <f>'Stavební rozpočet'!J1039</f>
        <v>1.80133</v>
      </c>
      <c r="K1039" s="38">
        <f>G1039*J1039</f>
        <v>16.644289200000003</v>
      </c>
      <c r="L1039" s="71" t="s">
        <v>136</v>
      </c>
      <c r="Z1039" s="38">
        <f>IF(AQ1039="5",BJ1039,0)</f>
        <v>0</v>
      </c>
      <c r="AB1039" s="38">
        <f>IF(AQ1039="1",BH1039,0)</f>
        <v>0</v>
      </c>
      <c r="AC1039" s="38">
        <f>IF(AQ1039="1",BI1039,0)</f>
        <v>0</v>
      </c>
      <c r="AD1039" s="38">
        <f>IF(AQ1039="7",BH1039,0)</f>
        <v>0</v>
      </c>
      <c r="AE1039" s="38">
        <f>IF(AQ1039="7",BI1039,0)</f>
        <v>0</v>
      </c>
      <c r="AF1039" s="38">
        <f>IF(AQ1039="2",BH1039,0)</f>
        <v>0</v>
      </c>
      <c r="AG1039" s="38">
        <f>IF(AQ1039="2",BI1039,0)</f>
        <v>0</v>
      </c>
      <c r="AH1039" s="38">
        <f>IF(AQ1039="0",BJ1039,0)</f>
        <v>0</v>
      </c>
      <c r="AI1039" s="50" t="s">
        <v>84</v>
      </c>
      <c r="AJ1039" s="38">
        <f>IF(AN1039=0,I1039,0)</f>
        <v>0</v>
      </c>
      <c r="AK1039" s="38">
        <f>IF(AN1039=12,I1039,0)</f>
        <v>0</v>
      </c>
      <c r="AL1039" s="38">
        <f>IF(AN1039=21,I1039,0)</f>
        <v>0</v>
      </c>
      <c r="AN1039" s="38">
        <v>21</v>
      </c>
      <c r="AO1039" s="38">
        <f>H1039*0.018287059</f>
        <v>0</v>
      </c>
      <c r="AP1039" s="38">
        <f>H1039*(1-0.018287059)</f>
        <v>0</v>
      </c>
      <c r="AQ1039" s="72" t="s">
        <v>132</v>
      </c>
      <c r="AV1039" s="38">
        <f>AW1039+AX1039</f>
        <v>0</v>
      </c>
      <c r="AW1039" s="38">
        <f>G1039*AO1039</f>
        <v>0</v>
      </c>
      <c r="AX1039" s="38">
        <f>G1039*AP1039</f>
        <v>0</v>
      </c>
      <c r="AY1039" s="72" t="s">
        <v>1831</v>
      </c>
      <c r="AZ1039" s="72" t="s">
        <v>1657</v>
      </c>
      <c r="BA1039" s="50" t="s">
        <v>139</v>
      </c>
      <c r="BB1039" s="73">
        <v>100010</v>
      </c>
      <c r="BC1039" s="38">
        <f>AW1039+AX1039</f>
        <v>0</v>
      </c>
      <c r="BD1039" s="38">
        <f>H1039/(100-BE1039)*100</f>
        <v>0</v>
      </c>
      <c r="BE1039" s="38">
        <v>0</v>
      </c>
      <c r="BF1039" s="38">
        <f>K1039</f>
        <v>16.644289200000003</v>
      </c>
      <c r="BH1039" s="38">
        <f>G1039*AO1039</f>
        <v>0</v>
      </c>
      <c r="BI1039" s="38">
        <f>G1039*AP1039</f>
        <v>0</v>
      </c>
      <c r="BJ1039" s="38">
        <f>G1039*H1039</f>
        <v>0</v>
      </c>
      <c r="BK1039" s="38"/>
      <c r="BL1039" s="38">
        <v>97</v>
      </c>
      <c r="BW1039" s="38">
        <v>21</v>
      </c>
    </row>
    <row r="1040" spans="1:12" ht="15">
      <c r="A1040" s="74"/>
      <c r="D1040" s="75" t="s">
        <v>1847</v>
      </c>
      <c r="E1040" s="75" t="s">
        <v>1848</v>
      </c>
      <c r="G1040" s="76">
        <v>1.96</v>
      </c>
      <c r="L1040" s="77"/>
    </row>
    <row r="1041" spans="1:12" ht="15">
      <c r="A1041" s="74"/>
      <c r="D1041" s="75" t="s">
        <v>1849</v>
      </c>
      <c r="E1041" s="75" t="s">
        <v>1850</v>
      </c>
      <c r="G1041" s="76">
        <v>1</v>
      </c>
      <c r="L1041" s="77"/>
    </row>
    <row r="1042" spans="1:12" ht="15">
      <c r="A1042" s="74"/>
      <c r="D1042" s="75" t="s">
        <v>1851</v>
      </c>
      <c r="E1042" s="75" t="s">
        <v>142</v>
      </c>
      <c r="G1042" s="76">
        <v>2.4</v>
      </c>
      <c r="L1042" s="77"/>
    </row>
    <row r="1043" spans="1:12" ht="15">
      <c r="A1043" s="74"/>
      <c r="D1043" s="75" t="s">
        <v>1852</v>
      </c>
      <c r="E1043" s="75" t="s">
        <v>1853</v>
      </c>
      <c r="G1043" s="76">
        <v>1.94</v>
      </c>
      <c r="L1043" s="77"/>
    </row>
    <row r="1044" spans="1:12" ht="15">
      <c r="A1044" s="74"/>
      <c r="D1044" s="75" t="s">
        <v>1852</v>
      </c>
      <c r="E1044" s="75" t="s">
        <v>1854</v>
      </c>
      <c r="G1044" s="76">
        <v>1.94</v>
      </c>
      <c r="L1044" s="77"/>
    </row>
    <row r="1045" spans="1:75" ht="13.5" customHeight="1">
      <c r="A1045" s="1" t="s">
        <v>1855</v>
      </c>
      <c r="B1045" s="2" t="s">
        <v>84</v>
      </c>
      <c r="C1045" s="2" t="s">
        <v>1856</v>
      </c>
      <c r="D1045" s="108" t="s">
        <v>1857</v>
      </c>
      <c r="E1045" s="103"/>
      <c r="F1045" s="2" t="s">
        <v>199</v>
      </c>
      <c r="G1045" s="38">
        <f>'Stavební rozpočet'!G1045</f>
        <v>4</v>
      </c>
      <c r="H1045" s="38">
        <f>'Stavební rozpočet'!H1045</f>
        <v>0</v>
      </c>
      <c r="I1045" s="38">
        <f>G1045*H1045</f>
        <v>0</v>
      </c>
      <c r="J1045" s="38">
        <f>'Stavební rozpočet'!J1045</f>
        <v>0.03149</v>
      </c>
      <c r="K1045" s="38">
        <f>G1045*J1045</f>
        <v>0.12596</v>
      </c>
      <c r="L1045" s="71" t="s">
        <v>136</v>
      </c>
      <c r="Z1045" s="38">
        <f>IF(AQ1045="5",BJ1045,0)</f>
        <v>0</v>
      </c>
      <c r="AB1045" s="38">
        <f>IF(AQ1045="1",BH1045,0)</f>
        <v>0</v>
      </c>
      <c r="AC1045" s="38">
        <f>IF(AQ1045="1",BI1045,0)</f>
        <v>0</v>
      </c>
      <c r="AD1045" s="38">
        <f>IF(AQ1045="7",BH1045,0)</f>
        <v>0</v>
      </c>
      <c r="AE1045" s="38">
        <f>IF(AQ1045="7",BI1045,0)</f>
        <v>0</v>
      </c>
      <c r="AF1045" s="38">
        <f>IF(AQ1045="2",BH1045,0)</f>
        <v>0</v>
      </c>
      <c r="AG1045" s="38">
        <f>IF(AQ1045="2",BI1045,0)</f>
        <v>0</v>
      </c>
      <c r="AH1045" s="38">
        <f>IF(AQ1045="0",BJ1045,0)</f>
        <v>0</v>
      </c>
      <c r="AI1045" s="50" t="s">
        <v>84</v>
      </c>
      <c r="AJ1045" s="38">
        <f>IF(AN1045=0,I1045,0)</f>
        <v>0</v>
      </c>
      <c r="AK1045" s="38">
        <f>IF(AN1045=12,I1045,0)</f>
        <v>0</v>
      </c>
      <c r="AL1045" s="38">
        <f>IF(AN1045=21,I1045,0)</f>
        <v>0</v>
      </c>
      <c r="AN1045" s="38">
        <v>21</v>
      </c>
      <c r="AO1045" s="38">
        <f>H1045*0.042771982</f>
        <v>0</v>
      </c>
      <c r="AP1045" s="38">
        <f>H1045*(1-0.042771982)</f>
        <v>0</v>
      </c>
      <c r="AQ1045" s="72" t="s">
        <v>132</v>
      </c>
      <c r="AV1045" s="38">
        <f>AW1045+AX1045</f>
        <v>0</v>
      </c>
      <c r="AW1045" s="38">
        <f>G1045*AO1045</f>
        <v>0</v>
      </c>
      <c r="AX1045" s="38">
        <f>G1045*AP1045</f>
        <v>0</v>
      </c>
      <c r="AY1045" s="72" t="s">
        <v>1831</v>
      </c>
      <c r="AZ1045" s="72" t="s">
        <v>1657</v>
      </c>
      <c r="BA1045" s="50" t="s">
        <v>139</v>
      </c>
      <c r="BB1045" s="73">
        <v>100010</v>
      </c>
      <c r="BC1045" s="38">
        <f>AW1045+AX1045</f>
        <v>0</v>
      </c>
      <c r="BD1045" s="38">
        <f>H1045/(100-BE1045)*100</f>
        <v>0</v>
      </c>
      <c r="BE1045" s="38">
        <v>0</v>
      </c>
      <c r="BF1045" s="38">
        <f>K1045</f>
        <v>0.12596</v>
      </c>
      <c r="BH1045" s="38">
        <f>G1045*AO1045</f>
        <v>0</v>
      </c>
      <c r="BI1045" s="38">
        <f>G1045*AP1045</f>
        <v>0</v>
      </c>
      <c r="BJ1045" s="38">
        <f>G1045*H1045</f>
        <v>0</v>
      </c>
      <c r="BK1045" s="38"/>
      <c r="BL1045" s="38">
        <v>97</v>
      </c>
      <c r="BW1045" s="38">
        <v>21</v>
      </c>
    </row>
    <row r="1046" spans="1:12" ht="15">
      <c r="A1046" s="74"/>
      <c r="D1046" s="75" t="s">
        <v>157</v>
      </c>
      <c r="E1046" s="75" t="s">
        <v>368</v>
      </c>
      <c r="G1046" s="76">
        <v>4</v>
      </c>
      <c r="L1046" s="77"/>
    </row>
    <row r="1047" spans="1:75" ht="13.5" customHeight="1">
      <c r="A1047" s="1" t="s">
        <v>1858</v>
      </c>
      <c r="B1047" s="2" t="s">
        <v>84</v>
      </c>
      <c r="C1047" s="2" t="s">
        <v>1859</v>
      </c>
      <c r="D1047" s="108" t="s">
        <v>1860</v>
      </c>
      <c r="E1047" s="103"/>
      <c r="F1047" s="2" t="s">
        <v>214</v>
      </c>
      <c r="G1047" s="38">
        <f>'Stavební rozpočet'!G1047</f>
        <v>5.72</v>
      </c>
      <c r="H1047" s="38">
        <f>'Stavební rozpočet'!H1047</f>
        <v>0</v>
      </c>
      <c r="I1047" s="38">
        <f>G1047*H1047</f>
        <v>0</v>
      </c>
      <c r="J1047" s="38">
        <f>'Stavební rozpočet'!J1047</f>
        <v>0.04049</v>
      </c>
      <c r="K1047" s="38">
        <f>G1047*J1047</f>
        <v>0.23160279999999997</v>
      </c>
      <c r="L1047" s="71" t="s">
        <v>136</v>
      </c>
      <c r="Z1047" s="38">
        <f>IF(AQ1047="5",BJ1047,0)</f>
        <v>0</v>
      </c>
      <c r="AB1047" s="38">
        <f>IF(AQ1047="1",BH1047,0)</f>
        <v>0</v>
      </c>
      <c r="AC1047" s="38">
        <f>IF(AQ1047="1",BI1047,0)</f>
        <v>0</v>
      </c>
      <c r="AD1047" s="38">
        <f>IF(AQ1047="7",BH1047,0)</f>
        <v>0</v>
      </c>
      <c r="AE1047" s="38">
        <f>IF(AQ1047="7",BI1047,0)</f>
        <v>0</v>
      </c>
      <c r="AF1047" s="38">
        <f>IF(AQ1047="2",BH1047,0)</f>
        <v>0</v>
      </c>
      <c r="AG1047" s="38">
        <f>IF(AQ1047="2",BI1047,0)</f>
        <v>0</v>
      </c>
      <c r="AH1047" s="38">
        <f>IF(AQ1047="0",BJ1047,0)</f>
        <v>0</v>
      </c>
      <c r="AI1047" s="50" t="s">
        <v>84</v>
      </c>
      <c r="AJ1047" s="38">
        <f>IF(AN1047=0,I1047,0)</f>
        <v>0</v>
      </c>
      <c r="AK1047" s="38">
        <f>IF(AN1047=12,I1047,0)</f>
        <v>0</v>
      </c>
      <c r="AL1047" s="38">
        <f>IF(AN1047=21,I1047,0)</f>
        <v>0</v>
      </c>
      <c r="AN1047" s="38">
        <v>21</v>
      </c>
      <c r="AO1047" s="38">
        <f>H1047*0.049476793</f>
        <v>0</v>
      </c>
      <c r="AP1047" s="38">
        <f>H1047*(1-0.049476793)</f>
        <v>0</v>
      </c>
      <c r="AQ1047" s="72" t="s">
        <v>132</v>
      </c>
      <c r="AV1047" s="38">
        <f>AW1047+AX1047</f>
        <v>0</v>
      </c>
      <c r="AW1047" s="38">
        <f>G1047*AO1047</f>
        <v>0</v>
      </c>
      <c r="AX1047" s="38">
        <f>G1047*AP1047</f>
        <v>0</v>
      </c>
      <c r="AY1047" s="72" t="s">
        <v>1831</v>
      </c>
      <c r="AZ1047" s="72" t="s">
        <v>1657</v>
      </c>
      <c r="BA1047" s="50" t="s">
        <v>139</v>
      </c>
      <c r="BB1047" s="73">
        <v>100010</v>
      </c>
      <c r="BC1047" s="38">
        <f>AW1047+AX1047</f>
        <v>0</v>
      </c>
      <c r="BD1047" s="38">
        <f>H1047/(100-BE1047)*100</f>
        <v>0</v>
      </c>
      <c r="BE1047" s="38">
        <v>0</v>
      </c>
      <c r="BF1047" s="38">
        <f>K1047</f>
        <v>0.23160279999999997</v>
      </c>
      <c r="BH1047" s="38">
        <f>G1047*AO1047</f>
        <v>0</v>
      </c>
      <c r="BI1047" s="38">
        <f>G1047*AP1047</f>
        <v>0</v>
      </c>
      <c r="BJ1047" s="38">
        <f>G1047*H1047</f>
        <v>0</v>
      </c>
      <c r="BK1047" s="38"/>
      <c r="BL1047" s="38">
        <v>97</v>
      </c>
      <c r="BW1047" s="38">
        <v>21</v>
      </c>
    </row>
    <row r="1048" spans="1:12" ht="13.5" customHeight="1">
      <c r="A1048" s="74"/>
      <c r="D1048" s="194" t="s">
        <v>1861</v>
      </c>
      <c r="E1048" s="195"/>
      <c r="F1048" s="195"/>
      <c r="G1048" s="195"/>
      <c r="H1048" s="195"/>
      <c r="I1048" s="195"/>
      <c r="J1048" s="195"/>
      <c r="K1048" s="195"/>
      <c r="L1048" s="197"/>
    </row>
    <row r="1049" spans="1:12" ht="15">
      <c r="A1049" s="74"/>
      <c r="D1049" s="75" t="s">
        <v>1862</v>
      </c>
      <c r="E1049" s="75" t="s">
        <v>4</v>
      </c>
      <c r="G1049" s="76">
        <v>5.72</v>
      </c>
      <c r="L1049" s="77"/>
    </row>
    <row r="1050" spans="1:75" ht="13.5" customHeight="1">
      <c r="A1050" s="1" t="s">
        <v>1863</v>
      </c>
      <c r="B1050" s="2" t="s">
        <v>84</v>
      </c>
      <c r="C1050" s="2" t="s">
        <v>1864</v>
      </c>
      <c r="D1050" s="108" t="s">
        <v>1865</v>
      </c>
      <c r="E1050" s="103"/>
      <c r="F1050" s="2" t="s">
        <v>214</v>
      </c>
      <c r="G1050" s="38">
        <f>'Stavební rozpočet'!G1050</f>
        <v>10.25</v>
      </c>
      <c r="H1050" s="38">
        <f>'Stavební rozpočet'!H1050</f>
        <v>0</v>
      </c>
      <c r="I1050" s="38">
        <f>G1050*H1050</f>
        <v>0</v>
      </c>
      <c r="J1050" s="38">
        <f>'Stavební rozpočet'!J1050</f>
        <v>0.042</v>
      </c>
      <c r="K1050" s="38">
        <f>G1050*J1050</f>
        <v>0.43050000000000005</v>
      </c>
      <c r="L1050" s="71" t="s">
        <v>136</v>
      </c>
      <c r="Z1050" s="38">
        <f>IF(AQ1050="5",BJ1050,0)</f>
        <v>0</v>
      </c>
      <c r="AB1050" s="38">
        <f>IF(AQ1050="1",BH1050,0)</f>
        <v>0</v>
      </c>
      <c r="AC1050" s="38">
        <f>IF(AQ1050="1",BI1050,0)</f>
        <v>0</v>
      </c>
      <c r="AD1050" s="38">
        <f>IF(AQ1050="7",BH1050,0)</f>
        <v>0</v>
      </c>
      <c r="AE1050" s="38">
        <f>IF(AQ1050="7",BI1050,0)</f>
        <v>0</v>
      </c>
      <c r="AF1050" s="38">
        <f>IF(AQ1050="2",BH1050,0)</f>
        <v>0</v>
      </c>
      <c r="AG1050" s="38">
        <f>IF(AQ1050="2",BI1050,0)</f>
        <v>0</v>
      </c>
      <c r="AH1050" s="38">
        <f>IF(AQ1050="0",BJ1050,0)</f>
        <v>0</v>
      </c>
      <c r="AI1050" s="50" t="s">
        <v>84</v>
      </c>
      <c r="AJ1050" s="38">
        <f>IF(AN1050=0,I1050,0)</f>
        <v>0</v>
      </c>
      <c r="AK1050" s="38">
        <f>IF(AN1050=12,I1050,0)</f>
        <v>0</v>
      </c>
      <c r="AL1050" s="38">
        <f>IF(AN1050=21,I1050,0)</f>
        <v>0</v>
      </c>
      <c r="AN1050" s="38">
        <v>21</v>
      </c>
      <c r="AO1050" s="38">
        <f>H1050*0</f>
        <v>0</v>
      </c>
      <c r="AP1050" s="38">
        <f>H1050*(1-0)</f>
        <v>0</v>
      </c>
      <c r="AQ1050" s="72" t="s">
        <v>132</v>
      </c>
      <c r="AV1050" s="38">
        <f>AW1050+AX1050</f>
        <v>0</v>
      </c>
      <c r="AW1050" s="38">
        <f>G1050*AO1050</f>
        <v>0</v>
      </c>
      <c r="AX1050" s="38">
        <f>G1050*AP1050</f>
        <v>0</v>
      </c>
      <c r="AY1050" s="72" t="s">
        <v>1831</v>
      </c>
      <c r="AZ1050" s="72" t="s">
        <v>1657</v>
      </c>
      <c r="BA1050" s="50" t="s">
        <v>139</v>
      </c>
      <c r="BB1050" s="73">
        <v>100010</v>
      </c>
      <c r="BC1050" s="38">
        <f>AW1050+AX1050</f>
        <v>0</v>
      </c>
      <c r="BD1050" s="38">
        <f>H1050/(100-BE1050)*100</f>
        <v>0</v>
      </c>
      <c r="BE1050" s="38">
        <v>0</v>
      </c>
      <c r="BF1050" s="38">
        <f>K1050</f>
        <v>0.43050000000000005</v>
      </c>
      <c r="BH1050" s="38">
        <f>G1050*AO1050</f>
        <v>0</v>
      </c>
      <c r="BI1050" s="38">
        <f>G1050*AP1050</f>
        <v>0</v>
      </c>
      <c r="BJ1050" s="38">
        <f>G1050*H1050</f>
        <v>0</v>
      </c>
      <c r="BK1050" s="38"/>
      <c r="BL1050" s="38">
        <v>97</v>
      </c>
      <c r="BW1050" s="38">
        <v>21</v>
      </c>
    </row>
    <row r="1051" spans="1:12" ht="15">
      <c r="A1051" s="74"/>
      <c r="D1051" s="75" t="s">
        <v>1866</v>
      </c>
      <c r="E1051" s="75" t="s">
        <v>1867</v>
      </c>
      <c r="G1051" s="76">
        <v>3.6</v>
      </c>
      <c r="L1051" s="77"/>
    </row>
    <row r="1052" spans="1:12" ht="15">
      <c r="A1052" s="74"/>
      <c r="D1052" s="75" t="s">
        <v>1868</v>
      </c>
      <c r="E1052" s="75" t="s">
        <v>254</v>
      </c>
      <c r="G1052" s="76">
        <v>5.4</v>
      </c>
      <c r="L1052" s="77"/>
    </row>
    <row r="1053" spans="1:12" ht="15">
      <c r="A1053" s="74"/>
      <c r="D1053" s="75" t="s">
        <v>1869</v>
      </c>
      <c r="E1053" s="75" t="s">
        <v>303</v>
      </c>
      <c r="G1053" s="76">
        <v>1.25</v>
      </c>
      <c r="L1053" s="77"/>
    </row>
    <row r="1054" spans="1:75" ht="13.5" customHeight="1">
      <c r="A1054" s="1" t="s">
        <v>1870</v>
      </c>
      <c r="B1054" s="2" t="s">
        <v>84</v>
      </c>
      <c r="C1054" s="2" t="s">
        <v>1871</v>
      </c>
      <c r="D1054" s="108" t="s">
        <v>1872</v>
      </c>
      <c r="E1054" s="103"/>
      <c r="F1054" s="2" t="s">
        <v>214</v>
      </c>
      <c r="G1054" s="38">
        <f>'Stavební rozpočet'!G1054</f>
        <v>85.5</v>
      </c>
      <c r="H1054" s="38">
        <f>'Stavební rozpočet'!H1054</f>
        <v>0</v>
      </c>
      <c r="I1054" s="38">
        <f>G1054*H1054</f>
        <v>0</v>
      </c>
      <c r="J1054" s="38">
        <f>'Stavební rozpočet'!J1054</f>
        <v>0.065</v>
      </c>
      <c r="K1054" s="38">
        <f>G1054*J1054</f>
        <v>5.5575</v>
      </c>
      <c r="L1054" s="71" t="s">
        <v>136</v>
      </c>
      <c r="Z1054" s="38">
        <f>IF(AQ1054="5",BJ1054,0)</f>
        <v>0</v>
      </c>
      <c r="AB1054" s="38">
        <f>IF(AQ1054="1",BH1054,0)</f>
        <v>0</v>
      </c>
      <c r="AC1054" s="38">
        <f>IF(AQ1054="1",BI1054,0)</f>
        <v>0</v>
      </c>
      <c r="AD1054" s="38">
        <f>IF(AQ1054="7",BH1054,0)</f>
        <v>0</v>
      </c>
      <c r="AE1054" s="38">
        <f>IF(AQ1054="7",BI1054,0)</f>
        <v>0</v>
      </c>
      <c r="AF1054" s="38">
        <f>IF(AQ1054="2",BH1054,0)</f>
        <v>0</v>
      </c>
      <c r="AG1054" s="38">
        <f>IF(AQ1054="2",BI1054,0)</f>
        <v>0</v>
      </c>
      <c r="AH1054" s="38">
        <f>IF(AQ1054="0",BJ1054,0)</f>
        <v>0</v>
      </c>
      <c r="AI1054" s="50" t="s">
        <v>84</v>
      </c>
      <c r="AJ1054" s="38">
        <f>IF(AN1054=0,I1054,0)</f>
        <v>0</v>
      </c>
      <c r="AK1054" s="38">
        <f>IF(AN1054=12,I1054,0)</f>
        <v>0</v>
      </c>
      <c r="AL1054" s="38">
        <f>IF(AN1054=21,I1054,0)</f>
        <v>0</v>
      </c>
      <c r="AN1054" s="38">
        <v>21</v>
      </c>
      <c r="AO1054" s="38">
        <f>H1054*0</f>
        <v>0</v>
      </c>
      <c r="AP1054" s="38">
        <f>H1054*(1-0)</f>
        <v>0</v>
      </c>
      <c r="AQ1054" s="72" t="s">
        <v>132</v>
      </c>
      <c r="AV1054" s="38">
        <f>AW1054+AX1054</f>
        <v>0</v>
      </c>
      <c r="AW1054" s="38">
        <f>G1054*AO1054</f>
        <v>0</v>
      </c>
      <c r="AX1054" s="38">
        <f>G1054*AP1054</f>
        <v>0</v>
      </c>
      <c r="AY1054" s="72" t="s">
        <v>1831</v>
      </c>
      <c r="AZ1054" s="72" t="s">
        <v>1657</v>
      </c>
      <c r="BA1054" s="50" t="s">
        <v>139</v>
      </c>
      <c r="BB1054" s="73">
        <v>100010</v>
      </c>
      <c r="BC1054" s="38">
        <f>AW1054+AX1054</f>
        <v>0</v>
      </c>
      <c r="BD1054" s="38">
        <f>H1054/(100-BE1054)*100</f>
        <v>0</v>
      </c>
      <c r="BE1054" s="38">
        <v>0</v>
      </c>
      <c r="BF1054" s="38">
        <f>K1054</f>
        <v>5.5575</v>
      </c>
      <c r="BH1054" s="38">
        <f>G1054*AO1054</f>
        <v>0</v>
      </c>
      <c r="BI1054" s="38">
        <f>G1054*AP1054</f>
        <v>0</v>
      </c>
      <c r="BJ1054" s="38">
        <f>G1054*H1054</f>
        <v>0</v>
      </c>
      <c r="BK1054" s="38"/>
      <c r="BL1054" s="38">
        <v>97</v>
      </c>
      <c r="BW1054" s="38">
        <v>21</v>
      </c>
    </row>
    <row r="1055" spans="1:12" ht="15">
      <c r="A1055" s="74"/>
      <c r="D1055" s="75" t="s">
        <v>1873</v>
      </c>
      <c r="E1055" s="75" t="s">
        <v>204</v>
      </c>
      <c r="G1055" s="76">
        <v>36</v>
      </c>
      <c r="L1055" s="77"/>
    </row>
    <row r="1056" spans="1:12" ht="15">
      <c r="A1056" s="74"/>
      <c r="D1056" s="75" t="s">
        <v>1874</v>
      </c>
      <c r="E1056" s="75" t="s">
        <v>210</v>
      </c>
      <c r="G1056" s="76">
        <v>14.4</v>
      </c>
      <c r="L1056" s="77"/>
    </row>
    <row r="1057" spans="1:12" ht="15">
      <c r="A1057" s="74"/>
      <c r="D1057" s="75" t="s">
        <v>1875</v>
      </c>
      <c r="E1057" s="75" t="s">
        <v>250</v>
      </c>
      <c r="G1057" s="76">
        <v>16.2</v>
      </c>
      <c r="L1057" s="77"/>
    </row>
    <row r="1058" spans="1:12" ht="15">
      <c r="A1058" s="74"/>
      <c r="D1058" s="75" t="s">
        <v>1876</v>
      </c>
      <c r="E1058" s="75" t="s">
        <v>252</v>
      </c>
      <c r="G1058" s="76">
        <v>18.9</v>
      </c>
      <c r="L1058" s="77"/>
    </row>
    <row r="1059" spans="1:75" ht="13.5" customHeight="1">
      <c r="A1059" s="1" t="s">
        <v>1877</v>
      </c>
      <c r="B1059" s="2" t="s">
        <v>84</v>
      </c>
      <c r="C1059" s="2" t="s">
        <v>1878</v>
      </c>
      <c r="D1059" s="108" t="s">
        <v>1879</v>
      </c>
      <c r="E1059" s="103"/>
      <c r="F1059" s="2" t="s">
        <v>214</v>
      </c>
      <c r="G1059" s="38">
        <f>'Stavební rozpočet'!G1059</f>
        <v>13.1</v>
      </c>
      <c r="H1059" s="38">
        <f>'Stavební rozpočet'!H1059</f>
        <v>0</v>
      </c>
      <c r="I1059" s="38">
        <f>G1059*H1059</f>
        <v>0</v>
      </c>
      <c r="J1059" s="38">
        <f>'Stavební rozpočet'!J1059</f>
        <v>0.007</v>
      </c>
      <c r="K1059" s="38">
        <f>G1059*J1059</f>
        <v>0.0917</v>
      </c>
      <c r="L1059" s="71" t="s">
        <v>136</v>
      </c>
      <c r="Z1059" s="38">
        <f>IF(AQ1059="5",BJ1059,0)</f>
        <v>0</v>
      </c>
      <c r="AB1059" s="38">
        <f>IF(AQ1059="1",BH1059,0)</f>
        <v>0</v>
      </c>
      <c r="AC1059" s="38">
        <f>IF(AQ1059="1",BI1059,0)</f>
        <v>0</v>
      </c>
      <c r="AD1059" s="38">
        <f>IF(AQ1059="7",BH1059,0)</f>
        <v>0</v>
      </c>
      <c r="AE1059" s="38">
        <f>IF(AQ1059="7",BI1059,0)</f>
        <v>0</v>
      </c>
      <c r="AF1059" s="38">
        <f>IF(AQ1059="2",BH1059,0)</f>
        <v>0</v>
      </c>
      <c r="AG1059" s="38">
        <f>IF(AQ1059="2",BI1059,0)</f>
        <v>0</v>
      </c>
      <c r="AH1059" s="38">
        <f>IF(AQ1059="0",BJ1059,0)</f>
        <v>0</v>
      </c>
      <c r="AI1059" s="50" t="s">
        <v>84</v>
      </c>
      <c r="AJ1059" s="38">
        <f>IF(AN1059=0,I1059,0)</f>
        <v>0</v>
      </c>
      <c r="AK1059" s="38">
        <f>IF(AN1059=12,I1059,0)</f>
        <v>0</v>
      </c>
      <c r="AL1059" s="38">
        <f>IF(AN1059=21,I1059,0)</f>
        <v>0</v>
      </c>
      <c r="AN1059" s="38">
        <v>21</v>
      </c>
      <c r="AO1059" s="38">
        <f>H1059*0</f>
        <v>0</v>
      </c>
      <c r="AP1059" s="38">
        <f>H1059*(1-0)</f>
        <v>0</v>
      </c>
      <c r="AQ1059" s="72" t="s">
        <v>132</v>
      </c>
      <c r="AV1059" s="38">
        <f>AW1059+AX1059</f>
        <v>0</v>
      </c>
      <c r="AW1059" s="38">
        <f>G1059*AO1059</f>
        <v>0</v>
      </c>
      <c r="AX1059" s="38">
        <f>G1059*AP1059</f>
        <v>0</v>
      </c>
      <c r="AY1059" s="72" t="s">
        <v>1831</v>
      </c>
      <c r="AZ1059" s="72" t="s">
        <v>1657</v>
      </c>
      <c r="BA1059" s="50" t="s">
        <v>139</v>
      </c>
      <c r="BB1059" s="73">
        <v>100010</v>
      </c>
      <c r="BC1059" s="38">
        <f>AW1059+AX1059</f>
        <v>0</v>
      </c>
      <c r="BD1059" s="38">
        <f>H1059/(100-BE1059)*100</f>
        <v>0</v>
      </c>
      <c r="BE1059" s="38">
        <v>0</v>
      </c>
      <c r="BF1059" s="38">
        <f>K1059</f>
        <v>0.0917</v>
      </c>
      <c r="BH1059" s="38">
        <f>G1059*AO1059</f>
        <v>0</v>
      </c>
      <c r="BI1059" s="38">
        <f>G1059*AP1059</f>
        <v>0</v>
      </c>
      <c r="BJ1059" s="38">
        <f>G1059*H1059</f>
        <v>0</v>
      </c>
      <c r="BK1059" s="38"/>
      <c r="BL1059" s="38">
        <v>97</v>
      </c>
      <c r="BW1059" s="38">
        <v>21</v>
      </c>
    </row>
    <row r="1060" spans="1:12" ht="15">
      <c r="A1060" s="74"/>
      <c r="D1060" s="75" t="s">
        <v>1880</v>
      </c>
      <c r="E1060" s="75" t="s">
        <v>765</v>
      </c>
      <c r="G1060" s="76">
        <v>6.6</v>
      </c>
      <c r="L1060" s="77"/>
    </row>
    <row r="1061" spans="1:12" ht="15">
      <c r="A1061" s="74"/>
      <c r="D1061" s="75" t="s">
        <v>1881</v>
      </c>
      <c r="E1061" s="75" t="s">
        <v>767</v>
      </c>
      <c r="G1061" s="76">
        <v>6.5</v>
      </c>
      <c r="L1061" s="77"/>
    </row>
    <row r="1062" spans="1:75" ht="13.5" customHeight="1">
      <c r="A1062" s="1" t="s">
        <v>1882</v>
      </c>
      <c r="B1062" s="2" t="s">
        <v>84</v>
      </c>
      <c r="C1062" s="2" t="s">
        <v>1883</v>
      </c>
      <c r="D1062" s="108" t="s">
        <v>1884</v>
      </c>
      <c r="E1062" s="103"/>
      <c r="F1062" s="2" t="s">
        <v>214</v>
      </c>
      <c r="G1062" s="38">
        <f>'Stavební rozpočet'!G1062</f>
        <v>22.35</v>
      </c>
      <c r="H1062" s="38">
        <f>'Stavební rozpočet'!H1062</f>
        <v>0</v>
      </c>
      <c r="I1062" s="38">
        <f>G1062*H1062</f>
        <v>0</v>
      </c>
      <c r="J1062" s="38">
        <f>'Stavební rozpočet'!J1062</f>
        <v>0.009</v>
      </c>
      <c r="K1062" s="38">
        <f>G1062*J1062</f>
        <v>0.20115</v>
      </c>
      <c r="L1062" s="71" t="s">
        <v>136</v>
      </c>
      <c r="Z1062" s="38">
        <f>IF(AQ1062="5",BJ1062,0)</f>
        <v>0</v>
      </c>
      <c r="AB1062" s="38">
        <f>IF(AQ1062="1",BH1062,0)</f>
        <v>0</v>
      </c>
      <c r="AC1062" s="38">
        <f>IF(AQ1062="1",BI1062,0)</f>
        <v>0</v>
      </c>
      <c r="AD1062" s="38">
        <f>IF(AQ1062="7",BH1062,0)</f>
        <v>0</v>
      </c>
      <c r="AE1062" s="38">
        <f>IF(AQ1062="7",BI1062,0)</f>
        <v>0</v>
      </c>
      <c r="AF1062" s="38">
        <f>IF(AQ1062="2",BH1062,0)</f>
        <v>0</v>
      </c>
      <c r="AG1062" s="38">
        <f>IF(AQ1062="2",BI1062,0)</f>
        <v>0</v>
      </c>
      <c r="AH1062" s="38">
        <f>IF(AQ1062="0",BJ1062,0)</f>
        <v>0</v>
      </c>
      <c r="AI1062" s="50" t="s">
        <v>84</v>
      </c>
      <c r="AJ1062" s="38">
        <f>IF(AN1062=0,I1062,0)</f>
        <v>0</v>
      </c>
      <c r="AK1062" s="38">
        <f>IF(AN1062=12,I1062,0)</f>
        <v>0</v>
      </c>
      <c r="AL1062" s="38">
        <f>IF(AN1062=21,I1062,0)</f>
        <v>0</v>
      </c>
      <c r="AN1062" s="38">
        <v>21</v>
      </c>
      <c r="AO1062" s="38">
        <f>H1062*0</f>
        <v>0</v>
      </c>
      <c r="AP1062" s="38">
        <f>H1062*(1-0)</f>
        <v>0</v>
      </c>
      <c r="AQ1062" s="72" t="s">
        <v>132</v>
      </c>
      <c r="AV1062" s="38">
        <f>AW1062+AX1062</f>
        <v>0</v>
      </c>
      <c r="AW1062" s="38">
        <f>G1062*AO1062</f>
        <v>0</v>
      </c>
      <c r="AX1062" s="38">
        <f>G1062*AP1062</f>
        <v>0</v>
      </c>
      <c r="AY1062" s="72" t="s">
        <v>1831</v>
      </c>
      <c r="AZ1062" s="72" t="s">
        <v>1657</v>
      </c>
      <c r="BA1062" s="50" t="s">
        <v>139</v>
      </c>
      <c r="BB1062" s="73">
        <v>100010</v>
      </c>
      <c r="BC1062" s="38">
        <f>AW1062+AX1062</f>
        <v>0</v>
      </c>
      <c r="BD1062" s="38">
        <f>H1062/(100-BE1062)*100</f>
        <v>0</v>
      </c>
      <c r="BE1062" s="38">
        <v>0</v>
      </c>
      <c r="BF1062" s="38">
        <f>K1062</f>
        <v>0.20115</v>
      </c>
      <c r="BH1062" s="38">
        <f>G1062*AO1062</f>
        <v>0</v>
      </c>
      <c r="BI1062" s="38">
        <f>G1062*AP1062</f>
        <v>0</v>
      </c>
      <c r="BJ1062" s="38">
        <f>G1062*H1062</f>
        <v>0</v>
      </c>
      <c r="BK1062" s="38"/>
      <c r="BL1062" s="38">
        <v>97</v>
      </c>
      <c r="BW1062" s="38">
        <v>21</v>
      </c>
    </row>
    <row r="1063" spans="1:12" ht="15">
      <c r="A1063" s="74"/>
      <c r="D1063" s="75" t="s">
        <v>1885</v>
      </c>
      <c r="E1063" s="75" t="s">
        <v>765</v>
      </c>
      <c r="G1063" s="76">
        <v>1.7</v>
      </c>
      <c r="L1063" s="77"/>
    </row>
    <row r="1064" spans="1:12" ht="15">
      <c r="A1064" s="74"/>
      <c r="D1064" s="75" t="s">
        <v>1886</v>
      </c>
      <c r="E1064" s="75" t="s">
        <v>767</v>
      </c>
      <c r="G1064" s="76">
        <v>20.65</v>
      </c>
      <c r="L1064" s="77"/>
    </row>
    <row r="1065" spans="1:75" ht="13.5" customHeight="1">
      <c r="A1065" s="1" t="s">
        <v>1887</v>
      </c>
      <c r="B1065" s="2" t="s">
        <v>84</v>
      </c>
      <c r="C1065" s="2" t="s">
        <v>1888</v>
      </c>
      <c r="D1065" s="108" t="s">
        <v>1889</v>
      </c>
      <c r="E1065" s="103"/>
      <c r="F1065" s="2" t="s">
        <v>214</v>
      </c>
      <c r="G1065" s="38">
        <f>'Stavební rozpočet'!G1065</f>
        <v>2.01</v>
      </c>
      <c r="H1065" s="38">
        <f>'Stavební rozpočet'!H1065</f>
        <v>0</v>
      </c>
      <c r="I1065" s="38">
        <f>G1065*H1065</f>
        <v>0</v>
      </c>
      <c r="J1065" s="38">
        <f>'Stavební rozpočet'!J1065</f>
        <v>0.00046</v>
      </c>
      <c r="K1065" s="38">
        <f>G1065*J1065</f>
        <v>0.0009245999999999999</v>
      </c>
      <c r="L1065" s="71" t="s">
        <v>136</v>
      </c>
      <c r="Z1065" s="38">
        <f>IF(AQ1065="5",BJ1065,0)</f>
        <v>0</v>
      </c>
      <c r="AB1065" s="38">
        <f>IF(AQ1065="1",BH1065,0)</f>
        <v>0</v>
      </c>
      <c r="AC1065" s="38">
        <f>IF(AQ1065="1",BI1065,0)</f>
        <v>0</v>
      </c>
      <c r="AD1065" s="38">
        <f>IF(AQ1065="7",BH1065,0)</f>
        <v>0</v>
      </c>
      <c r="AE1065" s="38">
        <f>IF(AQ1065="7",BI1065,0)</f>
        <v>0</v>
      </c>
      <c r="AF1065" s="38">
        <f>IF(AQ1065="2",BH1065,0)</f>
        <v>0</v>
      </c>
      <c r="AG1065" s="38">
        <f>IF(AQ1065="2",BI1065,0)</f>
        <v>0</v>
      </c>
      <c r="AH1065" s="38">
        <f>IF(AQ1065="0",BJ1065,0)</f>
        <v>0</v>
      </c>
      <c r="AI1065" s="50" t="s">
        <v>84</v>
      </c>
      <c r="AJ1065" s="38">
        <f>IF(AN1065=0,I1065,0)</f>
        <v>0</v>
      </c>
      <c r="AK1065" s="38">
        <f>IF(AN1065=12,I1065,0)</f>
        <v>0</v>
      </c>
      <c r="AL1065" s="38">
        <f>IF(AN1065=21,I1065,0)</f>
        <v>0</v>
      </c>
      <c r="AN1065" s="38">
        <v>21</v>
      </c>
      <c r="AO1065" s="38">
        <f>H1065*0.137974576</f>
        <v>0</v>
      </c>
      <c r="AP1065" s="38">
        <f>H1065*(1-0.137974576)</f>
        <v>0</v>
      </c>
      <c r="AQ1065" s="72" t="s">
        <v>132</v>
      </c>
      <c r="AV1065" s="38">
        <f>AW1065+AX1065</f>
        <v>0</v>
      </c>
      <c r="AW1065" s="38">
        <f>G1065*AO1065</f>
        <v>0</v>
      </c>
      <c r="AX1065" s="38">
        <f>G1065*AP1065</f>
        <v>0</v>
      </c>
      <c r="AY1065" s="72" t="s">
        <v>1831</v>
      </c>
      <c r="AZ1065" s="72" t="s">
        <v>1657</v>
      </c>
      <c r="BA1065" s="50" t="s">
        <v>139</v>
      </c>
      <c r="BB1065" s="73">
        <v>100010</v>
      </c>
      <c r="BC1065" s="38">
        <f>AW1065+AX1065</f>
        <v>0</v>
      </c>
      <c r="BD1065" s="38">
        <f>H1065/(100-BE1065)*100</f>
        <v>0</v>
      </c>
      <c r="BE1065" s="38">
        <v>0</v>
      </c>
      <c r="BF1065" s="38">
        <f>K1065</f>
        <v>0.0009245999999999999</v>
      </c>
      <c r="BH1065" s="38">
        <f>G1065*AO1065</f>
        <v>0</v>
      </c>
      <c r="BI1065" s="38">
        <f>G1065*AP1065</f>
        <v>0</v>
      </c>
      <c r="BJ1065" s="38">
        <f>G1065*H1065</f>
        <v>0</v>
      </c>
      <c r="BK1065" s="38"/>
      <c r="BL1065" s="38">
        <v>97</v>
      </c>
      <c r="BW1065" s="38">
        <v>21</v>
      </c>
    </row>
    <row r="1066" spans="1:12" ht="15">
      <c r="A1066" s="74"/>
      <c r="D1066" s="75" t="s">
        <v>1890</v>
      </c>
      <c r="E1066" s="75" t="s">
        <v>1891</v>
      </c>
      <c r="G1066" s="76">
        <v>2.01</v>
      </c>
      <c r="L1066" s="77"/>
    </row>
    <row r="1067" spans="1:75" ht="13.5" customHeight="1">
      <c r="A1067" s="1" t="s">
        <v>1892</v>
      </c>
      <c r="B1067" s="2" t="s">
        <v>84</v>
      </c>
      <c r="C1067" s="2" t="s">
        <v>1893</v>
      </c>
      <c r="D1067" s="108" t="s">
        <v>1894</v>
      </c>
      <c r="E1067" s="103"/>
      <c r="F1067" s="2" t="s">
        <v>263</v>
      </c>
      <c r="G1067" s="38">
        <f>'Stavební rozpočet'!G1067</f>
        <v>28.17</v>
      </c>
      <c r="H1067" s="38">
        <f>'Stavební rozpočet'!H1067</f>
        <v>0</v>
      </c>
      <c r="I1067" s="38">
        <f>G1067*H1067</f>
        <v>0</v>
      </c>
      <c r="J1067" s="38">
        <f>'Stavební rozpočet'!J1067</f>
        <v>0.068</v>
      </c>
      <c r="K1067" s="38">
        <f>G1067*J1067</f>
        <v>1.9155600000000002</v>
      </c>
      <c r="L1067" s="71" t="s">
        <v>136</v>
      </c>
      <c r="Z1067" s="38">
        <f>IF(AQ1067="5",BJ1067,0)</f>
        <v>0</v>
      </c>
      <c r="AB1067" s="38">
        <f>IF(AQ1067="1",BH1067,0)</f>
        <v>0</v>
      </c>
      <c r="AC1067" s="38">
        <f>IF(AQ1067="1",BI1067,0)</f>
        <v>0</v>
      </c>
      <c r="AD1067" s="38">
        <f>IF(AQ1067="7",BH1067,0)</f>
        <v>0</v>
      </c>
      <c r="AE1067" s="38">
        <f>IF(AQ1067="7",BI1067,0)</f>
        <v>0</v>
      </c>
      <c r="AF1067" s="38">
        <f>IF(AQ1067="2",BH1067,0)</f>
        <v>0</v>
      </c>
      <c r="AG1067" s="38">
        <f>IF(AQ1067="2",BI1067,0)</f>
        <v>0</v>
      </c>
      <c r="AH1067" s="38">
        <f>IF(AQ1067="0",BJ1067,0)</f>
        <v>0</v>
      </c>
      <c r="AI1067" s="50" t="s">
        <v>84</v>
      </c>
      <c r="AJ1067" s="38">
        <f>IF(AN1067=0,I1067,0)</f>
        <v>0</v>
      </c>
      <c r="AK1067" s="38">
        <f>IF(AN1067=12,I1067,0)</f>
        <v>0</v>
      </c>
      <c r="AL1067" s="38">
        <f>IF(AN1067=21,I1067,0)</f>
        <v>0</v>
      </c>
      <c r="AN1067" s="38">
        <v>21</v>
      </c>
      <c r="AO1067" s="38">
        <f>H1067*0</f>
        <v>0</v>
      </c>
      <c r="AP1067" s="38">
        <f>H1067*(1-0)</f>
        <v>0</v>
      </c>
      <c r="AQ1067" s="72" t="s">
        <v>132</v>
      </c>
      <c r="AV1067" s="38">
        <f>AW1067+AX1067</f>
        <v>0</v>
      </c>
      <c r="AW1067" s="38">
        <f>G1067*AO1067</f>
        <v>0</v>
      </c>
      <c r="AX1067" s="38">
        <f>G1067*AP1067</f>
        <v>0</v>
      </c>
      <c r="AY1067" s="72" t="s">
        <v>1831</v>
      </c>
      <c r="AZ1067" s="72" t="s">
        <v>1657</v>
      </c>
      <c r="BA1067" s="50" t="s">
        <v>139</v>
      </c>
      <c r="BB1067" s="73">
        <v>100010</v>
      </c>
      <c r="BC1067" s="38">
        <f>AW1067+AX1067</f>
        <v>0</v>
      </c>
      <c r="BD1067" s="38">
        <f>H1067/(100-BE1067)*100</f>
        <v>0</v>
      </c>
      <c r="BE1067" s="38">
        <v>0</v>
      </c>
      <c r="BF1067" s="38">
        <f>K1067</f>
        <v>1.9155600000000002</v>
      </c>
      <c r="BH1067" s="38">
        <f>G1067*AO1067</f>
        <v>0</v>
      </c>
      <c r="BI1067" s="38">
        <f>G1067*AP1067</f>
        <v>0</v>
      </c>
      <c r="BJ1067" s="38">
        <f>G1067*H1067</f>
        <v>0</v>
      </c>
      <c r="BK1067" s="38"/>
      <c r="BL1067" s="38">
        <v>97</v>
      </c>
      <c r="BW1067" s="38">
        <v>21</v>
      </c>
    </row>
    <row r="1068" spans="1:12" ht="15">
      <c r="A1068" s="74"/>
      <c r="D1068" s="75" t="s">
        <v>1895</v>
      </c>
      <c r="E1068" s="75" t="s">
        <v>624</v>
      </c>
      <c r="G1068" s="76">
        <v>19.6</v>
      </c>
      <c r="L1068" s="77"/>
    </row>
    <row r="1069" spans="1:12" ht="15">
      <c r="A1069" s="74"/>
      <c r="D1069" s="75" t="s">
        <v>667</v>
      </c>
      <c r="E1069" s="75" t="s">
        <v>1552</v>
      </c>
      <c r="G1069" s="76">
        <v>6.32</v>
      </c>
      <c r="L1069" s="77"/>
    </row>
    <row r="1070" spans="1:12" ht="15">
      <c r="A1070" s="74"/>
      <c r="D1070" s="75" t="s">
        <v>1896</v>
      </c>
      <c r="E1070" s="75" t="s">
        <v>580</v>
      </c>
      <c r="G1070" s="76">
        <v>2.25</v>
      </c>
      <c r="L1070" s="77"/>
    </row>
    <row r="1071" spans="1:75" ht="13.5" customHeight="1">
      <c r="A1071" s="1" t="s">
        <v>1897</v>
      </c>
      <c r="B1071" s="2" t="s">
        <v>84</v>
      </c>
      <c r="C1071" s="2" t="s">
        <v>1898</v>
      </c>
      <c r="D1071" s="108" t="s">
        <v>1899</v>
      </c>
      <c r="E1071" s="103"/>
      <c r="F1071" s="2" t="s">
        <v>263</v>
      </c>
      <c r="G1071" s="38">
        <f>'Stavební rozpočet'!G1071</f>
        <v>78.27</v>
      </c>
      <c r="H1071" s="38">
        <f>'Stavební rozpočet'!H1071</f>
        <v>0</v>
      </c>
      <c r="I1071" s="38">
        <f>G1071*H1071</f>
        <v>0</v>
      </c>
      <c r="J1071" s="38">
        <f>'Stavební rozpočet'!J1071</f>
        <v>0.046</v>
      </c>
      <c r="K1071" s="38">
        <f>G1071*J1071</f>
        <v>3.6004199999999997</v>
      </c>
      <c r="L1071" s="71" t="s">
        <v>136</v>
      </c>
      <c r="Z1071" s="38">
        <f>IF(AQ1071="5",BJ1071,0)</f>
        <v>0</v>
      </c>
      <c r="AB1071" s="38">
        <f>IF(AQ1071="1",BH1071,0)</f>
        <v>0</v>
      </c>
      <c r="AC1071" s="38">
        <f>IF(AQ1071="1",BI1071,0)</f>
        <v>0</v>
      </c>
      <c r="AD1071" s="38">
        <f>IF(AQ1071="7",BH1071,0)</f>
        <v>0</v>
      </c>
      <c r="AE1071" s="38">
        <f>IF(AQ1071="7",BI1071,0)</f>
        <v>0</v>
      </c>
      <c r="AF1071" s="38">
        <f>IF(AQ1071="2",BH1071,0)</f>
        <v>0</v>
      </c>
      <c r="AG1071" s="38">
        <f>IF(AQ1071="2",BI1071,0)</f>
        <v>0</v>
      </c>
      <c r="AH1071" s="38">
        <f>IF(AQ1071="0",BJ1071,0)</f>
        <v>0</v>
      </c>
      <c r="AI1071" s="50" t="s">
        <v>84</v>
      </c>
      <c r="AJ1071" s="38">
        <f>IF(AN1071=0,I1071,0)</f>
        <v>0</v>
      </c>
      <c r="AK1071" s="38">
        <f>IF(AN1071=12,I1071,0)</f>
        <v>0</v>
      </c>
      <c r="AL1071" s="38">
        <f>IF(AN1071=21,I1071,0)</f>
        <v>0</v>
      </c>
      <c r="AN1071" s="38">
        <v>21</v>
      </c>
      <c r="AO1071" s="38">
        <f>H1071*0</f>
        <v>0</v>
      </c>
      <c r="AP1071" s="38">
        <f>H1071*(1-0)</f>
        <v>0</v>
      </c>
      <c r="AQ1071" s="72" t="s">
        <v>132</v>
      </c>
      <c r="AV1071" s="38">
        <f>AW1071+AX1071</f>
        <v>0</v>
      </c>
      <c r="AW1071" s="38">
        <f>G1071*AO1071</f>
        <v>0</v>
      </c>
      <c r="AX1071" s="38">
        <f>G1071*AP1071</f>
        <v>0</v>
      </c>
      <c r="AY1071" s="72" t="s">
        <v>1831</v>
      </c>
      <c r="AZ1071" s="72" t="s">
        <v>1657</v>
      </c>
      <c r="BA1071" s="50" t="s">
        <v>139</v>
      </c>
      <c r="BB1071" s="73">
        <v>100010</v>
      </c>
      <c r="BC1071" s="38">
        <f>AW1071+AX1071</f>
        <v>0</v>
      </c>
      <c r="BD1071" s="38">
        <f>H1071/(100-BE1071)*100</f>
        <v>0</v>
      </c>
      <c r="BE1071" s="38">
        <v>0</v>
      </c>
      <c r="BF1071" s="38">
        <f>K1071</f>
        <v>3.6004199999999997</v>
      </c>
      <c r="BH1071" s="38">
        <f>G1071*AO1071</f>
        <v>0</v>
      </c>
      <c r="BI1071" s="38">
        <f>G1071*AP1071</f>
        <v>0</v>
      </c>
      <c r="BJ1071" s="38">
        <f>G1071*H1071</f>
        <v>0</v>
      </c>
      <c r="BK1071" s="38"/>
      <c r="BL1071" s="38">
        <v>97</v>
      </c>
      <c r="BW1071" s="38">
        <v>21</v>
      </c>
    </row>
    <row r="1072" spans="1:12" ht="15">
      <c r="A1072" s="74"/>
      <c r="D1072" s="75" t="s">
        <v>309</v>
      </c>
      <c r="E1072" s="75" t="s">
        <v>1900</v>
      </c>
      <c r="G1072" s="76">
        <v>15.9</v>
      </c>
      <c r="L1072" s="77"/>
    </row>
    <row r="1073" spans="1:12" ht="15">
      <c r="A1073" s="74"/>
      <c r="D1073" s="75" t="s">
        <v>1901</v>
      </c>
      <c r="E1073" s="75" t="s">
        <v>1902</v>
      </c>
      <c r="G1073" s="76">
        <v>57.71</v>
      </c>
      <c r="L1073" s="77"/>
    </row>
    <row r="1074" spans="1:12" ht="15">
      <c r="A1074" s="74"/>
      <c r="D1074" s="75" t="s">
        <v>1903</v>
      </c>
      <c r="E1074" s="75" t="s">
        <v>1904</v>
      </c>
      <c r="G1074" s="76">
        <v>4.66</v>
      </c>
      <c r="L1074" s="77"/>
    </row>
    <row r="1075" spans="1:75" ht="13.5" customHeight="1">
      <c r="A1075" s="1" t="s">
        <v>1905</v>
      </c>
      <c r="B1075" s="2" t="s">
        <v>84</v>
      </c>
      <c r="C1075" s="2" t="s">
        <v>1906</v>
      </c>
      <c r="D1075" s="108" t="s">
        <v>1907</v>
      </c>
      <c r="E1075" s="103"/>
      <c r="F1075" s="2" t="s">
        <v>214</v>
      </c>
      <c r="G1075" s="38">
        <f>'Stavební rozpočet'!G1075</f>
        <v>15.8</v>
      </c>
      <c r="H1075" s="38">
        <f>'Stavební rozpočet'!H1075</f>
        <v>0</v>
      </c>
      <c r="I1075" s="38">
        <f>G1075*H1075</f>
        <v>0</v>
      </c>
      <c r="J1075" s="38">
        <f>'Stavební rozpočet'!J1075</f>
        <v>0</v>
      </c>
      <c r="K1075" s="38">
        <f>G1075*J1075</f>
        <v>0</v>
      </c>
      <c r="L1075" s="71" t="s">
        <v>207</v>
      </c>
      <c r="Z1075" s="38">
        <f>IF(AQ1075="5",BJ1075,0)</f>
        <v>0</v>
      </c>
      <c r="AB1075" s="38">
        <f>IF(AQ1075="1",BH1075,0)</f>
        <v>0</v>
      </c>
      <c r="AC1075" s="38">
        <f>IF(AQ1075="1",BI1075,0)</f>
        <v>0</v>
      </c>
      <c r="AD1075" s="38">
        <f>IF(AQ1075="7",BH1075,0)</f>
        <v>0</v>
      </c>
      <c r="AE1075" s="38">
        <f>IF(AQ1075="7",BI1075,0)</f>
        <v>0</v>
      </c>
      <c r="AF1075" s="38">
        <f>IF(AQ1075="2",BH1075,0)</f>
        <v>0</v>
      </c>
      <c r="AG1075" s="38">
        <f>IF(AQ1075="2",BI1075,0)</f>
        <v>0</v>
      </c>
      <c r="AH1075" s="38">
        <f>IF(AQ1075="0",BJ1075,0)</f>
        <v>0</v>
      </c>
      <c r="AI1075" s="50" t="s">
        <v>84</v>
      </c>
      <c r="AJ1075" s="38">
        <f>IF(AN1075=0,I1075,0)</f>
        <v>0</v>
      </c>
      <c r="AK1075" s="38">
        <f>IF(AN1075=12,I1075,0)</f>
        <v>0</v>
      </c>
      <c r="AL1075" s="38">
        <f>IF(AN1075=21,I1075,0)</f>
        <v>0</v>
      </c>
      <c r="AN1075" s="38">
        <v>21</v>
      </c>
      <c r="AO1075" s="38">
        <f>H1075*0.605176122</f>
        <v>0</v>
      </c>
      <c r="AP1075" s="38">
        <f>H1075*(1-0.605176122)</f>
        <v>0</v>
      </c>
      <c r="AQ1075" s="72" t="s">
        <v>132</v>
      </c>
      <c r="AV1075" s="38">
        <f>AW1075+AX1075</f>
        <v>0</v>
      </c>
      <c r="AW1075" s="38">
        <f>G1075*AO1075</f>
        <v>0</v>
      </c>
      <c r="AX1075" s="38">
        <f>G1075*AP1075</f>
        <v>0</v>
      </c>
      <c r="AY1075" s="72" t="s">
        <v>1831</v>
      </c>
      <c r="AZ1075" s="72" t="s">
        <v>1657</v>
      </c>
      <c r="BA1075" s="50" t="s">
        <v>139</v>
      </c>
      <c r="BB1075" s="73">
        <v>100010</v>
      </c>
      <c r="BC1075" s="38">
        <f>AW1075+AX1075</f>
        <v>0</v>
      </c>
      <c r="BD1075" s="38">
        <f>H1075/(100-BE1075)*100</f>
        <v>0</v>
      </c>
      <c r="BE1075" s="38">
        <v>0</v>
      </c>
      <c r="BF1075" s="38">
        <f>K1075</f>
        <v>0</v>
      </c>
      <c r="BH1075" s="38">
        <f>G1075*AO1075</f>
        <v>0</v>
      </c>
      <c r="BI1075" s="38">
        <f>G1075*AP1075</f>
        <v>0</v>
      </c>
      <c r="BJ1075" s="38">
        <f>G1075*H1075</f>
        <v>0</v>
      </c>
      <c r="BK1075" s="38"/>
      <c r="BL1075" s="38">
        <v>97</v>
      </c>
      <c r="BW1075" s="38">
        <v>21</v>
      </c>
    </row>
    <row r="1076" spans="1:12" ht="13.5" customHeight="1">
      <c r="A1076" s="74"/>
      <c r="D1076" s="194" t="s">
        <v>1908</v>
      </c>
      <c r="E1076" s="195"/>
      <c r="F1076" s="195"/>
      <c r="G1076" s="195"/>
      <c r="H1076" s="195"/>
      <c r="I1076" s="195"/>
      <c r="J1076" s="195"/>
      <c r="K1076" s="195"/>
      <c r="L1076" s="197"/>
    </row>
    <row r="1077" spans="1:12" ht="15">
      <c r="A1077" s="74"/>
      <c r="D1077" s="75" t="s">
        <v>1909</v>
      </c>
      <c r="E1077" s="75" t="s">
        <v>266</v>
      </c>
      <c r="G1077" s="76">
        <v>15.8</v>
      </c>
      <c r="L1077" s="77"/>
    </row>
    <row r="1078" spans="1:75" ht="13.5" customHeight="1">
      <c r="A1078" s="1" t="s">
        <v>1910</v>
      </c>
      <c r="B1078" s="2" t="s">
        <v>84</v>
      </c>
      <c r="C1078" s="2" t="s">
        <v>1911</v>
      </c>
      <c r="D1078" s="108" t="s">
        <v>1912</v>
      </c>
      <c r="E1078" s="103"/>
      <c r="F1078" s="2" t="s">
        <v>214</v>
      </c>
      <c r="G1078" s="38">
        <f>'Stavební rozpočet'!G1078</f>
        <v>0.9</v>
      </c>
      <c r="H1078" s="38">
        <f>'Stavební rozpočet'!H1078</f>
        <v>0</v>
      </c>
      <c r="I1078" s="38">
        <f>G1078*H1078</f>
        <v>0</v>
      </c>
      <c r="J1078" s="38">
        <f>'Stavební rozpočet'!J1078</f>
        <v>0.07536</v>
      </c>
      <c r="K1078" s="38">
        <f>G1078*J1078</f>
        <v>0.067824</v>
      </c>
      <c r="L1078" s="71" t="s">
        <v>136</v>
      </c>
      <c r="Z1078" s="38">
        <f>IF(AQ1078="5",BJ1078,0)</f>
        <v>0</v>
      </c>
      <c r="AB1078" s="38">
        <f>IF(AQ1078="1",BH1078,0)</f>
        <v>0</v>
      </c>
      <c r="AC1078" s="38">
        <f>IF(AQ1078="1",BI1078,0)</f>
        <v>0</v>
      </c>
      <c r="AD1078" s="38">
        <f>IF(AQ1078="7",BH1078,0)</f>
        <v>0</v>
      </c>
      <c r="AE1078" s="38">
        <f>IF(AQ1078="7",BI1078,0)</f>
        <v>0</v>
      </c>
      <c r="AF1078" s="38">
        <f>IF(AQ1078="2",BH1078,0)</f>
        <v>0</v>
      </c>
      <c r="AG1078" s="38">
        <f>IF(AQ1078="2",BI1078,0)</f>
        <v>0</v>
      </c>
      <c r="AH1078" s="38">
        <f>IF(AQ1078="0",BJ1078,0)</f>
        <v>0</v>
      </c>
      <c r="AI1078" s="50" t="s">
        <v>84</v>
      </c>
      <c r="AJ1078" s="38">
        <f>IF(AN1078=0,I1078,0)</f>
        <v>0</v>
      </c>
      <c r="AK1078" s="38">
        <f>IF(AN1078=12,I1078,0)</f>
        <v>0</v>
      </c>
      <c r="AL1078" s="38">
        <f>IF(AN1078=21,I1078,0)</f>
        <v>0</v>
      </c>
      <c r="AN1078" s="38">
        <v>21</v>
      </c>
      <c r="AO1078" s="38">
        <f>H1078*0.283569647</f>
        <v>0</v>
      </c>
      <c r="AP1078" s="38">
        <f>H1078*(1-0.283569647)</f>
        <v>0</v>
      </c>
      <c r="AQ1078" s="72" t="s">
        <v>132</v>
      </c>
      <c r="AV1078" s="38">
        <f>AW1078+AX1078</f>
        <v>0</v>
      </c>
      <c r="AW1078" s="38">
        <f>G1078*AO1078</f>
        <v>0</v>
      </c>
      <c r="AX1078" s="38">
        <f>G1078*AP1078</f>
        <v>0</v>
      </c>
      <c r="AY1078" s="72" t="s">
        <v>1831</v>
      </c>
      <c r="AZ1078" s="72" t="s">
        <v>1657</v>
      </c>
      <c r="BA1078" s="50" t="s">
        <v>139</v>
      </c>
      <c r="BB1078" s="73">
        <v>100010</v>
      </c>
      <c r="BC1078" s="38">
        <f>AW1078+AX1078</f>
        <v>0</v>
      </c>
      <c r="BD1078" s="38">
        <f>H1078/(100-BE1078)*100</f>
        <v>0</v>
      </c>
      <c r="BE1078" s="38">
        <v>0</v>
      </c>
      <c r="BF1078" s="38">
        <f>K1078</f>
        <v>0.067824</v>
      </c>
      <c r="BH1078" s="38">
        <f>G1078*AO1078</f>
        <v>0</v>
      </c>
      <c r="BI1078" s="38">
        <f>G1078*AP1078</f>
        <v>0</v>
      </c>
      <c r="BJ1078" s="38">
        <f>G1078*H1078</f>
        <v>0</v>
      </c>
      <c r="BK1078" s="38"/>
      <c r="BL1078" s="38">
        <v>97</v>
      </c>
      <c r="BW1078" s="38">
        <v>21</v>
      </c>
    </row>
    <row r="1079" spans="1:12" ht="13.5" customHeight="1">
      <c r="A1079" s="74"/>
      <c r="D1079" s="194" t="s">
        <v>153</v>
      </c>
      <c r="E1079" s="195"/>
      <c r="F1079" s="195"/>
      <c r="G1079" s="195"/>
      <c r="H1079" s="195"/>
      <c r="I1079" s="195"/>
      <c r="J1079" s="195"/>
      <c r="K1079" s="195"/>
      <c r="L1079" s="197"/>
    </row>
    <row r="1080" spans="1:12" ht="15">
      <c r="A1080" s="74"/>
      <c r="D1080" s="75" t="s">
        <v>1913</v>
      </c>
      <c r="E1080" s="75" t="s">
        <v>153</v>
      </c>
      <c r="G1080" s="76">
        <v>0.9</v>
      </c>
      <c r="L1080" s="77"/>
    </row>
    <row r="1081" spans="1:75" ht="13.5" customHeight="1">
      <c r="A1081" s="1" t="s">
        <v>1914</v>
      </c>
      <c r="B1081" s="2" t="s">
        <v>84</v>
      </c>
      <c r="C1081" s="2" t="s">
        <v>1915</v>
      </c>
      <c r="D1081" s="108" t="s">
        <v>1916</v>
      </c>
      <c r="E1081" s="103"/>
      <c r="F1081" s="2" t="s">
        <v>214</v>
      </c>
      <c r="G1081" s="38">
        <f>'Stavební rozpočet'!G1081</f>
        <v>16.8</v>
      </c>
      <c r="H1081" s="38">
        <f>'Stavební rozpočet'!H1081</f>
        <v>0</v>
      </c>
      <c r="I1081" s="38">
        <f>G1081*H1081</f>
        <v>0</v>
      </c>
      <c r="J1081" s="38">
        <f>'Stavební rozpočet'!J1081</f>
        <v>0.00046</v>
      </c>
      <c r="K1081" s="38">
        <f>G1081*J1081</f>
        <v>0.0077280000000000005</v>
      </c>
      <c r="L1081" s="71" t="s">
        <v>136</v>
      </c>
      <c r="Z1081" s="38">
        <f>IF(AQ1081="5",BJ1081,0)</f>
        <v>0</v>
      </c>
      <c r="AB1081" s="38">
        <f>IF(AQ1081="1",BH1081,0)</f>
        <v>0</v>
      </c>
      <c r="AC1081" s="38">
        <f>IF(AQ1081="1",BI1081,0)</f>
        <v>0</v>
      </c>
      <c r="AD1081" s="38">
        <f>IF(AQ1081="7",BH1081,0)</f>
        <v>0</v>
      </c>
      <c r="AE1081" s="38">
        <f>IF(AQ1081="7",BI1081,0)</f>
        <v>0</v>
      </c>
      <c r="AF1081" s="38">
        <f>IF(AQ1081="2",BH1081,0)</f>
        <v>0</v>
      </c>
      <c r="AG1081" s="38">
        <f>IF(AQ1081="2",BI1081,0)</f>
        <v>0</v>
      </c>
      <c r="AH1081" s="38">
        <f>IF(AQ1081="0",BJ1081,0)</f>
        <v>0</v>
      </c>
      <c r="AI1081" s="50" t="s">
        <v>84</v>
      </c>
      <c r="AJ1081" s="38">
        <f>IF(AN1081=0,I1081,0)</f>
        <v>0</v>
      </c>
      <c r="AK1081" s="38">
        <f>IF(AN1081=12,I1081,0)</f>
        <v>0</v>
      </c>
      <c r="AL1081" s="38">
        <f>IF(AN1081=21,I1081,0)</f>
        <v>0</v>
      </c>
      <c r="AN1081" s="38">
        <v>21</v>
      </c>
      <c r="AO1081" s="38">
        <f>H1081*0.162912371</f>
        <v>0</v>
      </c>
      <c r="AP1081" s="38">
        <f>H1081*(1-0.162912371)</f>
        <v>0</v>
      </c>
      <c r="AQ1081" s="72" t="s">
        <v>132</v>
      </c>
      <c r="AV1081" s="38">
        <f>AW1081+AX1081</f>
        <v>0</v>
      </c>
      <c r="AW1081" s="38">
        <f>G1081*AO1081</f>
        <v>0</v>
      </c>
      <c r="AX1081" s="38">
        <f>G1081*AP1081</f>
        <v>0</v>
      </c>
      <c r="AY1081" s="72" t="s">
        <v>1831</v>
      </c>
      <c r="AZ1081" s="72" t="s">
        <v>1657</v>
      </c>
      <c r="BA1081" s="50" t="s">
        <v>139</v>
      </c>
      <c r="BB1081" s="73">
        <v>100010</v>
      </c>
      <c r="BC1081" s="38">
        <f>AW1081+AX1081</f>
        <v>0</v>
      </c>
      <c r="BD1081" s="38">
        <f>H1081/(100-BE1081)*100</f>
        <v>0</v>
      </c>
      <c r="BE1081" s="38">
        <v>0</v>
      </c>
      <c r="BF1081" s="38">
        <f>K1081</f>
        <v>0.0077280000000000005</v>
      </c>
      <c r="BH1081" s="38">
        <f>G1081*AO1081</f>
        <v>0</v>
      </c>
      <c r="BI1081" s="38">
        <f>G1081*AP1081</f>
        <v>0</v>
      </c>
      <c r="BJ1081" s="38">
        <f>G1081*H1081</f>
        <v>0</v>
      </c>
      <c r="BK1081" s="38"/>
      <c r="BL1081" s="38">
        <v>97</v>
      </c>
      <c r="BW1081" s="38">
        <v>21</v>
      </c>
    </row>
    <row r="1082" spans="1:12" ht="13.5" customHeight="1">
      <c r="A1082" s="74"/>
      <c r="D1082" s="194" t="s">
        <v>153</v>
      </c>
      <c r="E1082" s="195"/>
      <c r="F1082" s="195"/>
      <c r="G1082" s="195"/>
      <c r="H1082" s="195"/>
      <c r="I1082" s="195"/>
      <c r="J1082" s="195"/>
      <c r="K1082" s="195"/>
      <c r="L1082" s="197"/>
    </row>
    <row r="1083" spans="1:12" ht="15">
      <c r="A1083" s="74"/>
      <c r="D1083" s="75" t="s">
        <v>1917</v>
      </c>
      <c r="E1083" s="75" t="s">
        <v>153</v>
      </c>
      <c r="G1083" s="76">
        <v>16.8</v>
      </c>
      <c r="L1083" s="77"/>
    </row>
    <row r="1084" spans="1:75" ht="13.5" customHeight="1">
      <c r="A1084" s="1" t="s">
        <v>1918</v>
      </c>
      <c r="B1084" s="2" t="s">
        <v>84</v>
      </c>
      <c r="C1084" s="2" t="s">
        <v>1919</v>
      </c>
      <c r="D1084" s="108" t="s">
        <v>1920</v>
      </c>
      <c r="E1084" s="103"/>
      <c r="F1084" s="2" t="s">
        <v>214</v>
      </c>
      <c r="G1084" s="38">
        <f>'Stavební rozpočet'!G1084</f>
        <v>15.2</v>
      </c>
      <c r="H1084" s="38">
        <f>'Stavební rozpočet'!H1084</f>
        <v>0</v>
      </c>
      <c r="I1084" s="38">
        <f>G1084*H1084</f>
        <v>0</v>
      </c>
      <c r="J1084" s="38">
        <f>'Stavební rozpočet'!J1084</f>
        <v>0.00046</v>
      </c>
      <c r="K1084" s="38">
        <f>G1084*J1084</f>
        <v>0.006992</v>
      </c>
      <c r="L1084" s="71" t="s">
        <v>136</v>
      </c>
      <c r="Z1084" s="38">
        <f>IF(AQ1084="5",BJ1084,0)</f>
        <v>0</v>
      </c>
      <c r="AB1084" s="38">
        <f>IF(AQ1084="1",BH1084,0)</f>
        <v>0</v>
      </c>
      <c r="AC1084" s="38">
        <f>IF(AQ1084="1",BI1084,0)</f>
        <v>0</v>
      </c>
      <c r="AD1084" s="38">
        <f>IF(AQ1084="7",BH1084,0)</f>
        <v>0</v>
      </c>
      <c r="AE1084" s="38">
        <f>IF(AQ1084="7",BI1084,0)</f>
        <v>0</v>
      </c>
      <c r="AF1084" s="38">
        <f>IF(AQ1084="2",BH1084,0)</f>
        <v>0</v>
      </c>
      <c r="AG1084" s="38">
        <f>IF(AQ1084="2",BI1084,0)</f>
        <v>0</v>
      </c>
      <c r="AH1084" s="38">
        <f>IF(AQ1084="0",BJ1084,0)</f>
        <v>0</v>
      </c>
      <c r="AI1084" s="50" t="s">
        <v>84</v>
      </c>
      <c r="AJ1084" s="38">
        <f>IF(AN1084=0,I1084,0)</f>
        <v>0</v>
      </c>
      <c r="AK1084" s="38">
        <f>IF(AN1084=12,I1084,0)</f>
        <v>0</v>
      </c>
      <c r="AL1084" s="38">
        <f>IF(AN1084=21,I1084,0)</f>
        <v>0</v>
      </c>
      <c r="AN1084" s="38">
        <v>21</v>
      </c>
      <c r="AO1084" s="38">
        <f>H1084*0.150902131</f>
        <v>0</v>
      </c>
      <c r="AP1084" s="38">
        <f>H1084*(1-0.150902131)</f>
        <v>0</v>
      </c>
      <c r="AQ1084" s="72" t="s">
        <v>132</v>
      </c>
      <c r="AV1084" s="38">
        <f>AW1084+AX1084</f>
        <v>0</v>
      </c>
      <c r="AW1084" s="38">
        <f>G1084*AO1084</f>
        <v>0</v>
      </c>
      <c r="AX1084" s="38">
        <f>G1084*AP1084</f>
        <v>0</v>
      </c>
      <c r="AY1084" s="72" t="s">
        <v>1831</v>
      </c>
      <c r="AZ1084" s="72" t="s">
        <v>1657</v>
      </c>
      <c r="BA1084" s="50" t="s">
        <v>139</v>
      </c>
      <c r="BB1084" s="73">
        <v>100010</v>
      </c>
      <c r="BC1084" s="38">
        <f>AW1084+AX1084</f>
        <v>0</v>
      </c>
      <c r="BD1084" s="38">
        <f>H1084/(100-BE1084)*100</f>
        <v>0</v>
      </c>
      <c r="BE1084" s="38">
        <v>0</v>
      </c>
      <c r="BF1084" s="38">
        <f>K1084</f>
        <v>0.006992</v>
      </c>
      <c r="BH1084" s="38">
        <f>G1084*AO1084</f>
        <v>0</v>
      </c>
      <c r="BI1084" s="38">
        <f>G1084*AP1084</f>
        <v>0</v>
      </c>
      <c r="BJ1084" s="38">
        <f>G1084*H1084</f>
        <v>0</v>
      </c>
      <c r="BK1084" s="38"/>
      <c r="BL1084" s="38">
        <v>97</v>
      </c>
      <c r="BW1084" s="38">
        <v>21</v>
      </c>
    </row>
    <row r="1085" spans="1:12" ht="13.5" customHeight="1">
      <c r="A1085" s="74"/>
      <c r="D1085" s="194" t="s">
        <v>153</v>
      </c>
      <c r="E1085" s="195"/>
      <c r="F1085" s="195"/>
      <c r="G1085" s="195"/>
      <c r="H1085" s="195"/>
      <c r="I1085" s="195"/>
      <c r="J1085" s="195"/>
      <c r="K1085" s="195"/>
      <c r="L1085" s="197"/>
    </row>
    <row r="1086" spans="1:12" ht="15">
      <c r="A1086" s="74"/>
      <c r="D1086" s="75" t="s">
        <v>1921</v>
      </c>
      <c r="E1086" s="75" t="s">
        <v>153</v>
      </c>
      <c r="G1086" s="76">
        <v>15.2</v>
      </c>
      <c r="L1086" s="77"/>
    </row>
    <row r="1087" spans="1:75" ht="13.5" customHeight="1">
      <c r="A1087" s="1" t="s">
        <v>1922</v>
      </c>
      <c r="B1087" s="2" t="s">
        <v>84</v>
      </c>
      <c r="C1087" s="2" t="s">
        <v>1923</v>
      </c>
      <c r="D1087" s="108" t="s">
        <v>1924</v>
      </c>
      <c r="E1087" s="103"/>
      <c r="F1087" s="2" t="s">
        <v>263</v>
      </c>
      <c r="G1087" s="38">
        <f>'Stavební rozpočet'!G1087</f>
        <v>25.2</v>
      </c>
      <c r="H1087" s="38">
        <f>'Stavební rozpočet'!H1087</f>
        <v>0</v>
      </c>
      <c r="I1087" s="38">
        <f>G1087*H1087</f>
        <v>0</v>
      </c>
      <c r="J1087" s="38">
        <f>'Stavební rozpočet'!J1087</f>
        <v>0.059</v>
      </c>
      <c r="K1087" s="38">
        <f>G1087*J1087</f>
        <v>1.4868</v>
      </c>
      <c r="L1087" s="71" t="s">
        <v>136</v>
      </c>
      <c r="Z1087" s="38">
        <f>IF(AQ1087="5",BJ1087,0)</f>
        <v>0</v>
      </c>
      <c r="AB1087" s="38">
        <f>IF(AQ1087="1",BH1087,0)</f>
        <v>0</v>
      </c>
      <c r="AC1087" s="38">
        <f>IF(AQ1087="1",BI1087,0)</f>
        <v>0</v>
      </c>
      <c r="AD1087" s="38">
        <f>IF(AQ1087="7",BH1087,0)</f>
        <v>0</v>
      </c>
      <c r="AE1087" s="38">
        <f>IF(AQ1087="7",BI1087,0)</f>
        <v>0</v>
      </c>
      <c r="AF1087" s="38">
        <f>IF(AQ1087="2",BH1087,0)</f>
        <v>0</v>
      </c>
      <c r="AG1087" s="38">
        <f>IF(AQ1087="2",BI1087,0)</f>
        <v>0</v>
      </c>
      <c r="AH1087" s="38">
        <f>IF(AQ1087="0",BJ1087,0)</f>
        <v>0</v>
      </c>
      <c r="AI1087" s="50" t="s">
        <v>84</v>
      </c>
      <c r="AJ1087" s="38">
        <f>IF(AN1087=0,I1087,0)</f>
        <v>0</v>
      </c>
      <c r="AK1087" s="38">
        <f>IF(AN1087=12,I1087,0)</f>
        <v>0</v>
      </c>
      <c r="AL1087" s="38">
        <f>IF(AN1087=21,I1087,0)</f>
        <v>0</v>
      </c>
      <c r="AN1087" s="38">
        <v>21</v>
      </c>
      <c r="AO1087" s="38">
        <f>H1087*0</f>
        <v>0</v>
      </c>
      <c r="AP1087" s="38">
        <f>H1087*(1-0)</f>
        <v>0</v>
      </c>
      <c r="AQ1087" s="72" t="s">
        <v>132</v>
      </c>
      <c r="AV1087" s="38">
        <f>AW1087+AX1087</f>
        <v>0</v>
      </c>
      <c r="AW1087" s="38">
        <f>G1087*AO1087</f>
        <v>0</v>
      </c>
      <c r="AX1087" s="38">
        <f>G1087*AP1087</f>
        <v>0</v>
      </c>
      <c r="AY1087" s="72" t="s">
        <v>1831</v>
      </c>
      <c r="AZ1087" s="72" t="s">
        <v>1657</v>
      </c>
      <c r="BA1087" s="50" t="s">
        <v>139</v>
      </c>
      <c r="BB1087" s="73">
        <v>100010</v>
      </c>
      <c r="BC1087" s="38">
        <f>AW1087+AX1087</f>
        <v>0</v>
      </c>
      <c r="BD1087" s="38">
        <f>H1087/(100-BE1087)*100</f>
        <v>0</v>
      </c>
      <c r="BE1087" s="38">
        <v>0</v>
      </c>
      <c r="BF1087" s="38">
        <f>K1087</f>
        <v>1.4868</v>
      </c>
      <c r="BH1087" s="38">
        <f>G1087*AO1087</f>
        <v>0</v>
      </c>
      <c r="BI1087" s="38">
        <f>G1087*AP1087</f>
        <v>0</v>
      </c>
      <c r="BJ1087" s="38">
        <f>G1087*H1087</f>
        <v>0</v>
      </c>
      <c r="BK1087" s="38"/>
      <c r="BL1087" s="38">
        <v>97</v>
      </c>
      <c r="BW1087" s="38">
        <v>21</v>
      </c>
    </row>
    <row r="1088" spans="1:12" ht="15">
      <c r="A1088" s="74"/>
      <c r="D1088" s="75" t="s">
        <v>636</v>
      </c>
      <c r="E1088" s="75" t="s">
        <v>1925</v>
      </c>
      <c r="G1088" s="76">
        <v>25.2</v>
      </c>
      <c r="L1088" s="77"/>
    </row>
    <row r="1089" spans="1:75" ht="13.5" customHeight="1">
      <c r="A1089" s="1" t="s">
        <v>1926</v>
      </c>
      <c r="B1089" s="2" t="s">
        <v>84</v>
      </c>
      <c r="C1089" s="2" t="s">
        <v>1927</v>
      </c>
      <c r="D1089" s="108" t="s">
        <v>1928</v>
      </c>
      <c r="E1089" s="103"/>
      <c r="F1089" s="2" t="s">
        <v>263</v>
      </c>
      <c r="G1089" s="38">
        <f>'Stavební rozpočet'!G1089</f>
        <v>13.34</v>
      </c>
      <c r="H1089" s="38">
        <f>'Stavební rozpočet'!H1089</f>
        <v>0</v>
      </c>
      <c r="I1089" s="38">
        <f>G1089*H1089</f>
        <v>0</v>
      </c>
      <c r="J1089" s="38">
        <f>'Stavební rozpočet'!J1089</f>
        <v>0.05</v>
      </c>
      <c r="K1089" s="38">
        <f>G1089*J1089</f>
        <v>0.667</v>
      </c>
      <c r="L1089" s="71" t="s">
        <v>136</v>
      </c>
      <c r="Z1089" s="38">
        <f>IF(AQ1089="5",BJ1089,0)</f>
        <v>0</v>
      </c>
      <c r="AB1089" s="38">
        <f>IF(AQ1089="1",BH1089,0)</f>
        <v>0</v>
      </c>
      <c r="AC1089" s="38">
        <f>IF(AQ1089="1",BI1089,0)</f>
        <v>0</v>
      </c>
      <c r="AD1089" s="38">
        <f>IF(AQ1089="7",BH1089,0)</f>
        <v>0</v>
      </c>
      <c r="AE1089" s="38">
        <f>IF(AQ1089="7",BI1089,0)</f>
        <v>0</v>
      </c>
      <c r="AF1089" s="38">
        <f>IF(AQ1089="2",BH1089,0)</f>
        <v>0</v>
      </c>
      <c r="AG1089" s="38">
        <f>IF(AQ1089="2",BI1089,0)</f>
        <v>0</v>
      </c>
      <c r="AH1089" s="38">
        <f>IF(AQ1089="0",BJ1089,0)</f>
        <v>0</v>
      </c>
      <c r="AI1089" s="50" t="s">
        <v>84</v>
      </c>
      <c r="AJ1089" s="38">
        <f>IF(AN1089=0,I1089,0)</f>
        <v>0</v>
      </c>
      <c r="AK1089" s="38">
        <f>IF(AN1089=12,I1089,0)</f>
        <v>0</v>
      </c>
      <c r="AL1089" s="38">
        <f>IF(AN1089=21,I1089,0)</f>
        <v>0</v>
      </c>
      <c r="AN1089" s="38">
        <v>21</v>
      </c>
      <c r="AO1089" s="38">
        <f>H1089*0</f>
        <v>0</v>
      </c>
      <c r="AP1089" s="38">
        <f>H1089*(1-0)</f>
        <v>0</v>
      </c>
      <c r="AQ1089" s="72" t="s">
        <v>132</v>
      </c>
      <c r="AV1089" s="38">
        <f>AW1089+AX1089</f>
        <v>0</v>
      </c>
      <c r="AW1089" s="38">
        <f>G1089*AO1089</f>
        <v>0</v>
      </c>
      <c r="AX1089" s="38">
        <f>G1089*AP1089</f>
        <v>0</v>
      </c>
      <c r="AY1089" s="72" t="s">
        <v>1831</v>
      </c>
      <c r="AZ1089" s="72" t="s">
        <v>1657</v>
      </c>
      <c r="BA1089" s="50" t="s">
        <v>139</v>
      </c>
      <c r="BB1089" s="73">
        <v>100010</v>
      </c>
      <c r="BC1089" s="38">
        <f>AW1089+AX1089</f>
        <v>0</v>
      </c>
      <c r="BD1089" s="38">
        <f>H1089/(100-BE1089)*100</f>
        <v>0</v>
      </c>
      <c r="BE1089" s="38">
        <v>0</v>
      </c>
      <c r="BF1089" s="38">
        <f>K1089</f>
        <v>0.667</v>
      </c>
      <c r="BH1089" s="38">
        <f>G1089*AO1089</f>
        <v>0</v>
      </c>
      <c r="BI1089" s="38">
        <f>G1089*AP1089</f>
        <v>0</v>
      </c>
      <c r="BJ1089" s="38">
        <f>G1089*H1089</f>
        <v>0</v>
      </c>
      <c r="BK1089" s="38"/>
      <c r="BL1089" s="38">
        <v>97</v>
      </c>
      <c r="BW1089" s="38">
        <v>21</v>
      </c>
    </row>
    <row r="1090" spans="1:12" ht="15">
      <c r="A1090" s="74"/>
      <c r="D1090" s="75" t="s">
        <v>644</v>
      </c>
      <c r="E1090" s="75" t="s">
        <v>4</v>
      </c>
      <c r="G1090" s="76">
        <v>13.34</v>
      </c>
      <c r="L1090" s="77"/>
    </row>
    <row r="1091" spans="1:75" ht="13.5" customHeight="1">
      <c r="A1091" s="1" t="s">
        <v>1929</v>
      </c>
      <c r="B1091" s="2" t="s">
        <v>84</v>
      </c>
      <c r="C1091" s="2" t="s">
        <v>1930</v>
      </c>
      <c r="D1091" s="108" t="s">
        <v>1931</v>
      </c>
      <c r="E1091" s="103"/>
      <c r="F1091" s="2" t="s">
        <v>263</v>
      </c>
      <c r="G1091" s="38">
        <f>'Stavební rozpočet'!G1091</f>
        <v>2.25</v>
      </c>
      <c r="H1091" s="38">
        <f>'Stavební rozpočet'!H1091</f>
        <v>0</v>
      </c>
      <c r="I1091" s="38">
        <f>G1091*H1091</f>
        <v>0</v>
      </c>
      <c r="J1091" s="38">
        <f>'Stavební rozpočet'!J1091</f>
        <v>0.042</v>
      </c>
      <c r="K1091" s="38">
        <f>G1091*J1091</f>
        <v>0.0945</v>
      </c>
      <c r="L1091" s="71" t="s">
        <v>207</v>
      </c>
      <c r="Z1091" s="38">
        <f>IF(AQ1091="5",BJ1091,0)</f>
        <v>0</v>
      </c>
      <c r="AB1091" s="38">
        <f>IF(AQ1091="1",BH1091,0)</f>
        <v>0</v>
      </c>
      <c r="AC1091" s="38">
        <f>IF(AQ1091="1",BI1091,0)</f>
        <v>0</v>
      </c>
      <c r="AD1091" s="38">
        <f>IF(AQ1091="7",BH1091,0)</f>
        <v>0</v>
      </c>
      <c r="AE1091" s="38">
        <f>IF(AQ1091="7",BI1091,0)</f>
        <v>0</v>
      </c>
      <c r="AF1091" s="38">
        <f>IF(AQ1091="2",BH1091,0)</f>
        <v>0</v>
      </c>
      <c r="AG1091" s="38">
        <f>IF(AQ1091="2",BI1091,0)</f>
        <v>0</v>
      </c>
      <c r="AH1091" s="38">
        <f>IF(AQ1091="0",BJ1091,0)</f>
        <v>0</v>
      </c>
      <c r="AI1091" s="50" t="s">
        <v>84</v>
      </c>
      <c r="AJ1091" s="38">
        <f>IF(AN1091=0,I1091,0)</f>
        <v>0</v>
      </c>
      <c r="AK1091" s="38">
        <f>IF(AN1091=12,I1091,0)</f>
        <v>0</v>
      </c>
      <c r="AL1091" s="38">
        <f>IF(AN1091=21,I1091,0)</f>
        <v>0</v>
      </c>
      <c r="AN1091" s="38">
        <v>21</v>
      </c>
      <c r="AO1091" s="38">
        <f>H1091*0</f>
        <v>0</v>
      </c>
      <c r="AP1091" s="38">
        <f>H1091*(1-0)</f>
        <v>0</v>
      </c>
      <c r="AQ1091" s="72" t="s">
        <v>132</v>
      </c>
      <c r="AV1091" s="38">
        <f>AW1091+AX1091</f>
        <v>0</v>
      </c>
      <c r="AW1091" s="38">
        <f>G1091*AO1091</f>
        <v>0</v>
      </c>
      <c r="AX1091" s="38">
        <f>G1091*AP1091</f>
        <v>0</v>
      </c>
      <c r="AY1091" s="72" t="s">
        <v>1831</v>
      </c>
      <c r="AZ1091" s="72" t="s">
        <v>1657</v>
      </c>
      <c r="BA1091" s="50" t="s">
        <v>139</v>
      </c>
      <c r="BB1091" s="73">
        <v>100010</v>
      </c>
      <c r="BC1091" s="38">
        <f>AW1091+AX1091</f>
        <v>0</v>
      </c>
      <c r="BD1091" s="38">
        <f>H1091/(100-BE1091)*100</f>
        <v>0</v>
      </c>
      <c r="BE1091" s="38">
        <v>0</v>
      </c>
      <c r="BF1091" s="38">
        <f>K1091</f>
        <v>0.0945</v>
      </c>
      <c r="BH1091" s="38">
        <f>G1091*AO1091</f>
        <v>0</v>
      </c>
      <c r="BI1091" s="38">
        <f>G1091*AP1091</f>
        <v>0</v>
      </c>
      <c r="BJ1091" s="38">
        <f>G1091*H1091</f>
        <v>0</v>
      </c>
      <c r="BK1091" s="38"/>
      <c r="BL1091" s="38">
        <v>97</v>
      </c>
      <c r="BW1091" s="38">
        <v>21</v>
      </c>
    </row>
    <row r="1092" spans="1:12" ht="13.5" customHeight="1">
      <c r="A1092" s="74"/>
      <c r="D1092" s="194" t="s">
        <v>142</v>
      </c>
      <c r="E1092" s="195"/>
      <c r="F1092" s="195"/>
      <c r="G1092" s="195"/>
      <c r="H1092" s="195"/>
      <c r="I1092" s="195"/>
      <c r="J1092" s="195"/>
      <c r="K1092" s="195"/>
      <c r="L1092" s="197"/>
    </row>
    <row r="1093" spans="1:12" ht="15">
      <c r="A1093" s="74"/>
      <c r="D1093" s="75" t="s">
        <v>1932</v>
      </c>
      <c r="E1093" s="75" t="s">
        <v>4</v>
      </c>
      <c r="G1093" s="76">
        <v>2.25</v>
      </c>
      <c r="L1093" s="77"/>
    </row>
    <row r="1094" spans="1:75" ht="13.5" customHeight="1">
      <c r="A1094" s="1" t="s">
        <v>1933</v>
      </c>
      <c r="B1094" s="2" t="s">
        <v>84</v>
      </c>
      <c r="C1094" s="2" t="s">
        <v>1934</v>
      </c>
      <c r="D1094" s="108" t="s">
        <v>1935</v>
      </c>
      <c r="E1094" s="103"/>
      <c r="F1094" s="2" t="s">
        <v>263</v>
      </c>
      <c r="G1094" s="38">
        <f>'Stavební rozpočet'!G1094</f>
        <v>1.4</v>
      </c>
      <c r="H1094" s="38">
        <f>'Stavební rozpočet'!H1094</f>
        <v>0</v>
      </c>
      <c r="I1094" s="38">
        <f>G1094*H1094</f>
        <v>0</v>
      </c>
      <c r="J1094" s="38">
        <f>'Stavební rozpočet'!J1094</f>
        <v>0</v>
      </c>
      <c r="K1094" s="38">
        <f>G1094*J1094</f>
        <v>0</v>
      </c>
      <c r="L1094" s="71" t="s">
        <v>207</v>
      </c>
      <c r="Z1094" s="38">
        <f>IF(AQ1094="5",BJ1094,0)</f>
        <v>0</v>
      </c>
      <c r="AB1094" s="38">
        <f>IF(AQ1094="1",BH1094,0)</f>
        <v>0</v>
      </c>
      <c r="AC1094" s="38">
        <f>IF(AQ1094="1",BI1094,0)</f>
        <v>0</v>
      </c>
      <c r="AD1094" s="38">
        <f>IF(AQ1094="7",BH1094,0)</f>
        <v>0</v>
      </c>
      <c r="AE1094" s="38">
        <f>IF(AQ1094="7",BI1094,0)</f>
        <v>0</v>
      </c>
      <c r="AF1094" s="38">
        <f>IF(AQ1094="2",BH1094,0)</f>
        <v>0</v>
      </c>
      <c r="AG1094" s="38">
        <f>IF(AQ1094="2",BI1094,0)</f>
        <v>0</v>
      </c>
      <c r="AH1094" s="38">
        <f>IF(AQ1094="0",BJ1094,0)</f>
        <v>0</v>
      </c>
      <c r="AI1094" s="50" t="s">
        <v>84</v>
      </c>
      <c r="AJ1094" s="38">
        <f>IF(AN1094=0,I1094,0)</f>
        <v>0</v>
      </c>
      <c r="AK1094" s="38">
        <f>IF(AN1094=12,I1094,0)</f>
        <v>0</v>
      </c>
      <c r="AL1094" s="38">
        <f>IF(AN1094=21,I1094,0)</f>
        <v>0</v>
      </c>
      <c r="AN1094" s="38">
        <v>21</v>
      </c>
      <c r="AO1094" s="38">
        <f>H1094*0</f>
        <v>0</v>
      </c>
      <c r="AP1094" s="38">
        <f>H1094*(1-0)</f>
        <v>0</v>
      </c>
      <c r="AQ1094" s="72" t="s">
        <v>132</v>
      </c>
      <c r="AV1094" s="38">
        <f>AW1094+AX1094</f>
        <v>0</v>
      </c>
      <c r="AW1094" s="38">
        <f>G1094*AO1094</f>
        <v>0</v>
      </c>
      <c r="AX1094" s="38">
        <f>G1094*AP1094</f>
        <v>0</v>
      </c>
      <c r="AY1094" s="72" t="s">
        <v>1831</v>
      </c>
      <c r="AZ1094" s="72" t="s">
        <v>1657</v>
      </c>
      <c r="BA1094" s="50" t="s">
        <v>139</v>
      </c>
      <c r="BB1094" s="73">
        <v>100010</v>
      </c>
      <c r="BC1094" s="38">
        <f>AW1094+AX1094</f>
        <v>0</v>
      </c>
      <c r="BD1094" s="38">
        <f>H1094/(100-BE1094)*100</f>
        <v>0</v>
      </c>
      <c r="BE1094" s="38">
        <v>0</v>
      </c>
      <c r="BF1094" s="38">
        <f>K1094</f>
        <v>0</v>
      </c>
      <c r="BH1094" s="38">
        <f>G1094*AO1094</f>
        <v>0</v>
      </c>
      <c r="BI1094" s="38">
        <f>G1094*AP1094</f>
        <v>0</v>
      </c>
      <c r="BJ1094" s="38">
        <f>G1094*H1094</f>
        <v>0</v>
      </c>
      <c r="BK1094" s="38"/>
      <c r="BL1094" s="38">
        <v>97</v>
      </c>
      <c r="BW1094" s="38">
        <v>21</v>
      </c>
    </row>
    <row r="1095" spans="1:12" ht="15">
      <c r="A1095" s="74"/>
      <c r="D1095" s="75" t="s">
        <v>1936</v>
      </c>
      <c r="E1095" s="75" t="s">
        <v>4</v>
      </c>
      <c r="G1095" s="76">
        <v>1.4</v>
      </c>
      <c r="L1095" s="77"/>
    </row>
    <row r="1096" spans="1:75" ht="13.5" customHeight="1">
      <c r="A1096" s="1" t="s">
        <v>1937</v>
      </c>
      <c r="B1096" s="2" t="s">
        <v>84</v>
      </c>
      <c r="C1096" s="2" t="s">
        <v>1938</v>
      </c>
      <c r="D1096" s="108" t="s">
        <v>1939</v>
      </c>
      <c r="E1096" s="103"/>
      <c r="F1096" s="2" t="s">
        <v>199</v>
      </c>
      <c r="G1096" s="38">
        <f>'Stavební rozpočet'!G1096</f>
        <v>2</v>
      </c>
      <c r="H1096" s="38">
        <f>'Stavební rozpočet'!H1096</f>
        <v>0</v>
      </c>
      <c r="I1096" s="38">
        <f>G1096*H1096</f>
        <v>0</v>
      </c>
      <c r="J1096" s="38">
        <f>'Stavební rozpočet'!J1096</f>
        <v>0</v>
      </c>
      <c r="K1096" s="38">
        <f>G1096*J1096</f>
        <v>0</v>
      </c>
      <c r="L1096" s="71" t="s">
        <v>207</v>
      </c>
      <c r="Z1096" s="38">
        <f>IF(AQ1096="5",BJ1096,0)</f>
        <v>0</v>
      </c>
      <c r="AB1096" s="38">
        <f>IF(AQ1096="1",BH1096,0)</f>
        <v>0</v>
      </c>
      <c r="AC1096" s="38">
        <f>IF(AQ1096="1",BI1096,0)</f>
        <v>0</v>
      </c>
      <c r="AD1096" s="38">
        <f>IF(AQ1096="7",BH1096,0)</f>
        <v>0</v>
      </c>
      <c r="AE1096" s="38">
        <f>IF(AQ1096="7",BI1096,0)</f>
        <v>0</v>
      </c>
      <c r="AF1096" s="38">
        <f>IF(AQ1096="2",BH1096,0)</f>
        <v>0</v>
      </c>
      <c r="AG1096" s="38">
        <f>IF(AQ1096="2",BI1096,0)</f>
        <v>0</v>
      </c>
      <c r="AH1096" s="38">
        <f>IF(AQ1096="0",BJ1096,0)</f>
        <v>0</v>
      </c>
      <c r="AI1096" s="50" t="s">
        <v>84</v>
      </c>
      <c r="AJ1096" s="38">
        <f>IF(AN1096=0,I1096,0)</f>
        <v>0</v>
      </c>
      <c r="AK1096" s="38">
        <f>IF(AN1096=12,I1096,0)</f>
        <v>0</v>
      </c>
      <c r="AL1096" s="38">
        <f>IF(AN1096=21,I1096,0)</f>
        <v>0</v>
      </c>
      <c r="AN1096" s="38">
        <v>21</v>
      </c>
      <c r="AO1096" s="38">
        <f>H1096*0</f>
        <v>0</v>
      </c>
      <c r="AP1096" s="38">
        <f>H1096*(1-0)</f>
        <v>0</v>
      </c>
      <c r="AQ1096" s="72" t="s">
        <v>132</v>
      </c>
      <c r="AV1096" s="38">
        <f>AW1096+AX1096</f>
        <v>0</v>
      </c>
      <c r="AW1096" s="38">
        <f>G1096*AO1096</f>
        <v>0</v>
      </c>
      <c r="AX1096" s="38">
        <f>G1096*AP1096</f>
        <v>0</v>
      </c>
      <c r="AY1096" s="72" t="s">
        <v>1831</v>
      </c>
      <c r="AZ1096" s="72" t="s">
        <v>1657</v>
      </c>
      <c r="BA1096" s="50" t="s">
        <v>139</v>
      </c>
      <c r="BC1096" s="38">
        <f>AW1096+AX1096</f>
        <v>0</v>
      </c>
      <c r="BD1096" s="38">
        <f>H1096/(100-BE1096)*100</f>
        <v>0</v>
      </c>
      <c r="BE1096" s="38">
        <v>0</v>
      </c>
      <c r="BF1096" s="38">
        <f>K1096</f>
        <v>0</v>
      </c>
      <c r="BH1096" s="38">
        <f>G1096*AO1096</f>
        <v>0</v>
      </c>
      <c r="BI1096" s="38">
        <f>G1096*AP1096</f>
        <v>0</v>
      </c>
      <c r="BJ1096" s="38">
        <f>G1096*H1096</f>
        <v>0</v>
      </c>
      <c r="BK1096" s="38"/>
      <c r="BL1096" s="38">
        <v>97</v>
      </c>
      <c r="BW1096" s="38">
        <v>21</v>
      </c>
    </row>
    <row r="1097" spans="1:12" ht="13.5" customHeight="1">
      <c r="A1097" s="74"/>
      <c r="D1097" s="194" t="s">
        <v>1940</v>
      </c>
      <c r="E1097" s="195"/>
      <c r="F1097" s="195"/>
      <c r="G1097" s="195"/>
      <c r="H1097" s="195"/>
      <c r="I1097" s="195"/>
      <c r="J1097" s="195"/>
      <c r="K1097" s="195"/>
      <c r="L1097" s="197"/>
    </row>
    <row r="1098" spans="1:12" ht="15">
      <c r="A1098" s="74"/>
      <c r="D1098" s="75" t="s">
        <v>143</v>
      </c>
      <c r="E1098" s="75" t="s">
        <v>4</v>
      </c>
      <c r="G1098" s="76">
        <v>2</v>
      </c>
      <c r="L1098" s="77"/>
    </row>
    <row r="1099" spans="1:47" ht="15">
      <c r="A1099" s="65" t="s">
        <v>4</v>
      </c>
      <c r="B1099" s="66" t="s">
        <v>84</v>
      </c>
      <c r="C1099" s="66" t="s">
        <v>1941</v>
      </c>
      <c r="D1099" s="192" t="s">
        <v>1942</v>
      </c>
      <c r="E1099" s="193"/>
      <c r="F1099" s="67" t="s">
        <v>78</v>
      </c>
      <c r="G1099" s="67" t="s">
        <v>78</v>
      </c>
      <c r="H1099" s="67" t="s">
        <v>78</v>
      </c>
      <c r="I1099" s="44">
        <f>SUM(I1100:I1100)</f>
        <v>0</v>
      </c>
      <c r="J1099" s="50" t="s">
        <v>4</v>
      </c>
      <c r="K1099" s="44">
        <f>SUM(K1100:K1100)</f>
        <v>0</v>
      </c>
      <c r="L1099" s="69" t="s">
        <v>4</v>
      </c>
      <c r="AI1099" s="50" t="s">
        <v>84</v>
      </c>
      <c r="AS1099" s="44">
        <f>SUM(AJ1100:AJ1100)</f>
        <v>0</v>
      </c>
      <c r="AT1099" s="44">
        <f>SUM(AK1100:AK1100)</f>
        <v>0</v>
      </c>
      <c r="AU1099" s="44">
        <f>SUM(AL1100:AL1100)</f>
        <v>0</v>
      </c>
    </row>
    <row r="1100" spans="1:75" ht="13.5" customHeight="1">
      <c r="A1100" s="1" t="s">
        <v>1943</v>
      </c>
      <c r="B1100" s="2" t="s">
        <v>84</v>
      </c>
      <c r="C1100" s="2" t="s">
        <v>1944</v>
      </c>
      <c r="D1100" s="108" t="s">
        <v>1945</v>
      </c>
      <c r="E1100" s="103"/>
      <c r="F1100" s="2" t="s">
        <v>189</v>
      </c>
      <c r="G1100" s="38">
        <f>'Stavební rozpočet'!G1100</f>
        <v>236.48</v>
      </c>
      <c r="H1100" s="38">
        <f>'Stavební rozpočet'!H1100</f>
        <v>0</v>
      </c>
      <c r="I1100" s="38">
        <f>G1100*H1100</f>
        <v>0</v>
      </c>
      <c r="J1100" s="38">
        <f>'Stavební rozpočet'!J1100</f>
        <v>0</v>
      </c>
      <c r="K1100" s="38">
        <f>G1100*J1100</f>
        <v>0</v>
      </c>
      <c r="L1100" s="71" t="s">
        <v>136</v>
      </c>
      <c r="Z1100" s="38">
        <f>IF(AQ1100="5",BJ1100,0)</f>
        <v>0</v>
      </c>
      <c r="AB1100" s="38">
        <f>IF(AQ1100="1",BH1100,0)</f>
        <v>0</v>
      </c>
      <c r="AC1100" s="38">
        <f>IF(AQ1100="1",BI1100,0)</f>
        <v>0</v>
      </c>
      <c r="AD1100" s="38">
        <f>IF(AQ1100="7",BH1100,0)</f>
        <v>0</v>
      </c>
      <c r="AE1100" s="38">
        <f>IF(AQ1100="7",BI1100,0)</f>
        <v>0</v>
      </c>
      <c r="AF1100" s="38">
        <f>IF(AQ1100="2",BH1100,0)</f>
        <v>0</v>
      </c>
      <c r="AG1100" s="38">
        <f>IF(AQ1100="2",BI1100,0)</f>
        <v>0</v>
      </c>
      <c r="AH1100" s="38">
        <f>IF(AQ1100="0",BJ1100,0)</f>
        <v>0</v>
      </c>
      <c r="AI1100" s="50" t="s">
        <v>84</v>
      </c>
      <c r="AJ1100" s="38">
        <f>IF(AN1100=0,I1100,0)</f>
        <v>0</v>
      </c>
      <c r="AK1100" s="38">
        <f>IF(AN1100=12,I1100,0)</f>
        <v>0</v>
      </c>
      <c r="AL1100" s="38">
        <f>IF(AN1100=21,I1100,0)</f>
        <v>0</v>
      </c>
      <c r="AN1100" s="38">
        <v>21</v>
      </c>
      <c r="AO1100" s="38">
        <f>H1100*0</f>
        <v>0</v>
      </c>
      <c r="AP1100" s="38">
        <f>H1100*(1-0)</f>
        <v>0</v>
      </c>
      <c r="AQ1100" s="72" t="s">
        <v>162</v>
      </c>
      <c r="AV1100" s="38">
        <f>AW1100+AX1100</f>
        <v>0</v>
      </c>
      <c r="AW1100" s="38">
        <f>G1100*AO1100</f>
        <v>0</v>
      </c>
      <c r="AX1100" s="38">
        <f>G1100*AP1100</f>
        <v>0</v>
      </c>
      <c r="AY1100" s="72" t="s">
        <v>1946</v>
      </c>
      <c r="AZ1100" s="72" t="s">
        <v>1657</v>
      </c>
      <c r="BA1100" s="50" t="s">
        <v>139</v>
      </c>
      <c r="BC1100" s="38">
        <f>AW1100+AX1100</f>
        <v>0</v>
      </c>
      <c r="BD1100" s="38">
        <f>H1100/(100-BE1100)*100</f>
        <v>0</v>
      </c>
      <c r="BE1100" s="38">
        <v>0</v>
      </c>
      <c r="BF1100" s="38">
        <f>K1100</f>
        <v>0</v>
      </c>
      <c r="BH1100" s="38">
        <f>G1100*AO1100</f>
        <v>0</v>
      </c>
      <c r="BI1100" s="38">
        <f>G1100*AP1100</f>
        <v>0</v>
      </c>
      <c r="BJ1100" s="38">
        <f>G1100*H1100</f>
        <v>0</v>
      </c>
      <c r="BK1100" s="38"/>
      <c r="BL1100" s="38"/>
      <c r="BW1100" s="38">
        <v>21</v>
      </c>
    </row>
    <row r="1101" spans="1:12" ht="15">
      <c r="A1101" s="74"/>
      <c r="D1101" s="75" t="s">
        <v>1947</v>
      </c>
      <c r="E1101" s="75" t="s">
        <v>4</v>
      </c>
      <c r="G1101" s="76">
        <v>236.48</v>
      </c>
      <c r="L1101" s="77"/>
    </row>
    <row r="1102" spans="1:47" ht="15">
      <c r="A1102" s="65" t="s">
        <v>4</v>
      </c>
      <c r="B1102" s="66" t="s">
        <v>84</v>
      </c>
      <c r="C1102" s="66" t="s">
        <v>1948</v>
      </c>
      <c r="D1102" s="192" t="s">
        <v>1949</v>
      </c>
      <c r="E1102" s="193"/>
      <c r="F1102" s="67" t="s">
        <v>78</v>
      </c>
      <c r="G1102" s="67" t="s">
        <v>78</v>
      </c>
      <c r="H1102" s="67" t="s">
        <v>78</v>
      </c>
      <c r="I1102" s="44">
        <f>SUM(I1103:I1105)</f>
        <v>0</v>
      </c>
      <c r="J1102" s="50" t="s">
        <v>4</v>
      </c>
      <c r="K1102" s="44">
        <f>SUM(K1103:K1105)</f>
        <v>0</v>
      </c>
      <c r="L1102" s="69" t="s">
        <v>4</v>
      </c>
      <c r="AI1102" s="50" t="s">
        <v>84</v>
      </c>
      <c r="AS1102" s="44">
        <f>SUM(AJ1103:AJ1105)</f>
        <v>0</v>
      </c>
      <c r="AT1102" s="44">
        <f>SUM(AK1103:AK1105)</f>
        <v>0</v>
      </c>
      <c r="AU1102" s="44">
        <f>SUM(AL1103:AL1105)</f>
        <v>0</v>
      </c>
    </row>
    <row r="1103" spans="1:75" ht="13.5" customHeight="1">
      <c r="A1103" s="1" t="s">
        <v>1950</v>
      </c>
      <c r="B1103" s="2" t="s">
        <v>84</v>
      </c>
      <c r="C1103" s="2" t="s">
        <v>1951</v>
      </c>
      <c r="D1103" s="108" t="s">
        <v>1952</v>
      </c>
      <c r="E1103" s="103"/>
      <c r="F1103" s="2" t="s">
        <v>471</v>
      </c>
      <c r="G1103" s="38">
        <f>'Stavební rozpočet'!G1103</f>
        <v>1</v>
      </c>
      <c r="H1103" s="38">
        <f>'Stavební rozpočet'!H1103</f>
        <v>0</v>
      </c>
      <c r="I1103" s="38">
        <f>G1103*H1103</f>
        <v>0</v>
      </c>
      <c r="J1103" s="38">
        <f>'Stavební rozpočet'!J1103</f>
        <v>0</v>
      </c>
      <c r="K1103" s="38">
        <f>G1103*J1103</f>
        <v>0</v>
      </c>
      <c r="L1103" s="71" t="s">
        <v>207</v>
      </c>
      <c r="Z1103" s="38">
        <f>IF(AQ1103="5",BJ1103,0)</f>
        <v>0</v>
      </c>
      <c r="AB1103" s="38">
        <f>IF(AQ1103="1",BH1103,0)</f>
        <v>0</v>
      </c>
      <c r="AC1103" s="38">
        <f>IF(AQ1103="1",BI1103,0)</f>
        <v>0</v>
      </c>
      <c r="AD1103" s="38">
        <f>IF(AQ1103="7",BH1103,0)</f>
        <v>0</v>
      </c>
      <c r="AE1103" s="38">
        <f>IF(AQ1103="7",BI1103,0)</f>
        <v>0</v>
      </c>
      <c r="AF1103" s="38">
        <f>IF(AQ1103="2",BH1103,0)</f>
        <v>0</v>
      </c>
      <c r="AG1103" s="38">
        <f>IF(AQ1103="2",BI1103,0)</f>
        <v>0</v>
      </c>
      <c r="AH1103" s="38">
        <f>IF(AQ1103="0",BJ1103,0)</f>
        <v>0</v>
      </c>
      <c r="AI1103" s="50" t="s">
        <v>84</v>
      </c>
      <c r="AJ1103" s="38">
        <f>IF(AN1103=0,I1103,0)</f>
        <v>0</v>
      </c>
      <c r="AK1103" s="38">
        <f>IF(AN1103=12,I1103,0)</f>
        <v>0</v>
      </c>
      <c r="AL1103" s="38">
        <f>IF(AN1103=21,I1103,0)</f>
        <v>0</v>
      </c>
      <c r="AN1103" s="38">
        <v>21</v>
      </c>
      <c r="AO1103" s="38">
        <f>H1103*0</f>
        <v>0</v>
      </c>
      <c r="AP1103" s="38">
        <f>H1103*(1-0)</f>
        <v>0</v>
      </c>
      <c r="AQ1103" s="72" t="s">
        <v>132</v>
      </c>
      <c r="AV1103" s="38">
        <f>AW1103+AX1103</f>
        <v>0</v>
      </c>
      <c r="AW1103" s="38">
        <f>G1103*AO1103</f>
        <v>0</v>
      </c>
      <c r="AX1103" s="38">
        <f>G1103*AP1103</f>
        <v>0</v>
      </c>
      <c r="AY1103" s="72" t="s">
        <v>1953</v>
      </c>
      <c r="AZ1103" s="72" t="s">
        <v>1657</v>
      </c>
      <c r="BA1103" s="50" t="s">
        <v>139</v>
      </c>
      <c r="BB1103" s="73">
        <v>100032</v>
      </c>
      <c r="BC1103" s="38">
        <f>AW1103+AX1103</f>
        <v>0</v>
      </c>
      <c r="BD1103" s="38">
        <f>H1103/(100-BE1103)*100</f>
        <v>0</v>
      </c>
      <c r="BE1103" s="38">
        <v>0</v>
      </c>
      <c r="BF1103" s="38">
        <f>K1103</f>
        <v>0</v>
      </c>
      <c r="BH1103" s="38">
        <f>G1103*AO1103</f>
        <v>0</v>
      </c>
      <c r="BI1103" s="38">
        <f>G1103*AP1103</f>
        <v>0</v>
      </c>
      <c r="BJ1103" s="38">
        <f>G1103*H1103</f>
        <v>0</v>
      </c>
      <c r="BK1103" s="38"/>
      <c r="BL1103" s="38"/>
      <c r="BW1103" s="38">
        <v>21</v>
      </c>
    </row>
    <row r="1104" spans="1:12" ht="15">
      <c r="A1104" s="74"/>
      <c r="D1104" s="75" t="s">
        <v>132</v>
      </c>
      <c r="E1104" s="75" t="s">
        <v>4</v>
      </c>
      <c r="G1104" s="76">
        <v>1</v>
      </c>
      <c r="L1104" s="77"/>
    </row>
    <row r="1105" spans="1:75" ht="13.5" customHeight="1">
      <c r="A1105" s="1" t="s">
        <v>1954</v>
      </c>
      <c r="B1105" s="2" t="s">
        <v>84</v>
      </c>
      <c r="C1105" s="2" t="s">
        <v>1955</v>
      </c>
      <c r="D1105" s="108" t="s">
        <v>1956</v>
      </c>
      <c r="E1105" s="103"/>
      <c r="F1105" s="2" t="s">
        <v>1199</v>
      </c>
      <c r="G1105" s="38">
        <f>'Stavební rozpočet'!G1105</f>
        <v>630</v>
      </c>
      <c r="H1105" s="38">
        <f>'Stavební rozpočet'!H1105</f>
        <v>0</v>
      </c>
      <c r="I1105" s="38">
        <f>G1105*H1105</f>
        <v>0</v>
      </c>
      <c r="J1105" s="38">
        <f>'Stavební rozpočet'!J1105</f>
        <v>0</v>
      </c>
      <c r="K1105" s="38">
        <f>G1105*J1105</f>
        <v>0</v>
      </c>
      <c r="L1105" s="71" t="s">
        <v>136</v>
      </c>
      <c r="Z1105" s="38">
        <f>IF(AQ1105="5",BJ1105,0)</f>
        <v>0</v>
      </c>
      <c r="AB1105" s="38">
        <f>IF(AQ1105="1",BH1105,0)</f>
        <v>0</v>
      </c>
      <c r="AC1105" s="38">
        <f>IF(AQ1105="1",BI1105,0)</f>
        <v>0</v>
      </c>
      <c r="AD1105" s="38">
        <f>IF(AQ1105="7",BH1105,0)</f>
        <v>0</v>
      </c>
      <c r="AE1105" s="38">
        <f>IF(AQ1105="7",BI1105,0)</f>
        <v>0</v>
      </c>
      <c r="AF1105" s="38">
        <f>IF(AQ1105="2",BH1105,0)</f>
        <v>0</v>
      </c>
      <c r="AG1105" s="38">
        <f>IF(AQ1105="2",BI1105,0)</f>
        <v>0</v>
      </c>
      <c r="AH1105" s="38">
        <f>IF(AQ1105="0",BJ1105,0)</f>
        <v>0</v>
      </c>
      <c r="AI1105" s="50" t="s">
        <v>84</v>
      </c>
      <c r="AJ1105" s="38">
        <f>IF(AN1105=0,I1105,0)</f>
        <v>0</v>
      </c>
      <c r="AK1105" s="38">
        <f>IF(AN1105=12,I1105,0)</f>
        <v>0</v>
      </c>
      <c r="AL1105" s="38">
        <f>IF(AN1105=21,I1105,0)</f>
        <v>0</v>
      </c>
      <c r="AN1105" s="38">
        <v>21</v>
      </c>
      <c r="AO1105" s="38">
        <f>H1105*0.432989691</f>
        <v>0</v>
      </c>
      <c r="AP1105" s="38">
        <f>H1105*(1-0.432989691)</f>
        <v>0</v>
      </c>
      <c r="AQ1105" s="72" t="s">
        <v>143</v>
      </c>
      <c r="AV1105" s="38">
        <f>AW1105+AX1105</f>
        <v>0</v>
      </c>
      <c r="AW1105" s="38">
        <f>G1105*AO1105</f>
        <v>0</v>
      </c>
      <c r="AX1105" s="38">
        <f>G1105*AP1105</f>
        <v>0</v>
      </c>
      <c r="AY1105" s="72" t="s">
        <v>1953</v>
      </c>
      <c r="AZ1105" s="72" t="s">
        <v>1657</v>
      </c>
      <c r="BA1105" s="50" t="s">
        <v>139</v>
      </c>
      <c r="BB1105" s="73">
        <v>100032</v>
      </c>
      <c r="BC1105" s="38">
        <f>AW1105+AX1105</f>
        <v>0</v>
      </c>
      <c r="BD1105" s="38">
        <f>H1105/(100-BE1105)*100</f>
        <v>0</v>
      </c>
      <c r="BE1105" s="38">
        <v>0</v>
      </c>
      <c r="BF1105" s="38">
        <f>K1105</f>
        <v>0</v>
      </c>
      <c r="BH1105" s="38">
        <f>G1105*AO1105</f>
        <v>0</v>
      </c>
      <c r="BI1105" s="38">
        <f>G1105*AP1105</f>
        <v>0</v>
      </c>
      <c r="BJ1105" s="38">
        <f>G1105*H1105</f>
        <v>0</v>
      </c>
      <c r="BK1105" s="38"/>
      <c r="BL1105" s="38"/>
      <c r="BW1105" s="38">
        <v>21</v>
      </c>
    </row>
    <row r="1106" spans="1:12" ht="40.5" customHeight="1">
      <c r="A1106" s="74"/>
      <c r="D1106" s="194" t="s">
        <v>1957</v>
      </c>
      <c r="E1106" s="195"/>
      <c r="F1106" s="195"/>
      <c r="G1106" s="195"/>
      <c r="H1106" s="195"/>
      <c r="I1106" s="195"/>
      <c r="J1106" s="195"/>
      <c r="K1106" s="195"/>
      <c r="L1106" s="197"/>
    </row>
    <row r="1107" spans="1:12" ht="15">
      <c r="A1107" s="74"/>
      <c r="D1107" s="75" t="s">
        <v>1958</v>
      </c>
      <c r="E1107" s="75" t="s">
        <v>4</v>
      </c>
      <c r="G1107" s="76">
        <v>630</v>
      </c>
      <c r="L1107" s="77"/>
    </row>
    <row r="1108" spans="1:47" ht="15">
      <c r="A1108" s="65" t="s">
        <v>4</v>
      </c>
      <c r="B1108" s="66" t="s">
        <v>84</v>
      </c>
      <c r="C1108" s="66" t="s">
        <v>696</v>
      </c>
      <c r="D1108" s="192" t="s">
        <v>1959</v>
      </c>
      <c r="E1108" s="193"/>
      <c r="F1108" s="67" t="s">
        <v>78</v>
      </c>
      <c r="G1108" s="67" t="s">
        <v>78</v>
      </c>
      <c r="H1108" s="67" t="s">
        <v>78</v>
      </c>
      <c r="I1108" s="44">
        <f>SUM(I1109:I1117)</f>
        <v>0</v>
      </c>
      <c r="J1108" s="50" t="s">
        <v>4</v>
      </c>
      <c r="K1108" s="44">
        <f>SUM(K1109:K1117)</f>
        <v>2.5</v>
      </c>
      <c r="L1108" s="69" t="s">
        <v>4</v>
      </c>
      <c r="AI1108" s="50" t="s">
        <v>84</v>
      </c>
      <c r="AS1108" s="44">
        <f>SUM(AJ1109:AJ1117)</f>
        <v>0</v>
      </c>
      <c r="AT1108" s="44">
        <f>SUM(AK1109:AK1117)</f>
        <v>0</v>
      </c>
      <c r="AU1108" s="44">
        <f>SUM(AL1109:AL1117)</f>
        <v>0</v>
      </c>
    </row>
    <row r="1109" spans="1:75" ht="13.5" customHeight="1">
      <c r="A1109" s="1" t="s">
        <v>1960</v>
      </c>
      <c r="B1109" s="2" t="s">
        <v>84</v>
      </c>
      <c r="C1109" s="2" t="s">
        <v>1961</v>
      </c>
      <c r="D1109" s="108" t="s">
        <v>1962</v>
      </c>
      <c r="E1109" s="103"/>
      <c r="F1109" s="2" t="s">
        <v>1963</v>
      </c>
      <c r="G1109" s="38">
        <f>'Stavební rozpočet'!G1109</f>
        <v>40</v>
      </c>
      <c r="H1109" s="38">
        <f>'Stavební rozpočet'!H1109</f>
        <v>0</v>
      </c>
      <c r="I1109" s="38">
        <f>G1109*H1109</f>
        <v>0</v>
      </c>
      <c r="J1109" s="38">
        <f>'Stavební rozpočet'!J1109</f>
        <v>0</v>
      </c>
      <c r="K1109" s="38">
        <f>G1109*J1109</f>
        <v>0</v>
      </c>
      <c r="L1109" s="71" t="s">
        <v>136</v>
      </c>
      <c r="Z1109" s="38">
        <f>IF(AQ1109="5",BJ1109,0)</f>
        <v>0</v>
      </c>
      <c r="AB1109" s="38">
        <f>IF(AQ1109="1",BH1109,0)</f>
        <v>0</v>
      </c>
      <c r="AC1109" s="38">
        <f>IF(AQ1109="1",BI1109,0)</f>
        <v>0</v>
      </c>
      <c r="AD1109" s="38">
        <f>IF(AQ1109="7",BH1109,0)</f>
        <v>0</v>
      </c>
      <c r="AE1109" s="38">
        <f>IF(AQ1109="7",BI1109,0)</f>
        <v>0</v>
      </c>
      <c r="AF1109" s="38">
        <f>IF(AQ1109="2",BH1109,0)</f>
        <v>0</v>
      </c>
      <c r="AG1109" s="38">
        <f>IF(AQ1109="2",BI1109,0)</f>
        <v>0</v>
      </c>
      <c r="AH1109" s="38">
        <f>IF(AQ1109="0",BJ1109,0)</f>
        <v>0</v>
      </c>
      <c r="AI1109" s="50" t="s">
        <v>84</v>
      </c>
      <c r="AJ1109" s="38">
        <f>IF(AN1109=0,I1109,0)</f>
        <v>0</v>
      </c>
      <c r="AK1109" s="38">
        <f>IF(AN1109=12,I1109,0)</f>
        <v>0</v>
      </c>
      <c r="AL1109" s="38">
        <f>IF(AN1109=21,I1109,0)</f>
        <v>0</v>
      </c>
      <c r="AN1109" s="38">
        <v>21</v>
      </c>
      <c r="AO1109" s="38">
        <f>H1109*0</f>
        <v>0</v>
      </c>
      <c r="AP1109" s="38">
        <f>H1109*(1-0)</f>
        <v>0</v>
      </c>
      <c r="AQ1109" s="72" t="s">
        <v>132</v>
      </c>
      <c r="AV1109" s="38">
        <f>AW1109+AX1109</f>
        <v>0</v>
      </c>
      <c r="AW1109" s="38">
        <f>G1109*AO1109</f>
        <v>0</v>
      </c>
      <c r="AX1109" s="38">
        <f>G1109*AP1109</f>
        <v>0</v>
      </c>
      <c r="AY1109" s="72" t="s">
        <v>1964</v>
      </c>
      <c r="AZ1109" s="72" t="s">
        <v>1657</v>
      </c>
      <c r="BA1109" s="50" t="s">
        <v>139</v>
      </c>
      <c r="BB1109" s="73">
        <v>100006</v>
      </c>
      <c r="BC1109" s="38">
        <f>AW1109+AX1109</f>
        <v>0</v>
      </c>
      <c r="BD1109" s="38">
        <f>H1109/(100-BE1109)*100</f>
        <v>0</v>
      </c>
      <c r="BE1109" s="38">
        <v>0</v>
      </c>
      <c r="BF1109" s="38">
        <f>K1109</f>
        <v>0</v>
      </c>
      <c r="BH1109" s="38">
        <f>G1109*AO1109</f>
        <v>0</v>
      </c>
      <c r="BI1109" s="38">
        <f>G1109*AP1109</f>
        <v>0</v>
      </c>
      <c r="BJ1109" s="38">
        <f>G1109*H1109</f>
        <v>0</v>
      </c>
      <c r="BK1109" s="38"/>
      <c r="BL1109" s="38">
        <v>90</v>
      </c>
      <c r="BW1109" s="38">
        <v>21</v>
      </c>
    </row>
    <row r="1110" spans="1:12" ht="13.5" customHeight="1">
      <c r="A1110" s="74"/>
      <c r="D1110" s="194" t="s">
        <v>1965</v>
      </c>
      <c r="E1110" s="195"/>
      <c r="F1110" s="195"/>
      <c r="G1110" s="195"/>
      <c r="H1110" s="195"/>
      <c r="I1110" s="195"/>
      <c r="J1110" s="195"/>
      <c r="K1110" s="195"/>
      <c r="L1110" s="197"/>
    </row>
    <row r="1111" spans="1:12" ht="15">
      <c r="A1111" s="74"/>
      <c r="D1111" s="75" t="s">
        <v>362</v>
      </c>
      <c r="E1111" s="75" t="s">
        <v>4</v>
      </c>
      <c r="G1111" s="76">
        <v>40</v>
      </c>
      <c r="L1111" s="77"/>
    </row>
    <row r="1112" spans="1:75" ht="13.5" customHeight="1">
      <c r="A1112" s="78" t="s">
        <v>1966</v>
      </c>
      <c r="B1112" s="79" t="s">
        <v>84</v>
      </c>
      <c r="C1112" s="79" t="s">
        <v>1967</v>
      </c>
      <c r="D1112" s="198" t="s">
        <v>1968</v>
      </c>
      <c r="E1112" s="199"/>
      <c r="F1112" s="79" t="s">
        <v>1693</v>
      </c>
      <c r="G1112" s="80">
        <f>'Stavební rozpočet'!G1112</f>
        <v>1</v>
      </c>
      <c r="H1112" s="80">
        <f>'Stavební rozpočet'!H1112</f>
        <v>0</v>
      </c>
      <c r="I1112" s="80">
        <f>G1112*H1112</f>
        <v>0</v>
      </c>
      <c r="J1112" s="80">
        <f>'Stavební rozpočet'!J1112</f>
        <v>2.5</v>
      </c>
      <c r="K1112" s="80">
        <f>G1112*J1112</f>
        <v>2.5</v>
      </c>
      <c r="L1112" s="82" t="s">
        <v>207</v>
      </c>
      <c r="Z1112" s="38">
        <f>IF(AQ1112="5",BJ1112,0)</f>
        <v>0</v>
      </c>
      <c r="AB1112" s="38">
        <f>IF(AQ1112="1",BH1112,0)</f>
        <v>0</v>
      </c>
      <c r="AC1112" s="38">
        <f>IF(AQ1112="1",BI1112,0)</f>
        <v>0</v>
      </c>
      <c r="AD1112" s="38">
        <f>IF(AQ1112="7",BH1112,0)</f>
        <v>0</v>
      </c>
      <c r="AE1112" s="38">
        <f>IF(AQ1112="7",BI1112,0)</f>
        <v>0</v>
      </c>
      <c r="AF1112" s="38">
        <f>IF(AQ1112="2",BH1112,0)</f>
        <v>0</v>
      </c>
      <c r="AG1112" s="38">
        <f>IF(AQ1112="2",BI1112,0)</f>
        <v>0</v>
      </c>
      <c r="AH1112" s="38">
        <f>IF(AQ1112="0",BJ1112,0)</f>
        <v>0</v>
      </c>
      <c r="AI1112" s="50" t="s">
        <v>84</v>
      </c>
      <c r="AJ1112" s="80">
        <f>IF(AN1112=0,I1112,0)</f>
        <v>0</v>
      </c>
      <c r="AK1112" s="80">
        <f>IF(AN1112=12,I1112,0)</f>
        <v>0</v>
      </c>
      <c r="AL1112" s="80">
        <f>IF(AN1112=21,I1112,0)</f>
        <v>0</v>
      </c>
      <c r="AN1112" s="38">
        <v>21</v>
      </c>
      <c r="AO1112" s="38">
        <f>H1112*1</f>
        <v>0</v>
      </c>
      <c r="AP1112" s="38">
        <f>H1112*(1-1)</f>
        <v>0</v>
      </c>
      <c r="AQ1112" s="83" t="s">
        <v>132</v>
      </c>
      <c r="AV1112" s="38">
        <f>AW1112+AX1112</f>
        <v>0</v>
      </c>
      <c r="AW1112" s="38">
        <f>G1112*AO1112</f>
        <v>0</v>
      </c>
      <c r="AX1112" s="38">
        <f>G1112*AP1112</f>
        <v>0</v>
      </c>
      <c r="AY1112" s="72" t="s">
        <v>1964</v>
      </c>
      <c r="AZ1112" s="72" t="s">
        <v>1657</v>
      </c>
      <c r="BA1112" s="50" t="s">
        <v>139</v>
      </c>
      <c r="BC1112" s="38">
        <f>AW1112+AX1112</f>
        <v>0</v>
      </c>
      <c r="BD1112" s="38">
        <f>H1112/(100-BE1112)*100</f>
        <v>0</v>
      </c>
      <c r="BE1112" s="38">
        <v>0</v>
      </c>
      <c r="BF1112" s="38">
        <f>K1112</f>
        <v>2.5</v>
      </c>
      <c r="BH1112" s="80">
        <f>G1112*AO1112</f>
        <v>0</v>
      </c>
      <c r="BI1112" s="80">
        <f>G1112*AP1112</f>
        <v>0</v>
      </c>
      <c r="BJ1112" s="80">
        <f>G1112*H1112</f>
        <v>0</v>
      </c>
      <c r="BK1112" s="80"/>
      <c r="BL1112" s="38">
        <v>90</v>
      </c>
      <c r="BW1112" s="38">
        <v>21</v>
      </c>
    </row>
    <row r="1113" spans="1:12" ht="15">
      <c r="A1113" s="74"/>
      <c r="D1113" s="75" t="s">
        <v>132</v>
      </c>
      <c r="E1113" s="75" t="s">
        <v>4</v>
      </c>
      <c r="G1113" s="76">
        <v>1</v>
      </c>
      <c r="L1113" s="77"/>
    </row>
    <row r="1114" spans="1:75" ht="13.5" customHeight="1">
      <c r="A1114" s="1" t="s">
        <v>1969</v>
      </c>
      <c r="B1114" s="2" t="s">
        <v>84</v>
      </c>
      <c r="C1114" s="2" t="s">
        <v>1970</v>
      </c>
      <c r="D1114" s="108" t="s">
        <v>1971</v>
      </c>
      <c r="E1114" s="103"/>
      <c r="F1114" s="2" t="s">
        <v>1963</v>
      </c>
      <c r="G1114" s="38">
        <f>'Stavební rozpočet'!G1114</f>
        <v>32</v>
      </c>
      <c r="H1114" s="38">
        <f>'Stavební rozpočet'!H1114</f>
        <v>0</v>
      </c>
      <c r="I1114" s="38">
        <f>G1114*H1114</f>
        <v>0</v>
      </c>
      <c r="J1114" s="38">
        <f>'Stavební rozpočet'!J1114</f>
        <v>0</v>
      </c>
      <c r="K1114" s="38">
        <f>G1114*J1114</f>
        <v>0</v>
      </c>
      <c r="L1114" s="71" t="s">
        <v>136</v>
      </c>
      <c r="Z1114" s="38">
        <f>IF(AQ1114="5",BJ1114,0)</f>
        <v>0</v>
      </c>
      <c r="AB1114" s="38">
        <f>IF(AQ1114="1",BH1114,0)</f>
        <v>0</v>
      </c>
      <c r="AC1114" s="38">
        <f>IF(AQ1114="1",BI1114,0)</f>
        <v>0</v>
      </c>
      <c r="AD1114" s="38">
        <f>IF(AQ1114="7",BH1114,0)</f>
        <v>0</v>
      </c>
      <c r="AE1114" s="38">
        <f>IF(AQ1114="7",BI1114,0)</f>
        <v>0</v>
      </c>
      <c r="AF1114" s="38">
        <f>IF(AQ1114="2",BH1114,0)</f>
        <v>0</v>
      </c>
      <c r="AG1114" s="38">
        <f>IF(AQ1114="2",BI1114,0)</f>
        <v>0</v>
      </c>
      <c r="AH1114" s="38">
        <f>IF(AQ1114="0",BJ1114,0)</f>
        <v>0</v>
      </c>
      <c r="AI1114" s="50" t="s">
        <v>84</v>
      </c>
      <c r="AJ1114" s="38">
        <f>IF(AN1114=0,I1114,0)</f>
        <v>0</v>
      </c>
      <c r="AK1114" s="38">
        <f>IF(AN1114=12,I1114,0)</f>
        <v>0</v>
      </c>
      <c r="AL1114" s="38">
        <f>IF(AN1114=21,I1114,0)</f>
        <v>0</v>
      </c>
      <c r="AN1114" s="38">
        <v>21</v>
      </c>
      <c r="AO1114" s="38">
        <f>H1114*0</f>
        <v>0</v>
      </c>
      <c r="AP1114" s="38">
        <f>H1114*(1-0)</f>
        <v>0</v>
      </c>
      <c r="AQ1114" s="72" t="s">
        <v>132</v>
      </c>
      <c r="AV1114" s="38">
        <f>AW1114+AX1114</f>
        <v>0</v>
      </c>
      <c r="AW1114" s="38">
        <f>G1114*AO1114</f>
        <v>0</v>
      </c>
      <c r="AX1114" s="38">
        <f>G1114*AP1114</f>
        <v>0</v>
      </c>
      <c r="AY1114" s="72" t="s">
        <v>1964</v>
      </c>
      <c r="AZ1114" s="72" t="s">
        <v>1657</v>
      </c>
      <c r="BA1114" s="50" t="s">
        <v>139</v>
      </c>
      <c r="BB1114" s="73">
        <v>100006</v>
      </c>
      <c r="BC1114" s="38">
        <f>AW1114+AX1114</f>
        <v>0</v>
      </c>
      <c r="BD1114" s="38">
        <f>H1114/(100-BE1114)*100</f>
        <v>0</v>
      </c>
      <c r="BE1114" s="38">
        <v>0</v>
      </c>
      <c r="BF1114" s="38">
        <f>K1114</f>
        <v>0</v>
      </c>
      <c r="BH1114" s="38">
        <f>G1114*AO1114</f>
        <v>0</v>
      </c>
      <c r="BI1114" s="38">
        <f>G1114*AP1114</f>
        <v>0</v>
      </c>
      <c r="BJ1114" s="38">
        <f>G1114*H1114</f>
        <v>0</v>
      </c>
      <c r="BK1114" s="38"/>
      <c r="BL1114" s="38">
        <v>90</v>
      </c>
      <c r="BW1114" s="38">
        <v>21</v>
      </c>
    </row>
    <row r="1115" spans="1:12" ht="13.5" customHeight="1">
      <c r="A1115" s="74"/>
      <c r="D1115" s="194" t="s">
        <v>1972</v>
      </c>
      <c r="E1115" s="195"/>
      <c r="F1115" s="195"/>
      <c r="G1115" s="195"/>
      <c r="H1115" s="195"/>
      <c r="I1115" s="195"/>
      <c r="J1115" s="195"/>
      <c r="K1115" s="195"/>
      <c r="L1115" s="197"/>
    </row>
    <row r="1116" spans="1:12" ht="15">
      <c r="A1116" s="74"/>
      <c r="D1116" s="75" t="s">
        <v>322</v>
      </c>
      <c r="E1116" s="75" t="s">
        <v>4</v>
      </c>
      <c r="G1116" s="76">
        <v>32</v>
      </c>
      <c r="L1116" s="77"/>
    </row>
    <row r="1117" spans="1:75" ht="13.5" customHeight="1">
      <c r="A1117" s="1" t="s">
        <v>1973</v>
      </c>
      <c r="B1117" s="2" t="s">
        <v>84</v>
      </c>
      <c r="C1117" s="2" t="s">
        <v>1970</v>
      </c>
      <c r="D1117" s="108" t="s">
        <v>1974</v>
      </c>
      <c r="E1117" s="103"/>
      <c r="F1117" s="2" t="s">
        <v>1963</v>
      </c>
      <c r="G1117" s="38">
        <f>'Stavební rozpočet'!G1117</f>
        <v>12</v>
      </c>
      <c r="H1117" s="38">
        <f>'Stavební rozpočet'!H1117</f>
        <v>0</v>
      </c>
      <c r="I1117" s="38">
        <f>G1117*H1117</f>
        <v>0</v>
      </c>
      <c r="J1117" s="38">
        <f>'Stavební rozpočet'!J1117</f>
        <v>0</v>
      </c>
      <c r="K1117" s="38">
        <f>G1117*J1117</f>
        <v>0</v>
      </c>
      <c r="L1117" s="71" t="s">
        <v>136</v>
      </c>
      <c r="Z1117" s="38">
        <f>IF(AQ1117="5",BJ1117,0)</f>
        <v>0</v>
      </c>
      <c r="AB1117" s="38">
        <f>IF(AQ1117="1",BH1117,0)</f>
        <v>0</v>
      </c>
      <c r="AC1117" s="38">
        <f>IF(AQ1117="1",BI1117,0)</f>
        <v>0</v>
      </c>
      <c r="AD1117" s="38">
        <f>IF(AQ1117="7",BH1117,0)</f>
        <v>0</v>
      </c>
      <c r="AE1117" s="38">
        <f>IF(AQ1117="7",BI1117,0)</f>
        <v>0</v>
      </c>
      <c r="AF1117" s="38">
        <f>IF(AQ1117="2",BH1117,0)</f>
        <v>0</v>
      </c>
      <c r="AG1117" s="38">
        <f>IF(AQ1117="2",BI1117,0)</f>
        <v>0</v>
      </c>
      <c r="AH1117" s="38">
        <f>IF(AQ1117="0",BJ1117,0)</f>
        <v>0</v>
      </c>
      <c r="AI1117" s="50" t="s">
        <v>84</v>
      </c>
      <c r="AJ1117" s="38">
        <f>IF(AN1117=0,I1117,0)</f>
        <v>0</v>
      </c>
      <c r="AK1117" s="38">
        <f>IF(AN1117=12,I1117,0)</f>
        <v>0</v>
      </c>
      <c r="AL1117" s="38">
        <f>IF(AN1117=21,I1117,0)</f>
        <v>0</v>
      </c>
      <c r="AN1117" s="38">
        <v>21</v>
      </c>
      <c r="AO1117" s="38">
        <f>H1117*0</f>
        <v>0</v>
      </c>
      <c r="AP1117" s="38">
        <f>H1117*(1-0)</f>
        <v>0</v>
      </c>
      <c r="AQ1117" s="72" t="s">
        <v>132</v>
      </c>
      <c r="AV1117" s="38">
        <f>AW1117+AX1117</f>
        <v>0</v>
      </c>
      <c r="AW1117" s="38">
        <f>G1117*AO1117</f>
        <v>0</v>
      </c>
      <c r="AX1117" s="38">
        <f>G1117*AP1117</f>
        <v>0</v>
      </c>
      <c r="AY1117" s="72" t="s">
        <v>1964</v>
      </c>
      <c r="AZ1117" s="72" t="s">
        <v>1657</v>
      </c>
      <c r="BA1117" s="50" t="s">
        <v>139</v>
      </c>
      <c r="BB1117" s="73">
        <v>100006</v>
      </c>
      <c r="BC1117" s="38">
        <f>AW1117+AX1117</f>
        <v>0</v>
      </c>
      <c r="BD1117" s="38">
        <f>H1117/(100-BE1117)*100</f>
        <v>0</v>
      </c>
      <c r="BE1117" s="38">
        <v>0</v>
      </c>
      <c r="BF1117" s="38">
        <f>K1117</f>
        <v>0</v>
      </c>
      <c r="BH1117" s="38">
        <f>G1117*AO1117</f>
        <v>0</v>
      </c>
      <c r="BI1117" s="38">
        <f>G1117*AP1117</f>
        <v>0</v>
      </c>
      <c r="BJ1117" s="38">
        <f>G1117*H1117</f>
        <v>0</v>
      </c>
      <c r="BK1117" s="38"/>
      <c r="BL1117" s="38">
        <v>90</v>
      </c>
      <c r="BW1117" s="38">
        <v>21</v>
      </c>
    </row>
    <row r="1118" spans="1:12" ht="13.5" customHeight="1">
      <c r="A1118" s="74"/>
      <c r="D1118" s="194" t="s">
        <v>1972</v>
      </c>
      <c r="E1118" s="195"/>
      <c r="F1118" s="195"/>
      <c r="G1118" s="195"/>
      <c r="H1118" s="195"/>
      <c r="I1118" s="195"/>
      <c r="J1118" s="195"/>
      <c r="K1118" s="195"/>
      <c r="L1118" s="197"/>
    </row>
    <row r="1119" spans="1:12" ht="15">
      <c r="A1119" s="74"/>
      <c r="D1119" s="75" t="s">
        <v>130</v>
      </c>
      <c r="E1119" s="75" t="s">
        <v>1975</v>
      </c>
      <c r="G1119" s="76">
        <v>12</v>
      </c>
      <c r="L1119" s="77"/>
    </row>
    <row r="1120" spans="1:47" ht="15">
      <c r="A1120" s="65" t="s">
        <v>4</v>
      </c>
      <c r="B1120" s="66" t="s">
        <v>84</v>
      </c>
      <c r="C1120" s="66" t="s">
        <v>1976</v>
      </c>
      <c r="D1120" s="192" t="s">
        <v>1977</v>
      </c>
      <c r="E1120" s="193"/>
      <c r="F1120" s="67" t="s">
        <v>78</v>
      </c>
      <c r="G1120" s="67" t="s">
        <v>78</v>
      </c>
      <c r="H1120" s="67" t="s">
        <v>78</v>
      </c>
      <c r="I1120" s="44">
        <f>SUM(I1121:I1132)</f>
        <v>0</v>
      </c>
      <c r="J1120" s="50" t="s">
        <v>4</v>
      </c>
      <c r="K1120" s="44">
        <f>SUM(K1121:K1132)</f>
        <v>0</v>
      </c>
      <c r="L1120" s="69" t="s">
        <v>4</v>
      </c>
      <c r="AI1120" s="50" t="s">
        <v>84</v>
      </c>
      <c r="AS1120" s="44">
        <f>SUM(AJ1121:AJ1132)</f>
        <v>0</v>
      </c>
      <c r="AT1120" s="44">
        <f>SUM(AK1121:AK1132)</f>
        <v>0</v>
      </c>
      <c r="AU1120" s="44">
        <f>SUM(AL1121:AL1132)</f>
        <v>0</v>
      </c>
    </row>
    <row r="1121" spans="1:75" ht="13.5" customHeight="1">
      <c r="A1121" s="1" t="s">
        <v>1978</v>
      </c>
      <c r="B1121" s="2" t="s">
        <v>84</v>
      </c>
      <c r="C1121" s="2" t="s">
        <v>1979</v>
      </c>
      <c r="D1121" s="108" t="s">
        <v>1980</v>
      </c>
      <c r="E1121" s="103"/>
      <c r="F1121" s="2" t="s">
        <v>189</v>
      </c>
      <c r="G1121" s="38">
        <f>'Stavební rozpočet'!G1121</f>
        <v>140.64</v>
      </c>
      <c r="H1121" s="38">
        <f>'Stavební rozpočet'!H1121</f>
        <v>0</v>
      </c>
      <c r="I1121" s="38">
        <f>G1121*H1121</f>
        <v>0</v>
      </c>
      <c r="J1121" s="38">
        <f>'Stavební rozpočet'!J1121</f>
        <v>0</v>
      </c>
      <c r="K1121" s="38">
        <f>G1121*J1121</f>
        <v>0</v>
      </c>
      <c r="L1121" s="71" t="s">
        <v>136</v>
      </c>
      <c r="Z1121" s="38">
        <f>IF(AQ1121="5",BJ1121,0)</f>
        <v>0</v>
      </c>
      <c r="AB1121" s="38">
        <f>IF(AQ1121="1",BH1121,0)</f>
        <v>0</v>
      </c>
      <c r="AC1121" s="38">
        <f>IF(AQ1121="1",BI1121,0)</f>
        <v>0</v>
      </c>
      <c r="AD1121" s="38">
        <f>IF(AQ1121="7",BH1121,0)</f>
        <v>0</v>
      </c>
      <c r="AE1121" s="38">
        <f>IF(AQ1121="7",BI1121,0)</f>
        <v>0</v>
      </c>
      <c r="AF1121" s="38">
        <f>IF(AQ1121="2",BH1121,0)</f>
        <v>0</v>
      </c>
      <c r="AG1121" s="38">
        <f>IF(AQ1121="2",BI1121,0)</f>
        <v>0</v>
      </c>
      <c r="AH1121" s="38">
        <f>IF(AQ1121="0",BJ1121,0)</f>
        <v>0</v>
      </c>
      <c r="AI1121" s="50" t="s">
        <v>84</v>
      </c>
      <c r="AJ1121" s="38">
        <f>IF(AN1121=0,I1121,0)</f>
        <v>0</v>
      </c>
      <c r="AK1121" s="38">
        <f>IF(AN1121=12,I1121,0)</f>
        <v>0</v>
      </c>
      <c r="AL1121" s="38">
        <f>IF(AN1121=21,I1121,0)</f>
        <v>0</v>
      </c>
      <c r="AN1121" s="38">
        <v>21</v>
      </c>
      <c r="AO1121" s="38">
        <f>H1121*0</f>
        <v>0</v>
      </c>
      <c r="AP1121" s="38">
        <f>H1121*(1-0)</f>
        <v>0</v>
      </c>
      <c r="AQ1121" s="72" t="s">
        <v>162</v>
      </c>
      <c r="AV1121" s="38">
        <f>AW1121+AX1121</f>
        <v>0</v>
      </c>
      <c r="AW1121" s="38">
        <f>G1121*AO1121</f>
        <v>0</v>
      </c>
      <c r="AX1121" s="38">
        <f>G1121*AP1121</f>
        <v>0</v>
      </c>
      <c r="AY1121" s="72" t="s">
        <v>1981</v>
      </c>
      <c r="AZ1121" s="72" t="s">
        <v>1657</v>
      </c>
      <c r="BA1121" s="50" t="s">
        <v>139</v>
      </c>
      <c r="BB1121" s="73">
        <v>100038</v>
      </c>
      <c r="BC1121" s="38">
        <f>AW1121+AX1121</f>
        <v>0</v>
      </c>
      <c r="BD1121" s="38">
        <f>H1121/(100-BE1121)*100</f>
        <v>0</v>
      </c>
      <c r="BE1121" s="38">
        <v>0</v>
      </c>
      <c r="BF1121" s="38">
        <f>K1121</f>
        <v>0</v>
      </c>
      <c r="BH1121" s="38">
        <f>G1121*AO1121</f>
        <v>0</v>
      </c>
      <c r="BI1121" s="38">
        <f>G1121*AP1121</f>
        <v>0</v>
      </c>
      <c r="BJ1121" s="38">
        <f>G1121*H1121</f>
        <v>0</v>
      </c>
      <c r="BK1121" s="38"/>
      <c r="BL1121" s="38"/>
      <c r="BW1121" s="38">
        <v>21</v>
      </c>
    </row>
    <row r="1122" spans="1:12" ht="13.5" customHeight="1">
      <c r="A1122" s="74"/>
      <c r="D1122" s="194" t="s">
        <v>1982</v>
      </c>
      <c r="E1122" s="195"/>
      <c r="F1122" s="195"/>
      <c r="G1122" s="195"/>
      <c r="H1122" s="195"/>
      <c r="I1122" s="195"/>
      <c r="J1122" s="195"/>
      <c r="K1122" s="195"/>
      <c r="L1122" s="197"/>
    </row>
    <row r="1123" spans="1:12" ht="15">
      <c r="A1123" s="74"/>
      <c r="D1123" s="75" t="s">
        <v>1983</v>
      </c>
      <c r="E1123" s="75" t="s">
        <v>1984</v>
      </c>
      <c r="G1123" s="76">
        <v>128.64</v>
      </c>
      <c r="L1123" s="77"/>
    </row>
    <row r="1124" spans="1:12" ht="15">
      <c r="A1124" s="74"/>
      <c r="D1124" s="75" t="s">
        <v>157</v>
      </c>
      <c r="E1124" s="75" t="s">
        <v>1985</v>
      </c>
      <c r="G1124" s="76">
        <v>4</v>
      </c>
      <c r="L1124" s="77"/>
    </row>
    <row r="1125" spans="1:12" ht="15">
      <c r="A1125" s="74"/>
      <c r="D1125" s="75" t="s">
        <v>174</v>
      </c>
      <c r="E1125" s="75" t="s">
        <v>1986</v>
      </c>
      <c r="G1125" s="76">
        <v>8</v>
      </c>
      <c r="L1125" s="77"/>
    </row>
    <row r="1126" spans="1:75" ht="13.5" customHeight="1">
      <c r="A1126" s="1" t="s">
        <v>1987</v>
      </c>
      <c r="B1126" s="2" t="s">
        <v>84</v>
      </c>
      <c r="C1126" s="2" t="s">
        <v>1988</v>
      </c>
      <c r="D1126" s="108" t="s">
        <v>1989</v>
      </c>
      <c r="E1126" s="103"/>
      <c r="F1126" s="2" t="s">
        <v>189</v>
      </c>
      <c r="G1126" s="38">
        <f>'Stavební rozpočet'!G1126</f>
        <v>703.2</v>
      </c>
      <c r="H1126" s="38">
        <f>'Stavební rozpočet'!H1126</f>
        <v>0</v>
      </c>
      <c r="I1126" s="38">
        <f>G1126*H1126</f>
        <v>0</v>
      </c>
      <c r="J1126" s="38">
        <f>'Stavební rozpočet'!J1126</f>
        <v>0</v>
      </c>
      <c r="K1126" s="38">
        <f>G1126*J1126</f>
        <v>0</v>
      </c>
      <c r="L1126" s="71" t="s">
        <v>136</v>
      </c>
      <c r="Z1126" s="38">
        <f>IF(AQ1126="5",BJ1126,0)</f>
        <v>0</v>
      </c>
      <c r="AB1126" s="38">
        <f>IF(AQ1126="1",BH1126,0)</f>
        <v>0</v>
      </c>
      <c r="AC1126" s="38">
        <f>IF(AQ1126="1",BI1126,0)</f>
        <v>0</v>
      </c>
      <c r="AD1126" s="38">
        <f>IF(AQ1126="7",BH1126,0)</f>
        <v>0</v>
      </c>
      <c r="AE1126" s="38">
        <f>IF(AQ1126="7",BI1126,0)</f>
        <v>0</v>
      </c>
      <c r="AF1126" s="38">
        <f>IF(AQ1126="2",BH1126,0)</f>
        <v>0</v>
      </c>
      <c r="AG1126" s="38">
        <f>IF(AQ1126="2",BI1126,0)</f>
        <v>0</v>
      </c>
      <c r="AH1126" s="38">
        <f>IF(AQ1126="0",BJ1126,0)</f>
        <v>0</v>
      </c>
      <c r="AI1126" s="50" t="s">
        <v>84</v>
      </c>
      <c r="AJ1126" s="38">
        <f>IF(AN1126=0,I1126,0)</f>
        <v>0</v>
      </c>
      <c r="AK1126" s="38">
        <f>IF(AN1126=12,I1126,0)</f>
        <v>0</v>
      </c>
      <c r="AL1126" s="38">
        <f>IF(AN1126=21,I1126,0)</f>
        <v>0</v>
      </c>
      <c r="AN1126" s="38">
        <v>21</v>
      </c>
      <c r="AO1126" s="38">
        <f>H1126*0</f>
        <v>0</v>
      </c>
      <c r="AP1126" s="38">
        <f>H1126*(1-0)</f>
        <v>0</v>
      </c>
      <c r="AQ1126" s="72" t="s">
        <v>162</v>
      </c>
      <c r="AV1126" s="38">
        <f>AW1126+AX1126</f>
        <v>0</v>
      </c>
      <c r="AW1126" s="38">
        <f>G1126*AO1126</f>
        <v>0</v>
      </c>
      <c r="AX1126" s="38">
        <f>G1126*AP1126</f>
        <v>0</v>
      </c>
      <c r="AY1126" s="72" t="s">
        <v>1981</v>
      </c>
      <c r="AZ1126" s="72" t="s">
        <v>1657</v>
      </c>
      <c r="BA1126" s="50" t="s">
        <v>139</v>
      </c>
      <c r="BB1126" s="73">
        <v>100038</v>
      </c>
      <c r="BC1126" s="38">
        <f>AW1126+AX1126</f>
        <v>0</v>
      </c>
      <c r="BD1126" s="38">
        <f>H1126/(100-BE1126)*100</f>
        <v>0</v>
      </c>
      <c r="BE1126" s="38">
        <v>0</v>
      </c>
      <c r="BF1126" s="38">
        <f>K1126</f>
        <v>0</v>
      </c>
      <c r="BH1126" s="38">
        <f>G1126*AO1126</f>
        <v>0</v>
      </c>
      <c r="BI1126" s="38">
        <f>G1126*AP1126</f>
        <v>0</v>
      </c>
      <c r="BJ1126" s="38">
        <f>G1126*H1126</f>
        <v>0</v>
      </c>
      <c r="BK1126" s="38"/>
      <c r="BL1126" s="38"/>
      <c r="BW1126" s="38">
        <v>21</v>
      </c>
    </row>
    <row r="1127" spans="1:12" ht="15">
      <c r="A1127" s="74"/>
      <c r="D1127" s="75" t="s">
        <v>1990</v>
      </c>
      <c r="E1127" s="75" t="s">
        <v>4</v>
      </c>
      <c r="G1127" s="76">
        <v>703.2</v>
      </c>
      <c r="L1127" s="77"/>
    </row>
    <row r="1128" spans="1:75" ht="13.5" customHeight="1">
      <c r="A1128" s="1" t="s">
        <v>1991</v>
      </c>
      <c r="B1128" s="2" t="s">
        <v>84</v>
      </c>
      <c r="C1128" s="2" t="s">
        <v>1992</v>
      </c>
      <c r="D1128" s="108" t="s">
        <v>1993</v>
      </c>
      <c r="E1128" s="103"/>
      <c r="F1128" s="2" t="s">
        <v>189</v>
      </c>
      <c r="G1128" s="38">
        <f>'Stavební rozpočet'!G1128</f>
        <v>140.64</v>
      </c>
      <c r="H1128" s="38">
        <f>'Stavební rozpočet'!H1128</f>
        <v>0</v>
      </c>
      <c r="I1128" s="38">
        <f>G1128*H1128</f>
        <v>0</v>
      </c>
      <c r="J1128" s="38">
        <f>'Stavební rozpočet'!J1128</f>
        <v>0</v>
      </c>
      <c r="K1128" s="38">
        <f>G1128*J1128</f>
        <v>0</v>
      </c>
      <c r="L1128" s="71" t="s">
        <v>136</v>
      </c>
      <c r="Z1128" s="38">
        <f>IF(AQ1128="5",BJ1128,0)</f>
        <v>0</v>
      </c>
      <c r="AB1128" s="38">
        <f>IF(AQ1128="1",BH1128,0)</f>
        <v>0</v>
      </c>
      <c r="AC1128" s="38">
        <f>IF(AQ1128="1",BI1128,0)</f>
        <v>0</v>
      </c>
      <c r="AD1128" s="38">
        <f>IF(AQ1128="7",BH1128,0)</f>
        <v>0</v>
      </c>
      <c r="AE1128" s="38">
        <f>IF(AQ1128="7",BI1128,0)</f>
        <v>0</v>
      </c>
      <c r="AF1128" s="38">
        <f>IF(AQ1128="2",BH1128,0)</f>
        <v>0</v>
      </c>
      <c r="AG1128" s="38">
        <f>IF(AQ1128="2",BI1128,0)</f>
        <v>0</v>
      </c>
      <c r="AH1128" s="38">
        <f>IF(AQ1128="0",BJ1128,0)</f>
        <v>0</v>
      </c>
      <c r="AI1128" s="50" t="s">
        <v>84</v>
      </c>
      <c r="AJ1128" s="38">
        <f>IF(AN1128=0,I1128,0)</f>
        <v>0</v>
      </c>
      <c r="AK1128" s="38">
        <f>IF(AN1128=12,I1128,0)</f>
        <v>0</v>
      </c>
      <c r="AL1128" s="38">
        <f>IF(AN1128=21,I1128,0)</f>
        <v>0</v>
      </c>
      <c r="AN1128" s="38">
        <v>21</v>
      </c>
      <c r="AO1128" s="38">
        <f>H1128*0</f>
        <v>0</v>
      </c>
      <c r="AP1128" s="38">
        <f>H1128*(1-0)</f>
        <v>0</v>
      </c>
      <c r="AQ1128" s="72" t="s">
        <v>162</v>
      </c>
      <c r="AV1128" s="38">
        <f>AW1128+AX1128</f>
        <v>0</v>
      </c>
      <c r="AW1128" s="38">
        <f>G1128*AO1128</f>
        <v>0</v>
      </c>
      <c r="AX1128" s="38">
        <f>G1128*AP1128</f>
        <v>0</v>
      </c>
      <c r="AY1128" s="72" t="s">
        <v>1981</v>
      </c>
      <c r="AZ1128" s="72" t="s">
        <v>1657</v>
      </c>
      <c r="BA1128" s="50" t="s">
        <v>139</v>
      </c>
      <c r="BB1128" s="73">
        <v>100038</v>
      </c>
      <c r="BC1128" s="38">
        <f>AW1128+AX1128</f>
        <v>0</v>
      </c>
      <c r="BD1128" s="38">
        <f>H1128/(100-BE1128)*100</f>
        <v>0</v>
      </c>
      <c r="BE1128" s="38">
        <v>0</v>
      </c>
      <c r="BF1128" s="38">
        <f>K1128</f>
        <v>0</v>
      </c>
      <c r="BH1128" s="38">
        <f>G1128*AO1128</f>
        <v>0</v>
      </c>
      <c r="BI1128" s="38">
        <f>G1128*AP1128</f>
        <v>0</v>
      </c>
      <c r="BJ1128" s="38">
        <f>G1128*H1128</f>
        <v>0</v>
      </c>
      <c r="BK1128" s="38"/>
      <c r="BL1128" s="38"/>
      <c r="BW1128" s="38">
        <v>21</v>
      </c>
    </row>
    <row r="1129" spans="1:12" ht="15">
      <c r="A1129" s="74"/>
      <c r="D1129" s="75" t="s">
        <v>1994</v>
      </c>
      <c r="E1129" s="75" t="s">
        <v>4</v>
      </c>
      <c r="G1129" s="76">
        <v>140.64</v>
      </c>
      <c r="L1129" s="77"/>
    </row>
    <row r="1130" spans="1:75" ht="13.5" customHeight="1">
      <c r="A1130" s="1" t="s">
        <v>1995</v>
      </c>
      <c r="B1130" s="2" t="s">
        <v>84</v>
      </c>
      <c r="C1130" s="2" t="s">
        <v>1996</v>
      </c>
      <c r="D1130" s="108" t="s">
        <v>1997</v>
      </c>
      <c r="E1130" s="103"/>
      <c r="F1130" s="2" t="s">
        <v>189</v>
      </c>
      <c r="G1130" s="38">
        <f>'Stavební rozpočet'!G1130</f>
        <v>421.92</v>
      </c>
      <c r="H1130" s="38">
        <f>'Stavební rozpočet'!H1130</f>
        <v>0</v>
      </c>
      <c r="I1130" s="38">
        <f>G1130*H1130</f>
        <v>0</v>
      </c>
      <c r="J1130" s="38">
        <f>'Stavební rozpočet'!J1130</f>
        <v>0</v>
      </c>
      <c r="K1130" s="38">
        <f>G1130*J1130</f>
        <v>0</v>
      </c>
      <c r="L1130" s="71" t="s">
        <v>136</v>
      </c>
      <c r="Z1130" s="38">
        <f>IF(AQ1130="5",BJ1130,0)</f>
        <v>0</v>
      </c>
      <c r="AB1130" s="38">
        <f>IF(AQ1130="1",BH1130,0)</f>
        <v>0</v>
      </c>
      <c r="AC1130" s="38">
        <f>IF(AQ1130="1",BI1130,0)</f>
        <v>0</v>
      </c>
      <c r="AD1130" s="38">
        <f>IF(AQ1130="7",BH1130,0)</f>
        <v>0</v>
      </c>
      <c r="AE1130" s="38">
        <f>IF(AQ1130="7",BI1130,0)</f>
        <v>0</v>
      </c>
      <c r="AF1130" s="38">
        <f>IF(AQ1130="2",BH1130,0)</f>
        <v>0</v>
      </c>
      <c r="AG1130" s="38">
        <f>IF(AQ1130="2",BI1130,0)</f>
        <v>0</v>
      </c>
      <c r="AH1130" s="38">
        <f>IF(AQ1130="0",BJ1130,0)</f>
        <v>0</v>
      </c>
      <c r="AI1130" s="50" t="s">
        <v>84</v>
      </c>
      <c r="AJ1130" s="38">
        <f>IF(AN1130=0,I1130,0)</f>
        <v>0</v>
      </c>
      <c r="AK1130" s="38">
        <f>IF(AN1130=12,I1130,0)</f>
        <v>0</v>
      </c>
      <c r="AL1130" s="38">
        <f>IF(AN1130=21,I1130,0)</f>
        <v>0</v>
      </c>
      <c r="AN1130" s="38">
        <v>21</v>
      </c>
      <c r="AO1130" s="38">
        <f>H1130*0</f>
        <v>0</v>
      </c>
      <c r="AP1130" s="38">
        <f>H1130*(1-0)</f>
        <v>0</v>
      </c>
      <c r="AQ1130" s="72" t="s">
        <v>162</v>
      </c>
      <c r="AV1130" s="38">
        <f>AW1130+AX1130</f>
        <v>0</v>
      </c>
      <c r="AW1130" s="38">
        <f>G1130*AO1130</f>
        <v>0</v>
      </c>
      <c r="AX1130" s="38">
        <f>G1130*AP1130</f>
        <v>0</v>
      </c>
      <c r="AY1130" s="72" t="s">
        <v>1981</v>
      </c>
      <c r="AZ1130" s="72" t="s">
        <v>1657</v>
      </c>
      <c r="BA1130" s="50" t="s">
        <v>139</v>
      </c>
      <c r="BB1130" s="73">
        <v>100038</v>
      </c>
      <c r="BC1130" s="38">
        <f>AW1130+AX1130</f>
        <v>0</v>
      </c>
      <c r="BD1130" s="38">
        <f>H1130/(100-BE1130)*100</f>
        <v>0</v>
      </c>
      <c r="BE1130" s="38">
        <v>0</v>
      </c>
      <c r="BF1130" s="38">
        <f>K1130</f>
        <v>0</v>
      </c>
      <c r="BH1130" s="38">
        <f>G1130*AO1130</f>
        <v>0</v>
      </c>
      <c r="BI1130" s="38">
        <f>G1130*AP1130</f>
        <v>0</v>
      </c>
      <c r="BJ1130" s="38">
        <f>G1130*H1130</f>
        <v>0</v>
      </c>
      <c r="BK1130" s="38"/>
      <c r="BL1130" s="38"/>
      <c r="BW1130" s="38">
        <v>21</v>
      </c>
    </row>
    <row r="1131" spans="1:12" ht="15">
      <c r="A1131" s="74"/>
      <c r="D1131" s="75" t="s">
        <v>1998</v>
      </c>
      <c r="E1131" s="75" t="s">
        <v>4</v>
      </c>
      <c r="G1131" s="76">
        <v>421.92</v>
      </c>
      <c r="L1131" s="77"/>
    </row>
    <row r="1132" spans="1:75" ht="27" customHeight="1">
      <c r="A1132" s="1" t="s">
        <v>1999</v>
      </c>
      <c r="B1132" s="2" t="s">
        <v>84</v>
      </c>
      <c r="C1132" s="2" t="s">
        <v>2000</v>
      </c>
      <c r="D1132" s="108" t="s">
        <v>2001</v>
      </c>
      <c r="E1132" s="103"/>
      <c r="F1132" s="2" t="s">
        <v>189</v>
      </c>
      <c r="G1132" s="38">
        <f>'Stavební rozpočet'!G1132</f>
        <v>140.64</v>
      </c>
      <c r="H1132" s="38">
        <f>'Stavební rozpočet'!H1132</f>
        <v>0</v>
      </c>
      <c r="I1132" s="38">
        <f>G1132*H1132</f>
        <v>0</v>
      </c>
      <c r="J1132" s="38">
        <f>'Stavební rozpočet'!J1132</f>
        <v>0</v>
      </c>
      <c r="K1132" s="38">
        <f>G1132*J1132</f>
        <v>0</v>
      </c>
      <c r="L1132" s="71" t="s">
        <v>207</v>
      </c>
      <c r="Z1132" s="38">
        <f>IF(AQ1132="5",BJ1132,0)</f>
        <v>0</v>
      </c>
      <c r="AB1132" s="38">
        <f>IF(AQ1132="1",BH1132,0)</f>
        <v>0</v>
      </c>
      <c r="AC1132" s="38">
        <f>IF(AQ1132="1",BI1132,0)</f>
        <v>0</v>
      </c>
      <c r="AD1132" s="38">
        <f>IF(AQ1132="7",BH1132,0)</f>
        <v>0</v>
      </c>
      <c r="AE1132" s="38">
        <f>IF(AQ1132="7",BI1132,0)</f>
        <v>0</v>
      </c>
      <c r="AF1132" s="38">
        <f>IF(AQ1132="2",BH1132,0)</f>
        <v>0</v>
      </c>
      <c r="AG1132" s="38">
        <f>IF(AQ1132="2",BI1132,0)</f>
        <v>0</v>
      </c>
      <c r="AH1132" s="38">
        <f>IF(AQ1132="0",BJ1132,0)</f>
        <v>0</v>
      </c>
      <c r="AI1132" s="50" t="s">
        <v>84</v>
      </c>
      <c r="AJ1132" s="38">
        <f>IF(AN1132=0,I1132,0)</f>
        <v>0</v>
      </c>
      <c r="AK1132" s="38">
        <f>IF(AN1132=12,I1132,0)</f>
        <v>0</v>
      </c>
      <c r="AL1132" s="38">
        <f>IF(AN1132=21,I1132,0)</f>
        <v>0</v>
      </c>
      <c r="AN1132" s="38">
        <v>21</v>
      </c>
      <c r="AO1132" s="38">
        <f>H1132*0</f>
        <v>0</v>
      </c>
      <c r="AP1132" s="38">
        <f>H1132*(1-0)</f>
        <v>0</v>
      </c>
      <c r="AQ1132" s="72" t="s">
        <v>162</v>
      </c>
      <c r="AV1132" s="38">
        <f>AW1132+AX1132</f>
        <v>0</v>
      </c>
      <c r="AW1132" s="38">
        <f>G1132*AO1132</f>
        <v>0</v>
      </c>
      <c r="AX1132" s="38">
        <f>G1132*AP1132</f>
        <v>0</v>
      </c>
      <c r="AY1132" s="72" t="s">
        <v>1981</v>
      </c>
      <c r="AZ1132" s="72" t="s">
        <v>1657</v>
      </c>
      <c r="BA1132" s="50" t="s">
        <v>139</v>
      </c>
      <c r="BB1132" s="73">
        <v>100038</v>
      </c>
      <c r="BC1132" s="38">
        <f>AW1132+AX1132</f>
        <v>0</v>
      </c>
      <c r="BD1132" s="38">
        <f>H1132/(100-BE1132)*100</f>
        <v>0</v>
      </c>
      <c r="BE1132" s="38">
        <v>0</v>
      </c>
      <c r="BF1132" s="38">
        <f>K1132</f>
        <v>0</v>
      </c>
      <c r="BH1132" s="38">
        <f>G1132*AO1132</f>
        <v>0</v>
      </c>
      <c r="BI1132" s="38">
        <f>G1132*AP1132</f>
        <v>0</v>
      </c>
      <c r="BJ1132" s="38">
        <f>G1132*H1132</f>
        <v>0</v>
      </c>
      <c r="BK1132" s="38"/>
      <c r="BL1132" s="38"/>
      <c r="BW1132" s="38">
        <v>21</v>
      </c>
    </row>
    <row r="1133" spans="1:12" ht="15">
      <c r="A1133" s="84"/>
      <c r="B1133" s="85"/>
      <c r="C1133" s="85"/>
      <c r="D1133" s="86" t="s">
        <v>1994</v>
      </c>
      <c r="E1133" s="86" t="s">
        <v>4</v>
      </c>
      <c r="F1133" s="85"/>
      <c r="G1133" s="87">
        <v>140.64</v>
      </c>
      <c r="H1133" s="85"/>
      <c r="I1133" s="85"/>
      <c r="J1133" s="85"/>
      <c r="K1133" s="85"/>
      <c r="L1133" s="89"/>
    </row>
    <row r="1134" ht="15">
      <c r="I1134" s="42">
        <f>ROUND(I13+I19+I23+I40+I47+I95+I135+I162+I192+I196+I212+I236+I298+I303+I357+I383+I419+I429+I486+I501+I543+I634+I689+I755+I763+I789+I829+I846+I881+I909+I919+I929+I937+I943+I960+I1031+I1099+I1102+I1108+I1120,0)</f>
        <v>0</v>
      </c>
    </row>
    <row r="1135" ht="15">
      <c r="A1135" s="43" t="s">
        <v>56</v>
      </c>
    </row>
    <row r="1136" spans="1:12" ht="12.75" customHeight="1">
      <c r="A1136" s="108" t="s">
        <v>4</v>
      </c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</row>
  </sheetData>
  <sheetProtection password="F483" sheet="1"/>
  <mergeCells count="591">
    <mergeCell ref="D1126:E1126"/>
    <mergeCell ref="D1128:E1128"/>
    <mergeCell ref="D1130:E1130"/>
    <mergeCell ref="D1132:E1132"/>
    <mergeCell ref="A1136:L1136"/>
    <mergeCell ref="D1117:E1117"/>
    <mergeCell ref="D1118:L1118"/>
    <mergeCell ref="D1120:E1120"/>
    <mergeCell ref="D1121:E1121"/>
    <mergeCell ref="D1122:L1122"/>
    <mergeCell ref="D1109:E1109"/>
    <mergeCell ref="D1110:L1110"/>
    <mergeCell ref="D1112:E1112"/>
    <mergeCell ref="D1114:E1114"/>
    <mergeCell ref="D1115:L1115"/>
    <mergeCell ref="D1102:E1102"/>
    <mergeCell ref="D1103:E1103"/>
    <mergeCell ref="D1105:E1105"/>
    <mergeCell ref="D1106:L1106"/>
    <mergeCell ref="D1108:E1108"/>
    <mergeCell ref="D1094:E1094"/>
    <mergeCell ref="D1096:E1096"/>
    <mergeCell ref="D1097:L1097"/>
    <mergeCell ref="D1099:E1099"/>
    <mergeCell ref="D1100:E1100"/>
    <mergeCell ref="D1085:L1085"/>
    <mergeCell ref="D1087:E1087"/>
    <mergeCell ref="D1089:E1089"/>
    <mergeCell ref="D1091:E1091"/>
    <mergeCell ref="D1092:L1092"/>
    <mergeCell ref="D1078:E1078"/>
    <mergeCell ref="D1079:L1079"/>
    <mergeCell ref="D1081:E1081"/>
    <mergeCell ref="D1082:L1082"/>
    <mergeCell ref="D1084:E1084"/>
    <mergeCell ref="D1065:E1065"/>
    <mergeCell ref="D1067:E1067"/>
    <mergeCell ref="D1071:E1071"/>
    <mergeCell ref="D1075:E1075"/>
    <mergeCell ref="D1076:L1076"/>
    <mergeCell ref="D1048:L1048"/>
    <mergeCell ref="D1050:E1050"/>
    <mergeCell ref="D1054:E1054"/>
    <mergeCell ref="D1059:E1059"/>
    <mergeCell ref="D1062:E1062"/>
    <mergeCell ref="D1034:E1034"/>
    <mergeCell ref="D1037:E1037"/>
    <mergeCell ref="D1039:E1039"/>
    <mergeCell ref="D1045:E1045"/>
    <mergeCell ref="D1047:E1047"/>
    <mergeCell ref="D1024:L1024"/>
    <mergeCell ref="D1028:E1028"/>
    <mergeCell ref="D1029:L1029"/>
    <mergeCell ref="D1031:E1031"/>
    <mergeCell ref="D1032:E1032"/>
    <mergeCell ref="D1015:E1015"/>
    <mergeCell ref="D1018:E1018"/>
    <mergeCell ref="D1020:E1020"/>
    <mergeCell ref="D1021:L1021"/>
    <mergeCell ref="D1023:E1023"/>
    <mergeCell ref="D1005:E1005"/>
    <mergeCell ref="D1007:E1007"/>
    <mergeCell ref="D1009:E1009"/>
    <mergeCell ref="D1010:L1010"/>
    <mergeCell ref="D1012:E1012"/>
    <mergeCell ref="D993:L993"/>
    <mergeCell ref="D995:E995"/>
    <mergeCell ref="D997:E997"/>
    <mergeCell ref="D999:E999"/>
    <mergeCell ref="D1003:E1003"/>
    <mergeCell ref="D980:E980"/>
    <mergeCell ref="D982:E982"/>
    <mergeCell ref="D983:L983"/>
    <mergeCell ref="D990:E990"/>
    <mergeCell ref="D992:E992"/>
    <mergeCell ref="D970:E970"/>
    <mergeCell ref="D972:E972"/>
    <mergeCell ref="D974:E974"/>
    <mergeCell ref="D976:E976"/>
    <mergeCell ref="D978:E978"/>
    <mergeCell ref="D958:L958"/>
    <mergeCell ref="D960:E960"/>
    <mergeCell ref="D961:E961"/>
    <mergeCell ref="D963:E963"/>
    <mergeCell ref="D965:E965"/>
    <mergeCell ref="D950:E950"/>
    <mergeCell ref="D952:E952"/>
    <mergeCell ref="D953:L953"/>
    <mergeCell ref="D955:E955"/>
    <mergeCell ref="D957:E957"/>
    <mergeCell ref="D938:E938"/>
    <mergeCell ref="D941:E941"/>
    <mergeCell ref="D943:E943"/>
    <mergeCell ref="D944:E944"/>
    <mergeCell ref="D948:E948"/>
    <mergeCell ref="D930:E930"/>
    <mergeCell ref="D932:E932"/>
    <mergeCell ref="D934:E934"/>
    <mergeCell ref="D935:L935"/>
    <mergeCell ref="D937:E937"/>
    <mergeCell ref="D923:E923"/>
    <mergeCell ref="D924:L924"/>
    <mergeCell ref="D926:E926"/>
    <mergeCell ref="D927:L927"/>
    <mergeCell ref="D929:E929"/>
    <mergeCell ref="D916:E916"/>
    <mergeCell ref="D917:L917"/>
    <mergeCell ref="D919:E919"/>
    <mergeCell ref="D920:E920"/>
    <mergeCell ref="D921:L921"/>
    <mergeCell ref="D909:E909"/>
    <mergeCell ref="D910:E910"/>
    <mergeCell ref="D911:L911"/>
    <mergeCell ref="D913:E913"/>
    <mergeCell ref="D914:L914"/>
    <mergeCell ref="D901:L901"/>
    <mergeCell ref="D903:E903"/>
    <mergeCell ref="D904:L904"/>
    <mergeCell ref="D906:E906"/>
    <mergeCell ref="D907:L907"/>
    <mergeCell ref="D894:E894"/>
    <mergeCell ref="D895:L895"/>
    <mergeCell ref="D897:E897"/>
    <mergeCell ref="D898:L898"/>
    <mergeCell ref="D900:E900"/>
    <mergeCell ref="D885:E885"/>
    <mergeCell ref="D887:E887"/>
    <mergeCell ref="D889:E889"/>
    <mergeCell ref="D891:E891"/>
    <mergeCell ref="D892:L892"/>
    <mergeCell ref="D878:E878"/>
    <mergeCell ref="D879:L879"/>
    <mergeCell ref="D881:E881"/>
    <mergeCell ref="D882:E882"/>
    <mergeCell ref="D883:L883"/>
    <mergeCell ref="D847:E847"/>
    <mergeCell ref="D864:E864"/>
    <mergeCell ref="D866:E866"/>
    <mergeCell ref="D875:E875"/>
    <mergeCell ref="D876:L876"/>
    <mergeCell ref="D839:E839"/>
    <mergeCell ref="D840:L840"/>
    <mergeCell ref="D843:E843"/>
    <mergeCell ref="D844:L844"/>
    <mergeCell ref="D846:E846"/>
    <mergeCell ref="D829:E829"/>
    <mergeCell ref="D830:E830"/>
    <mergeCell ref="D831:L831"/>
    <mergeCell ref="D836:E836"/>
    <mergeCell ref="D837:L837"/>
    <mergeCell ref="D821:E821"/>
    <mergeCell ref="D822:L822"/>
    <mergeCell ref="D824:E824"/>
    <mergeCell ref="D825:L825"/>
    <mergeCell ref="D827:E827"/>
    <mergeCell ref="D808:E808"/>
    <mergeCell ref="D811:E811"/>
    <mergeCell ref="D815:E815"/>
    <mergeCell ref="D818:E818"/>
    <mergeCell ref="D819:L819"/>
    <mergeCell ref="D798:L798"/>
    <mergeCell ref="D800:E800"/>
    <mergeCell ref="D802:E802"/>
    <mergeCell ref="D805:E805"/>
    <mergeCell ref="D806:L806"/>
    <mergeCell ref="D787:E787"/>
    <mergeCell ref="D789:E789"/>
    <mergeCell ref="D790:E790"/>
    <mergeCell ref="D794:E794"/>
    <mergeCell ref="D797:E797"/>
    <mergeCell ref="D771:E771"/>
    <mergeCell ref="D775:E775"/>
    <mergeCell ref="D779:E779"/>
    <mergeCell ref="D780:L780"/>
    <mergeCell ref="D783:E783"/>
    <mergeCell ref="D759:E759"/>
    <mergeCell ref="D760:L760"/>
    <mergeCell ref="D763:E763"/>
    <mergeCell ref="D764:E764"/>
    <mergeCell ref="D765:L765"/>
    <mergeCell ref="D747:E747"/>
    <mergeCell ref="D750:E750"/>
    <mergeCell ref="D753:E753"/>
    <mergeCell ref="D755:E755"/>
    <mergeCell ref="D756:E756"/>
    <mergeCell ref="D735:E735"/>
    <mergeCell ref="D737:E737"/>
    <mergeCell ref="D739:E739"/>
    <mergeCell ref="D742:E742"/>
    <mergeCell ref="D745:E745"/>
    <mergeCell ref="D723:E723"/>
    <mergeCell ref="D724:L724"/>
    <mergeCell ref="D729:E729"/>
    <mergeCell ref="D730:L730"/>
    <mergeCell ref="D733:E733"/>
    <mergeCell ref="D704:E704"/>
    <mergeCell ref="D706:E706"/>
    <mergeCell ref="D710:E710"/>
    <mergeCell ref="D711:L711"/>
    <mergeCell ref="D717:E717"/>
    <mergeCell ref="D690:E690"/>
    <mergeCell ref="D691:L691"/>
    <mergeCell ref="D696:E696"/>
    <mergeCell ref="D701:E701"/>
    <mergeCell ref="D702:L702"/>
    <mergeCell ref="D682:L682"/>
    <mergeCell ref="D684:E684"/>
    <mergeCell ref="D685:L685"/>
    <mergeCell ref="D687:E687"/>
    <mergeCell ref="D689:E689"/>
    <mergeCell ref="D675:E675"/>
    <mergeCell ref="D676:L676"/>
    <mergeCell ref="D678:E678"/>
    <mergeCell ref="D679:L679"/>
    <mergeCell ref="D681:E681"/>
    <mergeCell ref="D665:E665"/>
    <mergeCell ref="D669:E669"/>
    <mergeCell ref="D670:L670"/>
    <mergeCell ref="D672:E672"/>
    <mergeCell ref="D673:L673"/>
    <mergeCell ref="D655:L655"/>
    <mergeCell ref="D657:E657"/>
    <mergeCell ref="D658:L658"/>
    <mergeCell ref="D660:E660"/>
    <mergeCell ref="D661:L661"/>
    <mergeCell ref="D648:E648"/>
    <mergeCell ref="D649:L649"/>
    <mergeCell ref="D651:E651"/>
    <mergeCell ref="D652:L652"/>
    <mergeCell ref="D654:E654"/>
    <mergeCell ref="D640:L640"/>
    <mergeCell ref="D642:E642"/>
    <mergeCell ref="D643:L643"/>
    <mergeCell ref="D645:E645"/>
    <mergeCell ref="D646:L646"/>
    <mergeCell ref="D632:E632"/>
    <mergeCell ref="D634:E634"/>
    <mergeCell ref="D635:E635"/>
    <mergeCell ref="D637:E637"/>
    <mergeCell ref="D639:E639"/>
    <mergeCell ref="D624:L624"/>
    <mergeCell ref="D626:E626"/>
    <mergeCell ref="D627:L627"/>
    <mergeCell ref="D629:E629"/>
    <mergeCell ref="D630:L630"/>
    <mergeCell ref="D615:E615"/>
    <mergeCell ref="D617:E617"/>
    <mergeCell ref="D620:E620"/>
    <mergeCell ref="D621:L621"/>
    <mergeCell ref="D623:E623"/>
    <mergeCell ref="D607:L607"/>
    <mergeCell ref="D609:E609"/>
    <mergeCell ref="D610:L610"/>
    <mergeCell ref="D612:E612"/>
    <mergeCell ref="D613:L613"/>
    <mergeCell ref="D600:E600"/>
    <mergeCell ref="D601:L601"/>
    <mergeCell ref="D603:E603"/>
    <mergeCell ref="D604:L604"/>
    <mergeCell ref="D606:E606"/>
    <mergeCell ref="D592:L592"/>
    <mergeCell ref="D594:E594"/>
    <mergeCell ref="D595:L595"/>
    <mergeCell ref="D597:E597"/>
    <mergeCell ref="D598:L598"/>
    <mergeCell ref="D585:E585"/>
    <mergeCell ref="D586:L586"/>
    <mergeCell ref="D588:E588"/>
    <mergeCell ref="D589:L589"/>
    <mergeCell ref="D591:E591"/>
    <mergeCell ref="D577:L577"/>
    <mergeCell ref="D579:E579"/>
    <mergeCell ref="D580:L580"/>
    <mergeCell ref="D582:E582"/>
    <mergeCell ref="D583:L583"/>
    <mergeCell ref="D570:E570"/>
    <mergeCell ref="D571:L571"/>
    <mergeCell ref="D573:E573"/>
    <mergeCell ref="D574:L574"/>
    <mergeCell ref="D576:E576"/>
    <mergeCell ref="D562:L562"/>
    <mergeCell ref="D564:E564"/>
    <mergeCell ref="D565:L565"/>
    <mergeCell ref="D567:E567"/>
    <mergeCell ref="D568:L568"/>
    <mergeCell ref="D555:E555"/>
    <mergeCell ref="D556:L556"/>
    <mergeCell ref="D558:E558"/>
    <mergeCell ref="D559:L559"/>
    <mergeCell ref="D561:E561"/>
    <mergeCell ref="D547:L547"/>
    <mergeCell ref="D549:E549"/>
    <mergeCell ref="D550:L550"/>
    <mergeCell ref="D552:E552"/>
    <mergeCell ref="D553:L553"/>
    <mergeCell ref="D539:L539"/>
    <mergeCell ref="D541:E541"/>
    <mergeCell ref="D543:E543"/>
    <mergeCell ref="D544:E544"/>
    <mergeCell ref="D546:E546"/>
    <mergeCell ref="D532:E532"/>
    <mergeCell ref="D533:L533"/>
    <mergeCell ref="D535:E535"/>
    <mergeCell ref="D536:L536"/>
    <mergeCell ref="D538:E538"/>
    <mergeCell ref="D524:L524"/>
    <mergeCell ref="D526:E526"/>
    <mergeCell ref="D527:L527"/>
    <mergeCell ref="D529:E529"/>
    <mergeCell ref="D530:L530"/>
    <mergeCell ref="D517:E517"/>
    <mergeCell ref="D518:L518"/>
    <mergeCell ref="D520:E520"/>
    <mergeCell ref="D521:L521"/>
    <mergeCell ref="D523:E523"/>
    <mergeCell ref="D509:L509"/>
    <mergeCell ref="D511:E511"/>
    <mergeCell ref="D512:L512"/>
    <mergeCell ref="D514:E514"/>
    <mergeCell ref="D515:L515"/>
    <mergeCell ref="D501:E501"/>
    <mergeCell ref="D502:E502"/>
    <mergeCell ref="D505:E505"/>
    <mergeCell ref="D506:L506"/>
    <mergeCell ref="D508:E508"/>
    <mergeCell ref="D490:E490"/>
    <mergeCell ref="D493:E493"/>
    <mergeCell ref="D494:L494"/>
    <mergeCell ref="D496:E496"/>
    <mergeCell ref="D499:E499"/>
    <mergeCell ref="D479:E479"/>
    <mergeCell ref="D482:E482"/>
    <mergeCell ref="D484:E484"/>
    <mergeCell ref="D486:E486"/>
    <mergeCell ref="D487:E487"/>
    <mergeCell ref="D466:E466"/>
    <mergeCell ref="D470:E470"/>
    <mergeCell ref="D473:E473"/>
    <mergeCell ref="D476:E476"/>
    <mergeCell ref="D477:L477"/>
    <mergeCell ref="D454:E454"/>
    <mergeCell ref="D458:E458"/>
    <mergeCell ref="D461:E461"/>
    <mergeCell ref="D462:L462"/>
    <mergeCell ref="D464:E464"/>
    <mergeCell ref="D441:L441"/>
    <mergeCell ref="D443:E443"/>
    <mergeCell ref="D445:E445"/>
    <mergeCell ref="D448:E448"/>
    <mergeCell ref="D449:L449"/>
    <mergeCell ref="D433:E433"/>
    <mergeCell ref="D435:E435"/>
    <mergeCell ref="D437:E437"/>
    <mergeCell ref="D438:L438"/>
    <mergeCell ref="D440:E440"/>
    <mergeCell ref="D424:E424"/>
    <mergeCell ref="D427:E427"/>
    <mergeCell ref="D429:E429"/>
    <mergeCell ref="D430:E430"/>
    <mergeCell ref="D431:L431"/>
    <mergeCell ref="D413:E413"/>
    <mergeCell ref="D417:E417"/>
    <mergeCell ref="D419:E419"/>
    <mergeCell ref="D420:E420"/>
    <mergeCell ref="D421:L421"/>
    <mergeCell ref="D405:E405"/>
    <mergeCell ref="D407:E407"/>
    <mergeCell ref="D408:L408"/>
    <mergeCell ref="D410:E410"/>
    <mergeCell ref="D411:L411"/>
    <mergeCell ref="D395:E395"/>
    <mergeCell ref="D398:E398"/>
    <mergeCell ref="D399:L399"/>
    <mergeCell ref="D401:E401"/>
    <mergeCell ref="D402:L402"/>
    <mergeCell ref="D387:E387"/>
    <mergeCell ref="D388:L388"/>
    <mergeCell ref="D390:E390"/>
    <mergeCell ref="D392:E392"/>
    <mergeCell ref="D393:L393"/>
    <mergeCell ref="D379:E379"/>
    <mergeCell ref="D381:E381"/>
    <mergeCell ref="D383:E383"/>
    <mergeCell ref="D384:E384"/>
    <mergeCell ref="D385:L385"/>
    <mergeCell ref="D369:E369"/>
    <mergeCell ref="D371:E371"/>
    <mergeCell ref="D373:E373"/>
    <mergeCell ref="D375:E375"/>
    <mergeCell ref="D377:E377"/>
    <mergeCell ref="D358:E358"/>
    <mergeCell ref="D360:E360"/>
    <mergeCell ref="D362:E362"/>
    <mergeCell ref="D365:E365"/>
    <mergeCell ref="D367:E367"/>
    <mergeCell ref="D349:E349"/>
    <mergeCell ref="D350:L350"/>
    <mergeCell ref="D353:E353"/>
    <mergeCell ref="D354:L354"/>
    <mergeCell ref="D357:E357"/>
    <mergeCell ref="D337:E337"/>
    <mergeCell ref="D339:E339"/>
    <mergeCell ref="D341:E341"/>
    <mergeCell ref="D343:E343"/>
    <mergeCell ref="D346:E346"/>
    <mergeCell ref="D324:L324"/>
    <mergeCell ref="D326:E326"/>
    <mergeCell ref="D327:L327"/>
    <mergeCell ref="D329:E329"/>
    <mergeCell ref="D331:E331"/>
    <mergeCell ref="D316:L316"/>
    <mergeCell ref="D318:E318"/>
    <mergeCell ref="D320:E320"/>
    <mergeCell ref="D321:L321"/>
    <mergeCell ref="D323:E323"/>
    <mergeCell ref="D309:E309"/>
    <mergeCell ref="D310:L310"/>
    <mergeCell ref="D312:E312"/>
    <mergeCell ref="D313:L313"/>
    <mergeCell ref="D315:E315"/>
    <mergeCell ref="D299:E299"/>
    <mergeCell ref="D301:E301"/>
    <mergeCell ref="D303:E303"/>
    <mergeCell ref="D304:E304"/>
    <mergeCell ref="D305:L305"/>
    <mergeCell ref="D291:E291"/>
    <mergeCell ref="D292:L292"/>
    <mergeCell ref="D294:E294"/>
    <mergeCell ref="D295:L295"/>
    <mergeCell ref="D298:E298"/>
    <mergeCell ref="D280:L280"/>
    <mergeCell ref="D285:E285"/>
    <mergeCell ref="D286:L286"/>
    <mergeCell ref="D288:E288"/>
    <mergeCell ref="D289:L289"/>
    <mergeCell ref="D255:E255"/>
    <mergeCell ref="D262:E262"/>
    <mergeCell ref="D273:E273"/>
    <mergeCell ref="D275:E275"/>
    <mergeCell ref="D279:E279"/>
    <mergeCell ref="D237:E237"/>
    <mergeCell ref="D242:E242"/>
    <mergeCell ref="D245:E245"/>
    <mergeCell ref="D247:E247"/>
    <mergeCell ref="D251:E251"/>
    <mergeCell ref="D225:L225"/>
    <mergeCell ref="D227:E227"/>
    <mergeCell ref="D228:L228"/>
    <mergeCell ref="D233:E233"/>
    <mergeCell ref="D236:E236"/>
    <mergeCell ref="D212:E212"/>
    <mergeCell ref="D213:E213"/>
    <mergeCell ref="D221:E221"/>
    <mergeCell ref="D222:L222"/>
    <mergeCell ref="D224:E224"/>
    <mergeCell ref="D202:E202"/>
    <mergeCell ref="D205:E205"/>
    <mergeCell ref="D207:E207"/>
    <mergeCell ref="D208:L208"/>
    <mergeCell ref="D210:E210"/>
    <mergeCell ref="D194:L194"/>
    <mergeCell ref="D196:E196"/>
    <mergeCell ref="D197:E197"/>
    <mergeCell ref="D199:E199"/>
    <mergeCell ref="D200:L200"/>
    <mergeCell ref="D186:E186"/>
    <mergeCell ref="D188:E188"/>
    <mergeCell ref="D190:E190"/>
    <mergeCell ref="D192:E192"/>
    <mergeCell ref="D193:E193"/>
    <mergeCell ref="D175:E175"/>
    <mergeCell ref="D176:L176"/>
    <mergeCell ref="D178:E178"/>
    <mergeCell ref="D181:E181"/>
    <mergeCell ref="D184:E184"/>
    <mergeCell ref="D163:E163"/>
    <mergeCell ref="D167:E167"/>
    <mergeCell ref="D168:L168"/>
    <mergeCell ref="D170:E170"/>
    <mergeCell ref="D171:L171"/>
    <mergeCell ref="D156:E156"/>
    <mergeCell ref="D157:L157"/>
    <mergeCell ref="D159:E159"/>
    <mergeCell ref="D160:L160"/>
    <mergeCell ref="D162:E162"/>
    <mergeCell ref="D146:E146"/>
    <mergeCell ref="D147:L147"/>
    <mergeCell ref="D149:E149"/>
    <mergeCell ref="D150:L150"/>
    <mergeCell ref="D152:E152"/>
    <mergeCell ref="D136:E136"/>
    <mergeCell ref="D138:E138"/>
    <mergeCell ref="D140:E140"/>
    <mergeCell ref="D142:E142"/>
    <mergeCell ref="D144:E144"/>
    <mergeCell ref="D129:E129"/>
    <mergeCell ref="D130:L130"/>
    <mergeCell ref="D132:E132"/>
    <mergeCell ref="D133:L133"/>
    <mergeCell ref="D135:E135"/>
    <mergeCell ref="D120:L120"/>
    <mergeCell ref="D122:E122"/>
    <mergeCell ref="D123:L123"/>
    <mergeCell ref="D125:E125"/>
    <mergeCell ref="D127:E127"/>
    <mergeCell ref="D109:E109"/>
    <mergeCell ref="D112:E112"/>
    <mergeCell ref="D116:E116"/>
    <mergeCell ref="D117:L117"/>
    <mergeCell ref="D119:E119"/>
    <mergeCell ref="D95:E95"/>
    <mergeCell ref="D96:E96"/>
    <mergeCell ref="D98:E98"/>
    <mergeCell ref="D103:E103"/>
    <mergeCell ref="D106:E106"/>
    <mergeCell ref="D87:E87"/>
    <mergeCell ref="D88:L88"/>
    <mergeCell ref="D90:E90"/>
    <mergeCell ref="D91:L91"/>
    <mergeCell ref="D93:E93"/>
    <mergeCell ref="D79:L79"/>
    <mergeCell ref="D81:E81"/>
    <mergeCell ref="D82:L82"/>
    <mergeCell ref="D84:E84"/>
    <mergeCell ref="D85:L85"/>
    <mergeCell ref="D65:E65"/>
    <mergeCell ref="D69:E69"/>
    <mergeCell ref="D71:E71"/>
    <mergeCell ref="D75:E75"/>
    <mergeCell ref="D78:E78"/>
    <mergeCell ref="D54:E54"/>
    <mergeCell ref="D56:E56"/>
    <mergeCell ref="D57:L57"/>
    <mergeCell ref="D61:E61"/>
    <mergeCell ref="D62:L62"/>
    <mergeCell ref="D47:E47"/>
    <mergeCell ref="D48:E48"/>
    <mergeCell ref="D49:L49"/>
    <mergeCell ref="D51:E51"/>
    <mergeCell ref="D52:L52"/>
    <mergeCell ref="D38:L38"/>
    <mergeCell ref="D40:E40"/>
    <mergeCell ref="D41:E41"/>
    <mergeCell ref="D43:E43"/>
    <mergeCell ref="D45:E45"/>
    <mergeCell ref="D30:E30"/>
    <mergeCell ref="D31:L31"/>
    <mergeCell ref="D33:E33"/>
    <mergeCell ref="D34:L34"/>
    <mergeCell ref="D37:E37"/>
    <mergeCell ref="D23:E23"/>
    <mergeCell ref="D24:E24"/>
    <mergeCell ref="D25:L25"/>
    <mergeCell ref="D27:E27"/>
    <mergeCell ref="D28:L28"/>
    <mergeCell ref="D15:L15"/>
    <mergeCell ref="D17:E17"/>
    <mergeCell ref="D19:E19"/>
    <mergeCell ref="D20:E20"/>
    <mergeCell ref="D21:L21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7"/>
  <sheetViews>
    <sheetView workbookViewId="0" topLeftCell="A1">
      <pane ySplit="11" topLeftCell="A12" activePane="bottomLeft" state="frozen"/>
      <selection pane="bottomLeft" activeCell="A117" sqref="A117:L117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7.003906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01" t="s">
        <v>76</v>
      </c>
      <c r="G2" s="101"/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>
      <c r="A3" s="102"/>
      <c r="B3" s="103"/>
      <c r="C3" s="103"/>
      <c r="D3" s="111"/>
      <c r="E3" s="111"/>
      <c r="F3" s="103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 t="s">
        <v>9</v>
      </c>
      <c r="G4" s="103"/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 t="s">
        <v>10</v>
      </c>
      <c r="G6" s="103"/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 t="s">
        <v>77</v>
      </c>
      <c r="G8" s="103"/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86" t="s">
        <v>82</v>
      </c>
      <c r="E10" s="187"/>
      <c r="F10" s="46" t="s">
        <v>107</v>
      </c>
      <c r="G10" s="47" t="s">
        <v>108</v>
      </c>
      <c r="H10" s="92" t="s">
        <v>109</v>
      </c>
      <c r="I10" s="28" t="s">
        <v>79</v>
      </c>
      <c r="J10" s="188" t="s">
        <v>80</v>
      </c>
      <c r="K10" s="189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87</v>
      </c>
      <c r="C12" s="59" t="s">
        <v>4</v>
      </c>
      <c r="D12" s="190" t="s">
        <v>88</v>
      </c>
      <c r="E12" s="191"/>
      <c r="F12" s="60" t="s">
        <v>78</v>
      </c>
      <c r="G12" s="60" t="s">
        <v>78</v>
      </c>
      <c r="H12" s="60" t="s">
        <v>78</v>
      </c>
      <c r="I12" s="62">
        <f>I13+I17+I19+I24+I30+I47+I72+I76+I94+I97+I102+I107+I110</f>
        <v>0</v>
      </c>
      <c r="J12" s="63" t="s">
        <v>4</v>
      </c>
      <c r="K12" s="62">
        <f>K13+K17+K19+K24+K30+K47+K72+K76+K94+K97+K102+K107+K110</f>
        <v>0</v>
      </c>
      <c r="L12" s="64" t="s">
        <v>4</v>
      </c>
    </row>
    <row r="13" spans="1:47" ht="15">
      <c r="A13" s="65" t="s">
        <v>4</v>
      </c>
      <c r="B13" s="66" t="s">
        <v>87</v>
      </c>
      <c r="C13" s="66" t="s">
        <v>147</v>
      </c>
      <c r="D13" s="192" t="s">
        <v>148</v>
      </c>
      <c r="E13" s="193"/>
      <c r="F13" s="67" t="s">
        <v>78</v>
      </c>
      <c r="G13" s="67" t="s">
        <v>78</v>
      </c>
      <c r="H13" s="67" t="s">
        <v>78</v>
      </c>
      <c r="I13" s="44">
        <f>SUM(I14:I16)</f>
        <v>0</v>
      </c>
      <c r="J13" s="50" t="s">
        <v>4</v>
      </c>
      <c r="K13" s="44">
        <f>SUM(K14:K16)</f>
        <v>0</v>
      </c>
      <c r="L13" s="69" t="s">
        <v>4</v>
      </c>
      <c r="AI13" s="50" t="s">
        <v>87</v>
      </c>
      <c r="AS13" s="44">
        <f>SUM(AJ14:AJ16)</f>
        <v>0</v>
      </c>
      <c r="AT13" s="44">
        <f>SUM(AK14:AK16)</f>
        <v>0</v>
      </c>
      <c r="AU13" s="44">
        <f>SUM(AL14:AL16)</f>
        <v>0</v>
      </c>
    </row>
    <row r="14" spans="1:75" ht="13.5" customHeight="1">
      <c r="A14" s="1" t="s">
        <v>132</v>
      </c>
      <c r="B14" s="2" t="s">
        <v>87</v>
      </c>
      <c r="C14" s="2" t="s">
        <v>2003</v>
      </c>
      <c r="D14" s="108" t="s">
        <v>2004</v>
      </c>
      <c r="E14" s="103"/>
      <c r="F14" s="2" t="s">
        <v>135</v>
      </c>
      <c r="G14" s="38">
        <f>'Stavební rozpočet'!G1136</f>
        <v>7</v>
      </c>
      <c r="H14" s="38">
        <f>'Stavební rozpočet'!H1136</f>
        <v>0</v>
      </c>
      <c r="I14" s="38">
        <f>G14*H14</f>
        <v>0</v>
      </c>
      <c r="J14" s="38">
        <f>'Stavební rozpočet'!J1136</f>
        <v>0</v>
      </c>
      <c r="K14" s="38">
        <f>G14*J14</f>
        <v>0</v>
      </c>
      <c r="L14" s="71" t="s">
        <v>207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87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152</v>
      </c>
      <c r="AZ14" s="72" t="s">
        <v>2005</v>
      </c>
      <c r="BA14" s="50" t="s">
        <v>2006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>
        <v>13</v>
      </c>
      <c r="BW14" s="38">
        <v>21</v>
      </c>
    </row>
    <row r="15" spans="1:75" ht="27" customHeight="1">
      <c r="A15" s="1" t="s">
        <v>143</v>
      </c>
      <c r="B15" s="2" t="s">
        <v>87</v>
      </c>
      <c r="C15" s="2" t="s">
        <v>2008</v>
      </c>
      <c r="D15" s="108" t="s">
        <v>2009</v>
      </c>
      <c r="E15" s="103"/>
      <c r="F15" s="2" t="s">
        <v>135</v>
      </c>
      <c r="G15" s="38">
        <f>'Stavební rozpočet'!G1137</f>
        <v>7</v>
      </c>
      <c r="H15" s="38">
        <f>'Stavební rozpočet'!H1137</f>
        <v>0</v>
      </c>
      <c r="I15" s="38">
        <f>G15*H15</f>
        <v>0</v>
      </c>
      <c r="J15" s="38">
        <f>'Stavební rozpočet'!J1137</f>
        <v>0</v>
      </c>
      <c r="K15" s="38">
        <f>G15*J15</f>
        <v>0</v>
      </c>
      <c r="L15" s="71" t="s">
        <v>207</v>
      </c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50" t="s">
        <v>87</v>
      </c>
      <c r="AJ15" s="38">
        <f>IF(AN15=0,I15,0)</f>
        <v>0</v>
      </c>
      <c r="AK15" s="38">
        <f>IF(AN15=12,I15,0)</f>
        <v>0</v>
      </c>
      <c r="AL15" s="38">
        <f>IF(AN15=21,I15,0)</f>
        <v>0</v>
      </c>
      <c r="AN15" s="38">
        <v>21</v>
      </c>
      <c r="AO15" s="38">
        <f>H15*0</f>
        <v>0</v>
      </c>
      <c r="AP15" s="38">
        <f>H15*(1-0)</f>
        <v>0</v>
      </c>
      <c r="AQ15" s="72" t="s">
        <v>132</v>
      </c>
      <c r="AV15" s="38">
        <f>AW15+AX15</f>
        <v>0</v>
      </c>
      <c r="AW15" s="38">
        <f>G15*AO15</f>
        <v>0</v>
      </c>
      <c r="AX15" s="38">
        <f>G15*AP15</f>
        <v>0</v>
      </c>
      <c r="AY15" s="72" t="s">
        <v>152</v>
      </c>
      <c r="AZ15" s="72" t="s">
        <v>2005</v>
      </c>
      <c r="BA15" s="50" t="s">
        <v>2006</v>
      </c>
      <c r="BC15" s="38">
        <f>AW15+AX15</f>
        <v>0</v>
      </c>
      <c r="BD15" s="38">
        <f>H15/(100-BE15)*100</f>
        <v>0</v>
      </c>
      <c r="BE15" s="38">
        <v>0</v>
      </c>
      <c r="BF15" s="38">
        <f>K15</f>
        <v>0</v>
      </c>
      <c r="BH15" s="38">
        <f>G15*AO15</f>
        <v>0</v>
      </c>
      <c r="BI15" s="38">
        <f>G15*AP15</f>
        <v>0</v>
      </c>
      <c r="BJ15" s="38">
        <f>G15*H15</f>
        <v>0</v>
      </c>
      <c r="BK15" s="38"/>
      <c r="BL15" s="38">
        <v>13</v>
      </c>
      <c r="BW15" s="38">
        <v>21</v>
      </c>
    </row>
    <row r="16" spans="1:75" ht="27" customHeight="1">
      <c r="A16" s="1" t="s">
        <v>149</v>
      </c>
      <c r="B16" s="2" t="s">
        <v>87</v>
      </c>
      <c r="C16" s="2" t="s">
        <v>2011</v>
      </c>
      <c r="D16" s="108" t="s">
        <v>2012</v>
      </c>
      <c r="E16" s="103"/>
      <c r="F16" s="2" t="s">
        <v>135</v>
      </c>
      <c r="G16" s="38">
        <f>'Stavební rozpočet'!G1138</f>
        <v>4</v>
      </c>
      <c r="H16" s="38">
        <f>'Stavební rozpočet'!H1138</f>
        <v>0</v>
      </c>
      <c r="I16" s="38">
        <f>G16*H16</f>
        <v>0</v>
      </c>
      <c r="J16" s="38">
        <f>'Stavební rozpočet'!J1138</f>
        <v>0</v>
      </c>
      <c r="K16" s="38">
        <f>G16*J16</f>
        <v>0</v>
      </c>
      <c r="L16" s="71" t="s">
        <v>207</v>
      </c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50" t="s">
        <v>87</v>
      </c>
      <c r="AJ16" s="38">
        <f>IF(AN16=0,I16,0)</f>
        <v>0</v>
      </c>
      <c r="AK16" s="38">
        <f>IF(AN16=12,I16,0)</f>
        <v>0</v>
      </c>
      <c r="AL16" s="38">
        <f>IF(AN16=21,I16,0)</f>
        <v>0</v>
      </c>
      <c r="AN16" s="38">
        <v>21</v>
      </c>
      <c r="AO16" s="38">
        <f>H16*0</f>
        <v>0</v>
      </c>
      <c r="AP16" s="38">
        <f>H16*(1-0)</f>
        <v>0</v>
      </c>
      <c r="AQ16" s="72" t="s">
        <v>132</v>
      </c>
      <c r="AV16" s="38">
        <f>AW16+AX16</f>
        <v>0</v>
      </c>
      <c r="AW16" s="38">
        <f>G16*AO16</f>
        <v>0</v>
      </c>
      <c r="AX16" s="38">
        <f>G16*AP16</f>
        <v>0</v>
      </c>
      <c r="AY16" s="72" t="s">
        <v>152</v>
      </c>
      <c r="AZ16" s="72" t="s">
        <v>2005</v>
      </c>
      <c r="BA16" s="50" t="s">
        <v>2006</v>
      </c>
      <c r="BC16" s="38">
        <f>AW16+AX16</f>
        <v>0</v>
      </c>
      <c r="BD16" s="38">
        <f>H16/(100-BE16)*100</f>
        <v>0</v>
      </c>
      <c r="BE16" s="38">
        <v>0</v>
      </c>
      <c r="BF16" s="38">
        <f>K16</f>
        <v>0</v>
      </c>
      <c r="BH16" s="38">
        <f>G16*AO16</f>
        <v>0</v>
      </c>
      <c r="BI16" s="38">
        <f>G16*AP16</f>
        <v>0</v>
      </c>
      <c r="BJ16" s="38">
        <f>G16*H16</f>
        <v>0</v>
      </c>
      <c r="BK16" s="38"/>
      <c r="BL16" s="38">
        <v>13</v>
      </c>
      <c r="BW16" s="38">
        <v>21</v>
      </c>
    </row>
    <row r="17" spans="1:47" ht="15">
      <c r="A17" s="65" t="s">
        <v>4</v>
      </c>
      <c r="B17" s="66" t="s">
        <v>87</v>
      </c>
      <c r="C17" s="66" t="s">
        <v>155</v>
      </c>
      <c r="D17" s="192" t="s">
        <v>156</v>
      </c>
      <c r="E17" s="193"/>
      <c r="F17" s="67" t="s">
        <v>78</v>
      </c>
      <c r="G17" s="67" t="s">
        <v>78</v>
      </c>
      <c r="H17" s="67" t="s">
        <v>78</v>
      </c>
      <c r="I17" s="44">
        <f>SUM(I18:I18)</f>
        <v>0</v>
      </c>
      <c r="J17" s="50" t="s">
        <v>4</v>
      </c>
      <c r="K17" s="44">
        <f>SUM(K18:K18)</f>
        <v>0</v>
      </c>
      <c r="L17" s="69" t="s">
        <v>4</v>
      </c>
      <c r="AI17" s="50" t="s">
        <v>87</v>
      </c>
      <c r="AS17" s="44">
        <f>SUM(AJ18:AJ18)</f>
        <v>0</v>
      </c>
      <c r="AT17" s="44">
        <f>SUM(AK18:AK18)</f>
        <v>0</v>
      </c>
      <c r="AU17" s="44">
        <f>SUM(AL18:AL18)</f>
        <v>0</v>
      </c>
    </row>
    <row r="18" spans="1:75" ht="13.5" customHeight="1">
      <c r="A18" s="1" t="s">
        <v>157</v>
      </c>
      <c r="B18" s="2" t="s">
        <v>87</v>
      </c>
      <c r="C18" s="2" t="s">
        <v>2014</v>
      </c>
      <c r="D18" s="108" t="s">
        <v>2015</v>
      </c>
      <c r="E18" s="103"/>
      <c r="F18" s="2" t="s">
        <v>135</v>
      </c>
      <c r="G18" s="38">
        <f>'Stavební rozpočet'!G1140</f>
        <v>18</v>
      </c>
      <c r="H18" s="38">
        <f>'Stavební rozpočet'!H1140</f>
        <v>0</v>
      </c>
      <c r="I18" s="38">
        <f>G18*H18</f>
        <v>0</v>
      </c>
      <c r="J18" s="38">
        <f>'Stavební rozpočet'!J1140</f>
        <v>0</v>
      </c>
      <c r="K18" s="38">
        <f>G18*J18</f>
        <v>0</v>
      </c>
      <c r="L18" s="71" t="s">
        <v>207</v>
      </c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50" t="s">
        <v>87</v>
      </c>
      <c r="AJ18" s="38">
        <f>IF(AN18=0,I18,0)</f>
        <v>0</v>
      </c>
      <c r="AK18" s="38">
        <f>IF(AN18=12,I18,0)</f>
        <v>0</v>
      </c>
      <c r="AL18" s="38">
        <f>IF(AN18=21,I18,0)</f>
        <v>0</v>
      </c>
      <c r="AN18" s="38">
        <v>21</v>
      </c>
      <c r="AO18" s="38">
        <f>H18*0</f>
        <v>0</v>
      </c>
      <c r="AP18" s="38">
        <f>H18*(1-0)</f>
        <v>0</v>
      </c>
      <c r="AQ18" s="72" t="s">
        <v>132</v>
      </c>
      <c r="AV18" s="38">
        <f>AW18+AX18</f>
        <v>0</v>
      </c>
      <c r="AW18" s="38">
        <f>G18*AO18</f>
        <v>0</v>
      </c>
      <c r="AX18" s="38">
        <f>G18*AP18</f>
        <v>0</v>
      </c>
      <c r="AY18" s="72" t="s">
        <v>160</v>
      </c>
      <c r="AZ18" s="72" t="s">
        <v>2005</v>
      </c>
      <c r="BA18" s="50" t="s">
        <v>2006</v>
      </c>
      <c r="BC18" s="38">
        <f>AW18+AX18</f>
        <v>0</v>
      </c>
      <c r="BD18" s="38">
        <f>H18/(100-BE18)*100</f>
        <v>0</v>
      </c>
      <c r="BE18" s="38">
        <v>0</v>
      </c>
      <c r="BF18" s="38">
        <f>K18</f>
        <v>0</v>
      </c>
      <c r="BH18" s="38">
        <f>G18*AO18</f>
        <v>0</v>
      </c>
      <c r="BI18" s="38">
        <f>G18*AP18</f>
        <v>0</v>
      </c>
      <c r="BJ18" s="38">
        <f>G18*H18</f>
        <v>0</v>
      </c>
      <c r="BK18" s="38"/>
      <c r="BL18" s="38">
        <v>16</v>
      </c>
      <c r="BW18" s="38">
        <v>21</v>
      </c>
    </row>
    <row r="19" spans="1:47" ht="15">
      <c r="A19" s="65" t="s">
        <v>4</v>
      </c>
      <c r="B19" s="66" t="s">
        <v>87</v>
      </c>
      <c r="C19" s="66" t="s">
        <v>178</v>
      </c>
      <c r="D19" s="192" t="s">
        <v>179</v>
      </c>
      <c r="E19" s="193"/>
      <c r="F19" s="67" t="s">
        <v>78</v>
      </c>
      <c r="G19" s="67" t="s">
        <v>78</v>
      </c>
      <c r="H19" s="67" t="s">
        <v>78</v>
      </c>
      <c r="I19" s="44">
        <f>SUM(I20:I23)</f>
        <v>0</v>
      </c>
      <c r="J19" s="50" t="s">
        <v>4</v>
      </c>
      <c r="K19" s="44">
        <f>SUM(K20:K23)</f>
        <v>0</v>
      </c>
      <c r="L19" s="69" t="s">
        <v>4</v>
      </c>
      <c r="AI19" s="50" t="s">
        <v>87</v>
      </c>
      <c r="AS19" s="44">
        <f>SUM(AJ20:AJ23)</f>
        <v>0</v>
      </c>
      <c r="AT19" s="44">
        <f>SUM(AK20:AK23)</f>
        <v>0</v>
      </c>
      <c r="AU19" s="44">
        <f>SUM(AL20:AL23)</f>
        <v>0</v>
      </c>
    </row>
    <row r="20" spans="1:75" ht="27" customHeight="1">
      <c r="A20" s="1" t="s">
        <v>162</v>
      </c>
      <c r="B20" s="2" t="s">
        <v>87</v>
      </c>
      <c r="C20" s="2" t="s">
        <v>2017</v>
      </c>
      <c r="D20" s="108" t="s">
        <v>2018</v>
      </c>
      <c r="E20" s="103"/>
      <c r="F20" s="2" t="s">
        <v>189</v>
      </c>
      <c r="G20" s="38">
        <f>'Stavební rozpočet'!G1142</f>
        <v>24</v>
      </c>
      <c r="H20" s="38">
        <f>'Stavební rozpočet'!H1142</f>
        <v>0</v>
      </c>
      <c r="I20" s="38">
        <f>G20*H20</f>
        <v>0</v>
      </c>
      <c r="J20" s="38">
        <f>'Stavební rozpočet'!J1142</f>
        <v>0</v>
      </c>
      <c r="K20" s="38">
        <f>G20*J20</f>
        <v>0</v>
      </c>
      <c r="L20" s="71" t="s">
        <v>207</v>
      </c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50" t="s">
        <v>87</v>
      </c>
      <c r="AJ20" s="38">
        <f>IF(AN20=0,I20,0)</f>
        <v>0</v>
      </c>
      <c r="AK20" s="38">
        <f>IF(AN20=12,I20,0)</f>
        <v>0</v>
      </c>
      <c r="AL20" s="38">
        <f>IF(AN20=21,I20,0)</f>
        <v>0</v>
      </c>
      <c r="AN20" s="38">
        <v>21</v>
      </c>
      <c r="AO20" s="38">
        <f>H20*0</f>
        <v>0</v>
      </c>
      <c r="AP20" s="38">
        <f>H20*(1-0)</f>
        <v>0</v>
      </c>
      <c r="AQ20" s="72" t="s">
        <v>132</v>
      </c>
      <c r="AV20" s="38">
        <f>AW20+AX20</f>
        <v>0</v>
      </c>
      <c r="AW20" s="38">
        <f>G20*AO20</f>
        <v>0</v>
      </c>
      <c r="AX20" s="38">
        <f>G20*AP20</f>
        <v>0</v>
      </c>
      <c r="AY20" s="72" t="s">
        <v>183</v>
      </c>
      <c r="AZ20" s="72" t="s">
        <v>2005</v>
      </c>
      <c r="BA20" s="50" t="s">
        <v>2006</v>
      </c>
      <c r="BC20" s="38">
        <f>AW20+AX20</f>
        <v>0</v>
      </c>
      <c r="BD20" s="38">
        <f>H20/(100-BE20)*100</f>
        <v>0</v>
      </c>
      <c r="BE20" s="38">
        <v>0</v>
      </c>
      <c r="BF20" s="38">
        <f>K20</f>
        <v>0</v>
      </c>
      <c r="BH20" s="38">
        <f>G20*AO20</f>
        <v>0</v>
      </c>
      <c r="BI20" s="38">
        <f>G20*AP20</f>
        <v>0</v>
      </c>
      <c r="BJ20" s="38">
        <f>G20*H20</f>
        <v>0</v>
      </c>
      <c r="BK20" s="38"/>
      <c r="BL20" s="38">
        <v>17</v>
      </c>
      <c r="BW20" s="38">
        <v>21</v>
      </c>
    </row>
    <row r="21" spans="1:75" ht="13.5" customHeight="1">
      <c r="A21" s="1" t="s">
        <v>166</v>
      </c>
      <c r="B21" s="2" t="s">
        <v>87</v>
      </c>
      <c r="C21" s="2" t="s">
        <v>2020</v>
      </c>
      <c r="D21" s="108" t="s">
        <v>2021</v>
      </c>
      <c r="E21" s="103"/>
      <c r="F21" s="2" t="s">
        <v>135</v>
      </c>
      <c r="G21" s="38">
        <f>'Stavební rozpočet'!G1143</f>
        <v>5</v>
      </c>
      <c r="H21" s="38">
        <f>'Stavební rozpočet'!H1143</f>
        <v>0</v>
      </c>
      <c r="I21" s="38">
        <f>G21*H21</f>
        <v>0</v>
      </c>
      <c r="J21" s="38">
        <f>'Stavební rozpočet'!J1143</f>
        <v>0</v>
      </c>
      <c r="K21" s="38">
        <f>G21*J21</f>
        <v>0</v>
      </c>
      <c r="L21" s="71" t="s">
        <v>207</v>
      </c>
      <c r="Z21" s="38">
        <f>IF(AQ21="5",BJ21,0)</f>
        <v>0</v>
      </c>
      <c r="AB21" s="38">
        <f>IF(AQ21="1",BH21,0)</f>
        <v>0</v>
      </c>
      <c r="AC21" s="38">
        <f>IF(AQ21="1",BI21,0)</f>
        <v>0</v>
      </c>
      <c r="AD21" s="38">
        <f>IF(AQ21="7",BH21,0)</f>
        <v>0</v>
      </c>
      <c r="AE21" s="38">
        <f>IF(AQ21="7",BI21,0)</f>
        <v>0</v>
      </c>
      <c r="AF21" s="38">
        <f>IF(AQ21="2",BH21,0)</f>
        <v>0</v>
      </c>
      <c r="AG21" s="38">
        <f>IF(AQ21="2",BI21,0)</f>
        <v>0</v>
      </c>
      <c r="AH21" s="38">
        <f>IF(AQ21="0",BJ21,0)</f>
        <v>0</v>
      </c>
      <c r="AI21" s="50" t="s">
        <v>87</v>
      </c>
      <c r="AJ21" s="38">
        <f>IF(AN21=0,I21,0)</f>
        <v>0</v>
      </c>
      <c r="AK21" s="38">
        <f>IF(AN21=12,I21,0)</f>
        <v>0</v>
      </c>
      <c r="AL21" s="38">
        <f>IF(AN21=21,I21,0)</f>
        <v>0</v>
      </c>
      <c r="AN21" s="38">
        <v>21</v>
      </c>
      <c r="AO21" s="38">
        <f>H21*0</f>
        <v>0</v>
      </c>
      <c r="AP21" s="38">
        <f>H21*(1-0)</f>
        <v>0</v>
      </c>
      <c r="AQ21" s="72" t="s">
        <v>132</v>
      </c>
      <c r="AV21" s="38">
        <f>AW21+AX21</f>
        <v>0</v>
      </c>
      <c r="AW21" s="38">
        <f>G21*AO21</f>
        <v>0</v>
      </c>
      <c r="AX21" s="38">
        <f>G21*AP21</f>
        <v>0</v>
      </c>
      <c r="AY21" s="72" t="s">
        <v>183</v>
      </c>
      <c r="AZ21" s="72" t="s">
        <v>2005</v>
      </c>
      <c r="BA21" s="50" t="s">
        <v>2006</v>
      </c>
      <c r="BC21" s="38">
        <f>AW21+AX21</f>
        <v>0</v>
      </c>
      <c r="BD21" s="38">
        <f>H21/(100-BE21)*100</f>
        <v>0</v>
      </c>
      <c r="BE21" s="38">
        <v>0</v>
      </c>
      <c r="BF21" s="38">
        <f>K21</f>
        <v>0</v>
      </c>
      <c r="BH21" s="38">
        <f>G21*AO21</f>
        <v>0</v>
      </c>
      <c r="BI21" s="38">
        <f>G21*AP21</f>
        <v>0</v>
      </c>
      <c r="BJ21" s="38">
        <f>G21*H21</f>
        <v>0</v>
      </c>
      <c r="BK21" s="38"/>
      <c r="BL21" s="38">
        <v>17</v>
      </c>
      <c r="BW21" s="38">
        <v>21</v>
      </c>
    </row>
    <row r="22" spans="1:75" ht="13.5" customHeight="1">
      <c r="A22" s="78" t="s">
        <v>169</v>
      </c>
      <c r="B22" s="79" t="s">
        <v>87</v>
      </c>
      <c r="C22" s="79" t="s">
        <v>2023</v>
      </c>
      <c r="D22" s="198" t="s">
        <v>2024</v>
      </c>
      <c r="E22" s="199"/>
      <c r="F22" s="79" t="s">
        <v>189</v>
      </c>
      <c r="G22" s="80">
        <f>'Stavební rozpočet'!G1144</f>
        <v>10</v>
      </c>
      <c r="H22" s="80">
        <f>'Stavební rozpočet'!H1144</f>
        <v>0</v>
      </c>
      <c r="I22" s="80">
        <f>G22*H22</f>
        <v>0</v>
      </c>
      <c r="J22" s="80">
        <f>'Stavební rozpočet'!J1144</f>
        <v>0</v>
      </c>
      <c r="K22" s="80">
        <f>G22*J22</f>
        <v>0</v>
      </c>
      <c r="L22" s="82" t="s">
        <v>207</v>
      </c>
      <c r="Z22" s="38">
        <f>IF(AQ22="5",BJ22,0)</f>
        <v>0</v>
      </c>
      <c r="AB22" s="38">
        <f>IF(AQ22="1",BH22,0)</f>
        <v>0</v>
      </c>
      <c r="AC22" s="38">
        <f>IF(AQ22="1",BI22,0)</f>
        <v>0</v>
      </c>
      <c r="AD22" s="38">
        <f>IF(AQ22="7",BH22,0)</f>
        <v>0</v>
      </c>
      <c r="AE22" s="38">
        <f>IF(AQ22="7",BI22,0)</f>
        <v>0</v>
      </c>
      <c r="AF22" s="38">
        <f>IF(AQ22="2",BH22,0)</f>
        <v>0</v>
      </c>
      <c r="AG22" s="38">
        <f>IF(AQ22="2",BI22,0)</f>
        <v>0</v>
      </c>
      <c r="AH22" s="38">
        <f>IF(AQ22="0",BJ22,0)</f>
        <v>0</v>
      </c>
      <c r="AI22" s="50" t="s">
        <v>87</v>
      </c>
      <c r="AJ22" s="80">
        <f>IF(AN22=0,I22,0)</f>
        <v>0</v>
      </c>
      <c r="AK22" s="80">
        <f>IF(AN22=12,I22,0)</f>
        <v>0</v>
      </c>
      <c r="AL22" s="80">
        <f>IF(AN22=21,I22,0)</f>
        <v>0</v>
      </c>
      <c r="AN22" s="38">
        <v>21</v>
      </c>
      <c r="AO22" s="38">
        <f>H22*1</f>
        <v>0</v>
      </c>
      <c r="AP22" s="38">
        <f>H22*(1-1)</f>
        <v>0</v>
      </c>
      <c r="AQ22" s="83" t="s">
        <v>132</v>
      </c>
      <c r="AV22" s="38">
        <f>AW22+AX22</f>
        <v>0</v>
      </c>
      <c r="AW22" s="38">
        <f>G22*AO22</f>
        <v>0</v>
      </c>
      <c r="AX22" s="38">
        <f>G22*AP22</f>
        <v>0</v>
      </c>
      <c r="AY22" s="72" t="s">
        <v>183</v>
      </c>
      <c r="AZ22" s="72" t="s">
        <v>2005</v>
      </c>
      <c r="BA22" s="50" t="s">
        <v>2006</v>
      </c>
      <c r="BC22" s="38">
        <f>AW22+AX22</f>
        <v>0</v>
      </c>
      <c r="BD22" s="38">
        <f>H22/(100-BE22)*100</f>
        <v>0</v>
      </c>
      <c r="BE22" s="38">
        <v>0</v>
      </c>
      <c r="BF22" s="38">
        <f>K22</f>
        <v>0</v>
      </c>
      <c r="BH22" s="80">
        <f>G22*AO22</f>
        <v>0</v>
      </c>
      <c r="BI22" s="80">
        <f>G22*AP22</f>
        <v>0</v>
      </c>
      <c r="BJ22" s="80">
        <f>G22*H22</f>
        <v>0</v>
      </c>
      <c r="BK22" s="80"/>
      <c r="BL22" s="38">
        <v>17</v>
      </c>
      <c r="BW22" s="38">
        <v>21</v>
      </c>
    </row>
    <row r="23" spans="1:75" ht="13.5" customHeight="1">
      <c r="A23" s="1" t="s">
        <v>174</v>
      </c>
      <c r="B23" s="2" t="s">
        <v>87</v>
      </c>
      <c r="C23" s="2" t="s">
        <v>2026</v>
      </c>
      <c r="D23" s="108" t="s">
        <v>2027</v>
      </c>
      <c r="E23" s="103"/>
      <c r="F23" s="2" t="s">
        <v>135</v>
      </c>
      <c r="G23" s="38">
        <f>'Stavební rozpočet'!G1145</f>
        <v>6</v>
      </c>
      <c r="H23" s="38">
        <f>'Stavební rozpočet'!H1145</f>
        <v>0</v>
      </c>
      <c r="I23" s="38">
        <f>G23*H23</f>
        <v>0</v>
      </c>
      <c r="J23" s="38">
        <f>'Stavební rozpočet'!J1145</f>
        <v>0</v>
      </c>
      <c r="K23" s="38">
        <f>G23*J23</f>
        <v>0</v>
      </c>
      <c r="L23" s="71" t="s">
        <v>207</v>
      </c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50" t="s">
        <v>87</v>
      </c>
      <c r="AJ23" s="38">
        <f>IF(AN23=0,I23,0)</f>
        <v>0</v>
      </c>
      <c r="AK23" s="38">
        <f>IF(AN23=12,I23,0)</f>
        <v>0</v>
      </c>
      <c r="AL23" s="38">
        <f>IF(AN23=21,I23,0)</f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132</v>
      </c>
      <c r="AV23" s="38">
        <f>AW23+AX23</f>
        <v>0</v>
      </c>
      <c r="AW23" s="38">
        <f>G23*AO23</f>
        <v>0</v>
      </c>
      <c r="AX23" s="38">
        <f>G23*AP23</f>
        <v>0</v>
      </c>
      <c r="AY23" s="72" t="s">
        <v>183</v>
      </c>
      <c r="AZ23" s="72" t="s">
        <v>2005</v>
      </c>
      <c r="BA23" s="50" t="s">
        <v>2006</v>
      </c>
      <c r="BC23" s="38">
        <f>AW23+AX23</f>
        <v>0</v>
      </c>
      <c r="BD23" s="38">
        <f>H23/(100-BE23)*100</f>
        <v>0</v>
      </c>
      <c r="BE23" s="38">
        <v>0</v>
      </c>
      <c r="BF23" s="38">
        <f>K23</f>
        <v>0</v>
      </c>
      <c r="BH23" s="38">
        <f>G23*AO23</f>
        <v>0</v>
      </c>
      <c r="BI23" s="38">
        <f>G23*AP23</f>
        <v>0</v>
      </c>
      <c r="BJ23" s="38">
        <f>G23*H23</f>
        <v>0</v>
      </c>
      <c r="BK23" s="38"/>
      <c r="BL23" s="38">
        <v>17</v>
      </c>
      <c r="BW23" s="38">
        <v>21</v>
      </c>
    </row>
    <row r="24" spans="1:47" ht="15">
      <c r="A24" s="65" t="s">
        <v>4</v>
      </c>
      <c r="B24" s="66" t="s">
        <v>87</v>
      </c>
      <c r="C24" s="66" t="s">
        <v>890</v>
      </c>
      <c r="D24" s="192" t="s">
        <v>891</v>
      </c>
      <c r="E24" s="193"/>
      <c r="F24" s="67" t="s">
        <v>78</v>
      </c>
      <c r="G24" s="67" t="s">
        <v>78</v>
      </c>
      <c r="H24" s="67" t="s">
        <v>78</v>
      </c>
      <c r="I24" s="44">
        <f>SUM(I25:I29)</f>
        <v>0</v>
      </c>
      <c r="J24" s="50" t="s">
        <v>4</v>
      </c>
      <c r="K24" s="44">
        <f>SUM(K25:K29)</f>
        <v>0</v>
      </c>
      <c r="L24" s="69" t="s">
        <v>4</v>
      </c>
      <c r="AI24" s="50" t="s">
        <v>87</v>
      </c>
      <c r="AS24" s="44">
        <f>SUM(AJ25:AJ29)</f>
        <v>0</v>
      </c>
      <c r="AT24" s="44">
        <f>SUM(AK25:AK29)</f>
        <v>0</v>
      </c>
      <c r="AU24" s="44">
        <f>SUM(AL25:AL29)</f>
        <v>0</v>
      </c>
    </row>
    <row r="25" spans="1:75" ht="27" customHeight="1">
      <c r="A25" s="1" t="s">
        <v>180</v>
      </c>
      <c r="B25" s="2" t="s">
        <v>87</v>
      </c>
      <c r="C25" s="2" t="s">
        <v>2029</v>
      </c>
      <c r="D25" s="108" t="s">
        <v>2030</v>
      </c>
      <c r="E25" s="103"/>
      <c r="F25" s="2" t="s">
        <v>214</v>
      </c>
      <c r="G25" s="38">
        <f>'Stavební rozpočet'!G1147</f>
        <v>40</v>
      </c>
      <c r="H25" s="38">
        <f>'Stavební rozpočet'!H1147</f>
        <v>0</v>
      </c>
      <c r="I25" s="38">
        <f>G25*H25</f>
        <v>0</v>
      </c>
      <c r="J25" s="38">
        <f>'Stavební rozpočet'!J1147</f>
        <v>0</v>
      </c>
      <c r="K25" s="38">
        <f>G25*J25</f>
        <v>0</v>
      </c>
      <c r="L25" s="71" t="s">
        <v>207</v>
      </c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50" t="s">
        <v>87</v>
      </c>
      <c r="AJ25" s="38">
        <f>IF(AN25=0,I25,0)</f>
        <v>0</v>
      </c>
      <c r="AK25" s="38">
        <f>IF(AN25=12,I25,0)</f>
        <v>0</v>
      </c>
      <c r="AL25" s="38">
        <f>IF(AN25=21,I25,0)</f>
        <v>0</v>
      </c>
      <c r="AN25" s="38">
        <v>21</v>
      </c>
      <c r="AO25" s="38">
        <f>H25*0</f>
        <v>0</v>
      </c>
      <c r="AP25" s="38">
        <f>H25*(1-0)</f>
        <v>0</v>
      </c>
      <c r="AQ25" s="72" t="s">
        <v>169</v>
      </c>
      <c r="AV25" s="38">
        <f>AW25+AX25</f>
        <v>0</v>
      </c>
      <c r="AW25" s="38">
        <f>G25*AO25</f>
        <v>0</v>
      </c>
      <c r="AX25" s="38">
        <f>G25*AP25</f>
        <v>0</v>
      </c>
      <c r="AY25" s="72" t="s">
        <v>895</v>
      </c>
      <c r="AZ25" s="72" t="s">
        <v>2031</v>
      </c>
      <c r="BA25" s="50" t="s">
        <v>2006</v>
      </c>
      <c r="BC25" s="38">
        <f>AW25+AX25</f>
        <v>0</v>
      </c>
      <c r="BD25" s="38">
        <f>H25/(100-BE25)*100</f>
        <v>0</v>
      </c>
      <c r="BE25" s="38">
        <v>0</v>
      </c>
      <c r="BF25" s="38">
        <f>K25</f>
        <v>0</v>
      </c>
      <c r="BH25" s="38">
        <f>G25*AO25</f>
        <v>0</v>
      </c>
      <c r="BI25" s="38">
        <f>G25*AP25</f>
        <v>0</v>
      </c>
      <c r="BJ25" s="38">
        <f>G25*H25</f>
        <v>0</v>
      </c>
      <c r="BK25" s="38"/>
      <c r="BL25" s="38">
        <v>713</v>
      </c>
      <c r="BW25" s="38">
        <v>21</v>
      </c>
    </row>
    <row r="26" spans="1:75" ht="13.5" customHeight="1">
      <c r="A26" s="78" t="s">
        <v>186</v>
      </c>
      <c r="B26" s="79" t="s">
        <v>87</v>
      </c>
      <c r="C26" s="79" t="s">
        <v>2033</v>
      </c>
      <c r="D26" s="198" t="s">
        <v>2034</v>
      </c>
      <c r="E26" s="199"/>
      <c r="F26" s="79" t="s">
        <v>214</v>
      </c>
      <c r="G26" s="80">
        <f>'Stavební rozpočet'!G1148</f>
        <v>30</v>
      </c>
      <c r="H26" s="80">
        <f>'Stavební rozpočet'!H1148</f>
        <v>0</v>
      </c>
      <c r="I26" s="80">
        <f>G26*H26</f>
        <v>0</v>
      </c>
      <c r="J26" s="80">
        <f>'Stavební rozpočet'!J1148</f>
        <v>0</v>
      </c>
      <c r="K26" s="80">
        <f>G26*J26</f>
        <v>0</v>
      </c>
      <c r="L26" s="82" t="s">
        <v>207</v>
      </c>
      <c r="Z26" s="38">
        <f>IF(AQ26="5",BJ26,0)</f>
        <v>0</v>
      </c>
      <c r="AB26" s="38">
        <f>IF(AQ26="1",BH26,0)</f>
        <v>0</v>
      </c>
      <c r="AC26" s="38">
        <f>IF(AQ26="1",BI26,0)</f>
        <v>0</v>
      </c>
      <c r="AD26" s="38">
        <f>IF(AQ26="7",BH26,0)</f>
        <v>0</v>
      </c>
      <c r="AE26" s="38">
        <f>IF(AQ26="7",BI26,0)</f>
        <v>0</v>
      </c>
      <c r="AF26" s="38">
        <f>IF(AQ26="2",BH26,0)</f>
        <v>0</v>
      </c>
      <c r="AG26" s="38">
        <f>IF(AQ26="2",BI26,0)</f>
        <v>0</v>
      </c>
      <c r="AH26" s="38">
        <f>IF(AQ26="0",BJ26,0)</f>
        <v>0</v>
      </c>
      <c r="AI26" s="50" t="s">
        <v>87</v>
      </c>
      <c r="AJ26" s="80">
        <f>IF(AN26=0,I26,0)</f>
        <v>0</v>
      </c>
      <c r="AK26" s="80">
        <f>IF(AN26=12,I26,0)</f>
        <v>0</v>
      </c>
      <c r="AL26" s="80">
        <f>IF(AN26=21,I26,0)</f>
        <v>0</v>
      </c>
      <c r="AN26" s="38">
        <v>21</v>
      </c>
      <c r="AO26" s="38">
        <f>H26*1</f>
        <v>0</v>
      </c>
      <c r="AP26" s="38">
        <f>H26*(1-1)</f>
        <v>0</v>
      </c>
      <c r="AQ26" s="83" t="s">
        <v>169</v>
      </c>
      <c r="AV26" s="38">
        <f>AW26+AX26</f>
        <v>0</v>
      </c>
      <c r="AW26" s="38">
        <f>G26*AO26</f>
        <v>0</v>
      </c>
      <c r="AX26" s="38">
        <f>G26*AP26</f>
        <v>0</v>
      </c>
      <c r="AY26" s="72" t="s">
        <v>895</v>
      </c>
      <c r="AZ26" s="72" t="s">
        <v>2031</v>
      </c>
      <c r="BA26" s="50" t="s">
        <v>2006</v>
      </c>
      <c r="BC26" s="38">
        <f>AW26+AX26</f>
        <v>0</v>
      </c>
      <c r="BD26" s="38">
        <f>H26/(100-BE26)*100</f>
        <v>0</v>
      </c>
      <c r="BE26" s="38">
        <v>0</v>
      </c>
      <c r="BF26" s="38">
        <f>K26</f>
        <v>0</v>
      </c>
      <c r="BH26" s="80">
        <f>G26*AO26</f>
        <v>0</v>
      </c>
      <c r="BI26" s="80">
        <f>G26*AP26</f>
        <v>0</v>
      </c>
      <c r="BJ26" s="80">
        <f>G26*H26</f>
        <v>0</v>
      </c>
      <c r="BK26" s="80"/>
      <c r="BL26" s="38">
        <v>713</v>
      </c>
      <c r="BW26" s="38">
        <v>21</v>
      </c>
    </row>
    <row r="27" spans="1:75" ht="13.5" customHeight="1">
      <c r="A27" s="78" t="s">
        <v>191</v>
      </c>
      <c r="B27" s="79" t="s">
        <v>87</v>
      </c>
      <c r="C27" s="79" t="s">
        <v>2036</v>
      </c>
      <c r="D27" s="198" t="s">
        <v>2037</v>
      </c>
      <c r="E27" s="199"/>
      <c r="F27" s="79" t="s">
        <v>214</v>
      </c>
      <c r="G27" s="80">
        <f>'Stavební rozpočet'!G1149</f>
        <v>10</v>
      </c>
      <c r="H27" s="80">
        <f>'Stavební rozpočet'!H1149</f>
        <v>0</v>
      </c>
      <c r="I27" s="80">
        <f>G27*H27</f>
        <v>0</v>
      </c>
      <c r="J27" s="80">
        <f>'Stavební rozpočet'!J1149</f>
        <v>0</v>
      </c>
      <c r="K27" s="80">
        <f>G27*J27</f>
        <v>0</v>
      </c>
      <c r="L27" s="82" t="s">
        <v>207</v>
      </c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50" t="s">
        <v>87</v>
      </c>
      <c r="AJ27" s="80">
        <f>IF(AN27=0,I27,0)</f>
        <v>0</v>
      </c>
      <c r="AK27" s="80">
        <f>IF(AN27=12,I27,0)</f>
        <v>0</v>
      </c>
      <c r="AL27" s="80">
        <f>IF(AN27=21,I27,0)</f>
        <v>0</v>
      </c>
      <c r="AN27" s="38">
        <v>21</v>
      </c>
      <c r="AO27" s="38">
        <f>H27*1</f>
        <v>0</v>
      </c>
      <c r="AP27" s="38">
        <f>H27*(1-1)</f>
        <v>0</v>
      </c>
      <c r="AQ27" s="83" t="s">
        <v>169</v>
      </c>
      <c r="AV27" s="38">
        <f>AW27+AX27</f>
        <v>0</v>
      </c>
      <c r="AW27" s="38">
        <f>G27*AO27</f>
        <v>0</v>
      </c>
      <c r="AX27" s="38">
        <f>G27*AP27</f>
        <v>0</v>
      </c>
      <c r="AY27" s="72" t="s">
        <v>895</v>
      </c>
      <c r="AZ27" s="72" t="s">
        <v>2031</v>
      </c>
      <c r="BA27" s="50" t="s">
        <v>2006</v>
      </c>
      <c r="BC27" s="38">
        <f>AW27+AX27</f>
        <v>0</v>
      </c>
      <c r="BD27" s="38">
        <f>H27/(100-BE27)*100</f>
        <v>0</v>
      </c>
      <c r="BE27" s="38">
        <v>0</v>
      </c>
      <c r="BF27" s="38">
        <f>K27</f>
        <v>0</v>
      </c>
      <c r="BH27" s="80">
        <f>G27*AO27</f>
        <v>0</v>
      </c>
      <c r="BI27" s="80">
        <f>G27*AP27</f>
        <v>0</v>
      </c>
      <c r="BJ27" s="80">
        <f>G27*H27</f>
        <v>0</v>
      </c>
      <c r="BK27" s="80"/>
      <c r="BL27" s="38">
        <v>713</v>
      </c>
      <c r="BW27" s="38">
        <v>21</v>
      </c>
    </row>
    <row r="28" spans="1:75" ht="27" customHeight="1">
      <c r="A28" s="1" t="s">
        <v>130</v>
      </c>
      <c r="B28" s="2" t="s">
        <v>87</v>
      </c>
      <c r="C28" s="2" t="s">
        <v>2039</v>
      </c>
      <c r="D28" s="108" t="s">
        <v>2040</v>
      </c>
      <c r="E28" s="103"/>
      <c r="F28" s="2" t="s">
        <v>214</v>
      </c>
      <c r="G28" s="38">
        <f>'Stavební rozpočet'!G1150</f>
        <v>55</v>
      </c>
      <c r="H28" s="38">
        <f>'Stavební rozpočet'!H1150</f>
        <v>0</v>
      </c>
      <c r="I28" s="38">
        <f>G28*H28</f>
        <v>0</v>
      </c>
      <c r="J28" s="38">
        <f>'Stavební rozpočet'!J1150</f>
        <v>0</v>
      </c>
      <c r="K28" s="38">
        <f>G28*J28</f>
        <v>0</v>
      </c>
      <c r="L28" s="71" t="s">
        <v>207</v>
      </c>
      <c r="Z28" s="38">
        <f>IF(AQ28="5",BJ28,0)</f>
        <v>0</v>
      </c>
      <c r="AB28" s="38">
        <f>IF(AQ28="1",BH28,0)</f>
        <v>0</v>
      </c>
      <c r="AC28" s="38">
        <f>IF(AQ28="1",BI28,0)</f>
        <v>0</v>
      </c>
      <c r="AD28" s="38">
        <f>IF(AQ28="7",BH28,0)</f>
        <v>0</v>
      </c>
      <c r="AE28" s="38">
        <f>IF(AQ28="7",BI28,0)</f>
        <v>0</v>
      </c>
      <c r="AF28" s="38">
        <f>IF(AQ28="2",BH28,0)</f>
        <v>0</v>
      </c>
      <c r="AG28" s="38">
        <f>IF(AQ28="2",BI28,0)</f>
        <v>0</v>
      </c>
      <c r="AH28" s="38">
        <f>IF(AQ28="0",BJ28,0)</f>
        <v>0</v>
      </c>
      <c r="AI28" s="50" t="s">
        <v>87</v>
      </c>
      <c r="AJ28" s="38">
        <f>IF(AN28=0,I28,0)</f>
        <v>0</v>
      </c>
      <c r="AK28" s="38">
        <f>IF(AN28=12,I28,0)</f>
        <v>0</v>
      </c>
      <c r="AL28" s="38">
        <f>IF(AN28=21,I28,0)</f>
        <v>0</v>
      </c>
      <c r="AN28" s="38">
        <v>21</v>
      </c>
      <c r="AO28" s="38">
        <f>H28*0</f>
        <v>0</v>
      </c>
      <c r="AP28" s="38">
        <f>H28*(1-0)</f>
        <v>0</v>
      </c>
      <c r="AQ28" s="72" t="s">
        <v>169</v>
      </c>
      <c r="AV28" s="38">
        <f>AW28+AX28</f>
        <v>0</v>
      </c>
      <c r="AW28" s="38">
        <f>G28*AO28</f>
        <v>0</v>
      </c>
      <c r="AX28" s="38">
        <f>G28*AP28</f>
        <v>0</v>
      </c>
      <c r="AY28" s="72" t="s">
        <v>895</v>
      </c>
      <c r="AZ28" s="72" t="s">
        <v>2031</v>
      </c>
      <c r="BA28" s="50" t="s">
        <v>2006</v>
      </c>
      <c r="BC28" s="38">
        <f>AW28+AX28</f>
        <v>0</v>
      </c>
      <c r="BD28" s="38">
        <f>H28/(100-BE28)*100</f>
        <v>0</v>
      </c>
      <c r="BE28" s="38">
        <v>0</v>
      </c>
      <c r="BF28" s="38">
        <f>K28</f>
        <v>0</v>
      </c>
      <c r="BH28" s="38">
        <f>G28*AO28</f>
        <v>0</v>
      </c>
      <c r="BI28" s="38">
        <f>G28*AP28</f>
        <v>0</v>
      </c>
      <c r="BJ28" s="38">
        <f>G28*H28</f>
        <v>0</v>
      </c>
      <c r="BK28" s="38"/>
      <c r="BL28" s="38">
        <v>713</v>
      </c>
      <c r="BW28" s="38">
        <v>21</v>
      </c>
    </row>
    <row r="29" spans="1:75" ht="13.5" customHeight="1">
      <c r="A29" s="78" t="s">
        <v>147</v>
      </c>
      <c r="B29" s="79" t="s">
        <v>87</v>
      </c>
      <c r="C29" s="79" t="s">
        <v>2042</v>
      </c>
      <c r="D29" s="198" t="s">
        <v>2043</v>
      </c>
      <c r="E29" s="199"/>
      <c r="F29" s="79" t="s">
        <v>214</v>
      </c>
      <c r="G29" s="80">
        <f>'Stavební rozpočet'!G1151</f>
        <v>55</v>
      </c>
      <c r="H29" s="80">
        <f>'Stavební rozpočet'!H1151</f>
        <v>0</v>
      </c>
      <c r="I29" s="80">
        <f>G29*H29</f>
        <v>0</v>
      </c>
      <c r="J29" s="80">
        <f>'Stavební rozpočet'!J1151</f>
        <v>0</v>
      </c>
      <c r="K29" s="80">
        <f>G29*J29</f>
        <v>0</v>
      </c>
      <c r="L29" s="82" t="s">
        <v>207</v>
      </c>
      <c r="Z29" s="38">
        <f>IF(AQ29="5",BJ29,0)</f>
        <v>0</v>
      </c>
      <c r="AB29" s="38">
        <f>IF(AQ29="1",BH29,0)</f>
        <v>0</v>
      </c>
      <c r="AC29" s="38">
        <f>IF(AQ29="1",BI29,0)</f>
        <v>0</v>
      </c>
      <c r="AD29" s="38">
        <f>IF(AQ29="7",BH29,0)</f>
        <v>0</v>
      </c>
      <c r="AE29" s="38">
        <f>IF(AQ29="7",BI29,0)</f>
        <v>0</v>
      </c>
      <c r="AF29" s="38">
        <f>IF(AQ29="2",BH29,0)</f>
        <v>0</v>
      </c>
      <c r="AG29" s="38">
        <f>IF(AQ29="2",BI29,0)</f>
        <v>0</v>
      </c>
      <c r="AH29" s="38">
        <f>IF(AQ29="0",BJ29,0)</f>
        <v>0</v>
      </c>
      <c r="AI29" s="50" t="s">
        <v>87</v>
      </c>
      <c r="AJ29" s="80">
        <f>IF(AN29=0,I29,0)</f>
        <v>0</v>
      </c>
      <c r="AK29" s="80">
        <f>IF(AN29=12,I29,0)</f>
        <v>0</v>
      </c>
      <c r="AL29" s="80">
        <f>IF(AN29=21,I29,0)</f>
        <v>0</v>
      </c>
      <c r="AN29" s="38">
        <v>21</v>
      </c>
      <c r="AO29" s="38">
        <f>H29*1</f>
        <v>0</v>
      </c>
      <c r="AP29" s="38">
        <f>H29*(1-1)</f>
        <v>0</v>
      </c>
      <c r="AQ29" s="83" t="s">
        <v>169</v>
      </c>
      <c r="AV29" s="38">
        <f>AW29+AX29</f>
        <v>0</v>
      </c>
      <c r="AW29" s="38">
        <f>G29*AO29</f>
        <v>0</v>
      </c>
      <c r="AX29" s="38">
        <f>G29*AP29</f>
        <v>0</v>
      </c>
      <c r="AY29" s="72" t="s">
        <v>895</v>
      </c>
      <c r="AZ29" s="72" t="s">
        <v>2031</v>
      </c>
      <c r="BA29" s="50" t="s">
        <v>2006</v>
      </c>
      <c r="BC29" s="38">
        <f>AW29+AX29</f>
        <v>0</v>
      </c>
      <c r="BD29" s="38">
        <f>H29/(100-BE29)*100</f>
        <v>0</v>
      </c>
      <c r="BE29" s="38">
        <v>0</v>
      </c>
      <c r="BF29" s="38">
        <f>K29</f>
        <v>0</v>
      </c>
      <c r="BH29" s="80">
        <f>G29*AO29</f>
        <v>0</v>
      </c>
      <c r="BI29" s="80">
        <f>G29*AP29</f>
        <v>0</v>
      </c>
      <c r="BJ29" s="80">
        <f>G29*H29</f>
        <v>0</v>
      </c>
      <c r="BK29" s="80"/>
      <c r="BL29" s="38">
        <v>713</v>
      </c>
      <c r="BW29" s="38">
        <v>21</v>
      </c>
    </row>
    <row r="30" spans="1:47" ht="15">
      <c r="A30" s="65" t="s">
        <v>4</v>
      </c>
      <c r="B30" s="66" t="s">
        <v>87</v>
      </c>
      <c r="C30" s="66" t="s">
        <v>2044</v>
      </c>
      <c r="D30" s="192" t="s">
        <v>2045</v>
      </c>
      <c r="E30" s="193"/>
      <c r="F30" s="67" t="s">
        <v>78</v>
      </c>
      <c r="G30" s="67" t="s">
        <v>78</v>
      </c>
      <c r="H30" s="67" t="s">
        <v>78</v>
      </c>
      <c r="I30" s="44">
        <f>SUM(I31:I46)</f>
        <v>0</v>
      </c>
      <c r="J30" s="50" t="s">
        <v>4</v>
      </c>
      <c r="K30" s="44">
        <f>SUM(K31:K46)</f>
        <v>0</v>
      </c>
      <c r="L30" s="69" t="s">
        <v>4</v>
      </c>
      <c r="AI30" s="50" t="s">
        <v>87</v>
      </c>
      <c r="AS30" s="44">
        <f>SUM(AJ31:AJ46)</f>
        <v>0</v>
      </c>
      <c r="AT30" s="44">
        <f>SUM(AK31:AK46)</f>
        <v>0</v>
      </c>
      <c r="AU30" s="44">
        <f>SUM(AL31:AL46)</f>
        <v>0</v>
      </c>
    </row>
    <row r="31" spans="1:75" ht="13.5" customHeight="1">
      <c r="A31" s="1" t="s">
        <v>211</v>
      </c>
      <c r="B31" s="2" t="s">
        <v>87</v>
      </c>
      <c r="C31" s="2" t="s">
        <v>2047</v>
      </c>
      <c r="D31" s="108" t="s">
        <v>2048</v>
      </c>
      <c r="E31" s="103"/>
      <c r="F31" s="2" t="s">
        <v>214</v>
      </c>
      <c r="G31" s="38">
        <f>'Stavební rozpočet'!G1153</f>
        <v>14</v>
      </c>
      <c r="H31" s="38">
        <f>'Stavební rozpočet'!H1153</f>
        <v>0</v>
      </c>
      <c r="I31" s="38">
        <f>G31*H31</f>
        <v>0</v>
      </c>
      <c r="J31" s="38">
        <f>'Stavební rozpočet'!J1153</f>
        <v>0</v>
      </c>
      <c r="K31" s="38">
        <f>G31*J31</f>
        <v>0</v>
      </c>
      <c r="L31" s="71" t="s">
        <v>207</v>
      </c>
      <c r="Z31" s="38">
        <f>IF(AQ31="5",BJ31,0)</f>
        <v>0</v>
      </c>
      <c r="AB31" s="38">
        <f>IF(AQ31="1",BH31,0)</f>
        <v>0</v>
      </c>
      <c r="AC31" s="38">
        <f>IF(AQ31="1",BI31,0)</f>
        <v>0</v>
      </c>
      <c r="AD31" s="38">
        <f>IF(AQ31="7",BH31,0)</f>
        <v>0</v>
      </c>
      <c r="AE31" s="38">
        <f>IF(AQ31="7",BI31,0)</f>
        <v>0</v>
      </c>
      <c r="AF31" s="38">
        <f>IF(AQ31="2",BH31,0)</f>
        <v>0</v>
      </c>
      <c r="AG31" s="38">
        <f>IF(AQ31="2",BI31,0)</f>
        <v>0</v>
      </c>
      <c r="AH31" s="38">
        <f>IF(AQ31="0",BJ31,0)</f>
        <v>0</v>
      </c>
      <c r="AI31" s="50" t="s">
        <v>87</v>
      </c>
      <c r="AJ31" s="38">
        <f>IF(AN31=0,I31,0)</f>
        <v>0</v>
      </c>
      <c r="AK31" s="38">
        <f>IF(AN31=12,I31,0)</f>
        <v>0</v>
      </c>
      <c r="AL31" s="38">
        <f>IF(AN31=21,I31,0)</f>
        <v>0</v>
      </c>
      <c r="AN31" s="38">
        <v>21</v>
      </c>
      <c r="AO31" s="38">
        <f>H31*0</f>
        <v>0</v>
      </c>
      <c r="AP31" s="38">
        <f>H31*(1-0)</f>
        <v>0</v>
      </c>
      <c r="AQ31" s="72" t="s">
        <v>169</v>
      </c>
      <c r="AV31" s="38">
        <f>AW31+AX31</f>
        <v>0</v>
      </c>
      <c r="AW31" s="38">
        <f>G31*AO31</f>
        <v>0</v>
      </c>
      <c r="AX31" s="38">
        <f>G31*AP31</f>
        <v>0</v>
      </c>
      <c r="AY31" s="72" t="s">
        <v>2049</v>
      </c>
      <c r="AZ31" s="72" t="s">
        <v>2050</v>
      </c>
      <c r="BA31" s="50" t="s">
        <v>2006</v>
      </c>
      <c r="BC31" s="38">
        <f>AW31+AX31</f>
        <v>0</v>
      </c>
      <c r="BD31" s="38">
        <f>H31/(100-BE31)*100</f>
        <v>0</v>
      </c>
      <c r="BE31" s="38">
        <v>0</v>
      </c>
      <c r="BF31" s="38">
        <f>K31</f>
        <v>0</v>
      </c>
      <c r="BH31" s="38">
        <f>G31*AO31</f>
        <v>0</v>
      </c>
      <c r="BI31" s="38">
        <f>G31*AP31</f>
        <v>0</v>
      </c>
      <c r="BJ31" s="38">
        <f>G31*H31</f>
        <v>0</v>
      </c>
      <c r="BK31" s="38"/>
      <c r="BL31" s="38">
        <v>721</v>
      </c>
      <c r="BW31" s="38">
        <v>21</v>
      </c>
    </row>
    <row r="32" spans="1:75" ht="13.5" customHeight="1">
      <c r="A32" s="1" t="s">
        <v>217</v>
      </c>
      <c r="B32" s="2" t="s">
        <v>87</v>
      </c>
      <c r="C32" s="2" t="s">
        <v>2052</v>
      </c>
      <c r="D32" s="108" t="s">
        <v>2053</v>
      </c>
      <c r="E32" s="103"/>
      <c r="F32" s="2" t="s">
        <v>214</v>
      </c>
      <c r="G32" s="38">
        <f>'Stavební rozpočet'!G1154</f>
        <v>20</v>
      </c>
      <c r="H32" s="38">
        <f>'Stavební rozpočet'!H1154</f>
        <v>0</v>
      </c>
      <c r="I32" s="38">
        <f>G32*H32</f>
        <v>0</v>
      </c>
      <c r="J32" s="38">
        <f>'Stavební rozpočet'!J1154</f>
        <v>0</v>
      </c>
      <c r="K32" s="38">
        <f>G32*J32</f>
        <v>0</v>
      </c>
      <c r="L32" s="71" t="s">
        <v>207</v>
      </c>
      <c r="Z32" s="38">
        <f>IF(AQ32="5",BJ32,0)</f>
        <v>0</v>
      </c>
      <c r="AB32" s="38">
        <f>IF(AQ32="1",BH32,0)</f>
        <v>0</v>
      </c>
      <c r="AC32" s="38">
        <f>IF(AQ32="1",BI32,0)</f>
        <v>0</v>
      </c>
      <c r="AD32" s="38">
        <f>IF(AQ32="7",BH32,0)</f>
        <v>0</v>
      </c>
      <c r="AE32" s="38">
        <f>IF(AQ32="7",BI32,0)</f>
        <v>0</v>
      </c>
      <c r="AF32" s="38">
        <f>IF(AQ32="2",BH32,0)</f>
        <v>0</v>
      </c>
      <c r="AG32" s="38">
        <f>IF(AQ32="2",BI32,0)</f>
        <v>0</v>
      </c>
      <c r="AH32" s="38">
        <f>IF(AQ32="0",BJ32,0)</f>
        <v>0</v>
      </c>
      <c r="AI32" s="50" t="s">
        <v>87</v>
      </c>
      <c r="AJ32" s="38">
        <f>IF(AN32=0,I32,0)</f>
        <v>0</v>
      </c>
      <c r="AK32" s="38">
        <f>IF(AN32=12,I32,0)</f>
        <v>0</v>
      </c>
      <c r="AL32" s="38">
        <f>IF(AN32=21,I32,0)</f>
        <v>0</v>
      </c>
      <c r="AN32" s="38">
        <v>21</v>
      </c>
      <c r="AO32" s="38">
        <f>H32*0</f>
        <v>0</v>
      </c>
      <c r="AP32" s="38">
        <f>H32*(1-0)</f>
        <v>0</v>
      </c>
      <c r="AQ32" s="72" t="s">
        <v>169</v>
      </c>
      <c r="AV32" s="38">
        <f>AW32+AX32</f>
        <v>0</v>
      </c>
      <c r="AW32" s="38">
        <f>G32*AO32</f>
        <v>0</v>
      </c>
      <c r="AX32" s="38">
        <f>G32*AP32</f>
        <v>0</v>
      </c>
      <c r="AY32" s="72" t="s">
        <v>2049</v>
      </c>
      <c r="AZ32" s="72" t="s">
        <v>2050</v>
      </c>
      <c r="BA32" s="50" t="s">
        <v>2006</v>
      </c>
      <c r="BC32" s="38">
        <f>AW32+AX32</f>
        <v>0</v>
      </c>
      <c r="BD32" s="38">
        <f>H32/(100-BE32)*100</f>
        <v>0</v>
      </c>
      <c r="BE32" s="38">
        <v>0</v>
      </c>
      <c r="BF32" s="38">
        <f>K32</f>
        <v>0</v>
      </c>
      <c r="BH32" s="38">
        <f>G32*AO32</f>
        <v>0</v>
      </c>
      <c r="BI32" s="38">
        <f>G32*AP32</f>
        <v>0</v>
      </c>
      <c r="BJ32" s="38">
        <f>G32*H32</f>
        <v>0</v>
      </c>
      <c r="BK32" s="38"/>
      <c r="BL32" s="38">
        <v>721</v>
      </c>
      <c r="BW32" s="38">
        <v>21</v>
      </c>
    </row>
    <row r="33" spans="1:12" ht="13.5" customHeight="1">
      <c r="A33" s="74"/>
      <c r="D33" s="194" t="s">
        <v>2054</v>
      </c>
      <c r="E33" s="195"/>
      <c r="F33" s="195"/>
      <c r="G33" s="195"/>
      <c r="H33" s="195"/>
      <c r="I33" s="195"/>
      <c r="J33" s="195"/>
      <c r="K33" s="195"/>
      <c r="L33" s="197"/>
    </row>
    <row r="34" spans="1:75" ht="13.5" customHeight="1">
      <c r="A34" s="1" t="s">
        <v>155</v>
      </c>
      <c r="B34" s="2" t="s">
        <v>87</v>
      </c>
      <c r="C34" s="2" t="s">
        <v>2056</v>
      </c>
      <c r="D34" s="108" t="s">
        <v>2057</v>
      </c>
      <c r="E34" s="103"/>
      <c r="F34" s="2" t="s">
        <v>214</v>
      </c>
      <c r="G34" s="38">
        <f>'Stavební rozpočet'!G1156</f>
        <v>35</v>
      </c>
      <c r="H34" s="38">
        <f>'Stavební rozpočet'!H1156</f>
        <v>0</v>
      </c>
      <c r="I34" s="38">
        <f aca="true" t="shared" si="0" ref="I34:I46">G34*H34</f>
        <v>0</v>
      </c>
      <c r="J34" s="38">
        <f>'Stavební rozpočet'!J1156</f>
        <v>0</v>
      </c>
      <c r="K34" s="38">
        <f aca="true" t="shared" si="1" ref="K34:K46">G34*J34</f>
        <v>0</v>
      </c>
      <c r="L34" s="71" t="s">
        <v>207</v>
      </c>
      <c r="Z34" s="38">
        <f aca="true" t="shared" si="2" ref="Z34:Z46">IF(AQ34="5",BJ34,0)</f>
        <v>0</v>
      </c>
      <c r="AB34" s="38">
        <f aca="true" t="shared" si="3" ref="AB34:AB46">IF(AQ34="1",BH34,0)</f>
        <v>0</v>
      </c>
      <c r="AC34" s="38">
        <f aca="true" t="shared" si="4" ref="AC34:AC46">IF(AQ34="1",BI34,0)</f>
        <v>0</v>
      </c>
      <c r="AD34" s="38">
        <f aca="true" t="shared" si="5" ref="AD34:AD46">IF(AQ34="7",BH34,0)</f>
        <v>0</v>
      </c>
      <c r="AE34" s="38">
        <f aca="true" t="shared" si="6" ref="AE34:AE46">IF(AQ34="7",BI34,0)</f>
        <v>0</v>
      </c>
      <c r="AF34" s="38">
        <f aca="true" t="shared" si="7" ref="AF34:AF46">IF(AQ34="2",BH34,0)</f>
        <v>0</v>
      </c>
      <c r="AG34" s="38">
        <f aca="true" t="shared" si="8" ref="AG34:AG46">IF(AQ34="2",BI34,0)</f>
        <v>0</v>
      </c>
      <c r="AH34" s="38">
        <f aca="true" t="shared" si="9" ref="AH34:AH46">IF(AQ34="0",BJ34,0)</f>
        <v>0</v>
      </c>
      <c r="AI34" s="50" t="s">
        <v>87</v>
      </c>
      <c r="AJ34" s="38">
        <f aca="true" t="shared" si="10" ref="AJ34:AJ46">IF(AN34=0,I34,0)</f>
        <v>0</v>
      </c>
      <c r="AK34" s="38">
        <f aca="true" t="shared" si="11" ref="AK34:AK46">IF(AN34=12,I34,0)</f>
        <v>0</v>
      </c>
      <c r="AL34" s="38">
        <f aca="true" t="shared" si="12" ref="AL34:AL46">IF(AN34=21,I34,0)</f>
        <v>0</v>
      </c>
      <c r="AN34" s="38">
        <v>21</v>
      </c>
      <c r="AO34" s="38">
        <f aca="true" t="shared" si="13" ref="AO34:AO46">H34*0</f>
        <v>0</v>
      </c>
      <c r="AP34" s="38">
        <f aca="true" t="shared" si="14" ref="AP34:AP46">H34*(1-0)</f>
        <v>0</v>
      </c>
      <c r="AQ34" s="72" t="s">
        <v>169</v>
      </c>
      <c r="AV34" s="38">
        <f aca="true" t="shared" si="15" ref="AV34:AV46">AW34+AX34</f>
        <v>0</v>
      </c>
      <c r="AW34" s="38">
        <f aca="true" t="shared" si="16" ref="AW34:AW46">G34*AO34</f>
        <v>0</v>
      </c>
      <c r="AX34" s="38">
        <f aca="true" t="shared" si="17" ref="AX34:AX46">G34*AP34</f>
        <v>0</v>
      </c>
      <c r="AY34" s="72" t="s">
        <v>2049</v>
      </c>
      <c r="AZ34" s="72" t="s">
        <v>2050</v>
      </c>
      <c r="BA34" s="50" t="s">
        <v>2006</v>
      </c>
      <c r="BC34" s="38">
        <f aca="true" t="shared" si="18" ref="BC34:BC46">AW34+AX34</f>
        <v>0</v>
      </c>
      <c r="BD34" s="38">
        <f aca="true" t="shared" si="19" ref="BD34:BD46">H34/(100-BE34)*100</f>
        <v>0</v>
      </c>
      <c r="BE34" s="38">
        <v>0</v>
      </c>
      <c r="BF34" s="38">
        <f aca="true" t="shared" si="20" ref="BF34:BF46">K34</f>
        <v>0</v>
      </c>
      <c r="BH34" s="38">
        <f aca="true" t="shared" si="21" ref="BH34:BH46">G34*AO34</f>
        <v>0</v>
      </c>
      <c r="BI34" s="38">
        <f aca="true" t="shared" si="22" ref="BI34:BI46">G34*AP34</f>
        <v>0</v>
      </c>
      <c r="BJ34" s="38">
        <f aca="true" t="shared" si="23" ref="BJ34:BJ46">G34*H34</f>
        <v>0</v>
      </c>
      <c r="BK34" s="38"/>
      <c r="BL34" s="38">
        <v>721</v>
      </c>
      <c r="BW34" s="38">
        <v>21</v>
      </c>
    </row>
    <row r="35" spans="1:75" ht="13.5" customHeight="1">
      <c r="A35" s="1" t="s">
        <v>178</v>
      </c>
      <c r="B35" s="2" t="s">
        <v>87</v>
      </c>
      <c r="C35" s="2" t="s">
        <v>2059</v>
      </c>
      <c r="D35" s="108" t="s">
        <v>2060</v>
      </c>
      <c r="E35" s="103"/>
      <c r="F35" s="2" t="s">
        <v>214</v>
      </c>
      <c r="G35" s="38">
        <f>'Stavební rozpočet'!G1157</f>
        <v>30</v>
      </c>
      <c r="H35" s="38">
        <f>'Stavební rozpočet'!H1157</f>
        <v>0</v>
      </c>
      <c r="I35" s="38">
        <f t="shared" si="0"/>
        <v>0</v>
      </c>
      <c r="J35" s="38">
        <f>'Stavební rozpočet'!J1157</f>
        <v>0</v>
      </c>
      <c r="K35" s="38">
        <f t="shared" si="1"/>
        <v>0</v>
      </c>
      <c r="L35" s="71" t="s">
        <v>207</v>
      </c>
      <c r="Z35" s="38">
        <f t="shared" si="2"/>
        <v>0</v>
      </c>
      <c r="AB35" s="38">
        <f t="shared" si="3"/>
        <v>0</v>
      </c>
      <c r="AC35" s="38">
        <f t="shared" si="4"/>
        <v>0</v>
      </c>
      <c r="AD35" s="38">
        <f t="shared" si="5"/>
        <v>0</v>
      </c>
      <c r="AE35" s="38">
        <f t="shared" si="6"/>
        <v>0</v>
      </c>
      <c r="AF35" s="38">
        <f t="shared" si="7"/>
        <v>0</v>
      </c>
      <c r="AG35" s="38">
        <f t="shared" si="8"/>
        <v>0</v>
      </c>
      <c r="AH35" s="38">
        <f t="shared" si="9"/>
        <v>0</v>
      </c>
      <c r="AI35" s="50" t="s">
        <v>87</v>
      </c>
      <c r="AJ35" s="38">
        <f t="shared" si="10"/>
        <v>0</v>
      </c>
      <c r="AK35" s="38">
        <f t="shared" si="11"/>
        <v>0</v>
      </c>
      <c r="AL35" s="38">
        <f t="shared" si="12"/>
        <v>0</v>
      </c>
      <c r="AN35" s="38">
        <v>21</v>
      </c>
      <c r="AO35" s="38">
        <f t="shared" si="13"/>
        <v>0</v>
      </c>
      <c r="AP35" s="38">
        <f t="shared" si="14"/>
        <v>0</v>
      </c>
      <c r="AQ35" s="72" t="s">
        <v>169</v>
      </c>
      <c r="AV35" s="38">
        <f t="shared" si="15"/>
        <v>0</v>
      </c>
      <c r="AW35" s="38">
        <f t="shared" si="16"/>
        <v>0</v>
      </c>
      <c r="AX35" s="38">
        <f t="shared" si="17"/>
        <v>0</v>
      </c>
      <c r="AY35" s="72" t="s">
        <v>2049</v>
      </c>
      <c r="AZ35" s="72" t="s">
        <v>2050</v>
      </c>
      <c r="BA35" s="50" t="s">
        <v>2006</v>
      </c>
      <c r="BC35" s="38">
        <f t="shared" si="18"/>
        <v>0</v>
      </c>
      <c r="BD35" s="38">
        <f t="shared" si="19"/>
        <v>0</v>
      </c>
      <c r="BE35" s="38">
        <v>0</v>
      </c>
      <c r="BF35" s="38">
        <f t="shared" si="20"/>
        <v>0</v>
      </c>
      <c r="BH35" s="38">
        <f t="shared" si="21"/>
        <v>0</v>
      </c>
      <c r="BI35" s="38">
        <f t="shared" si="22"/>
        <v>0</v>
      </c>
      <c r="BJ35" s="38">
        <f t="shared" si="23"/>
        <v>0</v>
      </c>
      <c r="BK35" s="38"/>
      <c r="BL35" s="38">
        <v>721</v>
      </c>
      <c r="BW35" s="38">
        <v>21</v>
      </c>
    </row>
    <row r="36" spans="1:75" ht="13.5" customHeight="1">
      <c r="A36" s="1" t="s">
        <v>241</v>
      </c>
      <c r="B36" s="2" t="s">
        <v>87</v>
      </c>
      <c r="C36" s="2" t="s">
        <v>2062</v>
      </c>
      <c r="D36" s="108" t="s">
        <v>2063</v>
      </c>
      <c r="E36" s="103"/>
      <c r="F36" s="2" t="s">
        <v>214</v>
      </c>
      <c r="G36" s="38">
        <f>'Stavební rozpočet'!G1158</f>
        <v>10</v>
      </c>
      <c r="H36" s="38">
        <f>'Stavební rozpočet'!H1158</f>
        <v>0</v>
      </c>
      <c r="I36" s="38">
        <f t="shared" si="0"/>
        <v>0</v>
      </c>
      <c r="J36" s="38">
        <f>'Stavební rozpočet'!J1158</f>
        <v>0</v>
      </c>
      <c r="K36" s="38">
        <f t="shared" si="1"/>
        <v>0</v>
      </c>
      <c r="L36" s="71" t="s">
        <v>207</v>
      </c>
      <c r="Z36" s="38">
        <f t="shared" si="2"/>
        <v>0</v>
      </c>
      <c r="AB36" s="38">
        <f t="shared" si="3"/>
        <v>0</v>
      </c>
      <c r="AC36" s="38">
        <f t="shared" si="4"/>
        <v>0</v>
      </c>
      <c r="AD36" s="38">
        <f t="shared" si="5"/>
        <v>0</v>
      </c>
      <c r="AE36" s="38">
        <f t="shared" si="6"/>
        <v>0</v>
      </c>
      <c r="AF36" s="38">
        <f t="shared" si="7"/>
        <v>0</v>
      </c>
      <c r="AG36" s="38">
        <f t="shared" si="8"/>
        <v>0</v>
      </c>
      <c r="AH36" s="38">
        <f t="shared" si="9"/>
        <v>0</v>
      </c>
      <c r="AI36" s="50" t="s">
        <v>87</v>
      </c>
      <c r="AJ36" s="38">
        <f t="shared" si="10"/>
        <v>0</v>
      </c>
      <c r="AK36" s="38">
        <f t="shared" si="11"/>
        <v>0</v>
      </c>
      <c r="AL36" s="38">
        <f t="shared" si="12"/>
        <v>0</v>
      </c>
      <c r="AN36" s="38">
        <v>21</v>
      </c>
      <c r="AO36" s="38">
        <f t="shared" si="13"/>
        <v>0</v>
      </c>
      <c r="AP36" s="38">
        <f t="shared" si="14"/>
        <v>0</v>
      </c>
      <c r="AQ36" s="72" t="s">
        <v>169</v>
      </c>
      <c r="AV36" s="38">
        <f t="shared" si="15"/>
        <v>0</v>
      </c>
      <c r="AW36" s="38">
        <f t="shared" si="16"/>
        <v>0</v>
      </c>
      <c r="AX36" s="38">
        <f t="shared" si="17"/>
        <v>0</v>
      </c>
      <c r="AY36" s="72" t="s">
        <v>2049</v>
      </c>
      <c r="AZ36" s="72" t="s">
        <v>2050</v>
      </c>
      <c r="BA36" s="50" t="s">
        <v>2006</v>
      </c>
      <c r="BC36" s="38">
        <f t="shared" si="18"/>
        <v>0</v>
      </c>
      <c r="BD36" s="38">
        <f t="shared" si="19"/>
        <v>0</v>
      </c>
      <c r="BE36" s="38">
        <v>0</v>
      </c>
      <c r="BF36" s="38">
        <f t="shared" si="20"/>
        <v>0</v>
      </c>
      <c r="BH36" s="38">
        <f t="shared" si="21"/>
        <v>0</v>
      </c>
      <c r="BI36" s="38">
        <f t="shared" si="22"/>
        <v>0</v>
      </c>
      <c r="BJ36" s="38">
        <f t="shared" si="23"/>
        <v>0</v>
      </c>
      <c r="BK36" s="38"/>
      <c r="BL36" s="38">
        <v>721</v>
      </c>
      <c r="BW36" s="38">
        <v>21</v>
      </c>
    </row>
    <row r="37" spans="1:75" ht="13.5" customHeight="1">
      <c r="A37" s="1" t="s">
        <v>246</v>
      </c>
      <c r="B37" s="2" t="s">
        <v>87</v>
      </c>
      <c r="C37" s="2" t="s">
        <v>2065</v>
      </c>
      <c r="D37" s="108" t="s">
        <v>2066</v>
      </c>
      <c r="E37" s="103"/>
      <c r="F37" s="2" t="s">
        <v>214</v>
      </c>
      <c r="G37" s="38">
        <f>'Stavební rozpočet'!G1159</f>
        <v>20</v>
      </c>
      <c r="H37" s="38">
        <f>'Stavební rozpočet'!H1159</f>
        <v>0</v>
      </c>
      <c r="I37" s="38">
        <f t="shared" si="0"/>
        <v>0</v>
      </c>
      <c r="J37" s="38">
        <f>'Stavební rozpočet'!J1159</f>
        <v>0</v>
      </c>
      <c r="K37" s="38">
        <f t="shared" si="1"/>
        <v>0</v>
      </c>
      <c r="L37" s="71" t="s">
        <v>207</v>
      </c>
      <c r="Z37" s="38">
        <f t="shared" si="2"/>
        <v>0</v>
      </c>
      <c r="AB37" s="38">
        <f t="shared" si="3"/>
        <v>0</v>
      </c>
      <c r="AC37" s="38">
        <f t="shared" si="4"/>
        <v>0</v>
      </c>
      <c r="AD37" s="38">
        <f t="shared" si="5"/>
        <v>0</v>
      </c>
      <c r="AE37" s="38">
        <f t="shared" si="6"/>
        <v>0</v>
      </c>
      <c r="AF37" s="38">
        <f t="shared" si="7"/>
        <v>0</v>
      </c>
      <c r="AG37" s="38">
        <f t="shared" si="8"/>
        <v>0</v>
      </c>
      <c r="AH37" s="38">
        <f t="shared" si="9"/>
        <v>0</v>
      </c>
      <c r="AI37" s="50" t="s">
        <v>87</v>
      </c>
      <c r="AJ37" s="38">
        <f t="shared" si="10"/>
        <v>0</v>
      </c>
      <c r="AK37" s="38">
        <f t="shared" si="11"/>
        <v>0</v>
      </c>
      <c r="AL37" s="38">
        <f t="shared" si="12"/>
        <v>0</v>
      </c>
      <c r="AN37" s="38">
        <v>21</v>
      </c>
      <c r="AO37" s="38">
        <f t="shared" si="13"/>
        <v>0</v>
      </c>
      <c r="AP37" s="38">
        <f t="shared" si="14"/>
        <v>0</v>
      </c>
      <c r="AQ37" s="72" t="s">
        <v>169</v>
      </c>
      <c r="AV37" s="38">
        <f t="shared" si="15"/>
        <v>0</v>
      </c>
      <c r="AW37" s="38">
        <f t="shared" si="16"/>
        <v>0</v>
      </c>
      <c r="AX37" s="38">
        <f t="shared" si="17"/>
        <v>0</v>
      </c>
      <c r="AY37" s="72" t="s">
        <v>2049</v>
      </c>
      <c r="AZ37" s="72" t="s">
        <v>2050</v>
      </c>
      <c r="BA37" s="50" t="s">
        <v>2006</v>
      </c>
      <c r="BC37" s="38">
        <f t="shared" si="18"/>
        <v>0</v>
      </c>
      <c r="BD37" s="38">
        <f t="shared" si="19"/>
        <v>0</v>
      </c>
      <c r="BE37" s="38">
        <v>0</v>
      </c>
      <c r="BF37" s="38">
        <f t="shared" si="20"/>
        <v>0</v>
      </c>
      <c r="BH37" s="38">
        <f t="shared" si="21"/>
        <v>0</v>
      </c>
      <c r="BI37" s="38">
        <f t="shared" si="22"/>
        <v>0</v>
      </c>
      <c r="BJ37" s="38">
        <f t="shared" si="23"/>
        <v>0</v>
      </c>
      <c r="BK37" s="38"/>
      <c r="BL37" s="38">
        <v>721</v>
      </c>
      <c r="BW37" s="38">
        <v>21</v>
      </c>
    </row>
    <row r="38" spans="1:75" ht="13.5" customHeight="1">
      <c r="A38" s="1" t="s">
        <v>255</v>
      </c>
      <c r="B38" s="2" t="s">
        <v>87</v>
      </c>
      <c r="C38" s="2" t="s">
        <v>2068</v>
      </c>
      <c r="D38" s="108" t="s">
        <v>2069</v>
      </c>
      <c r="E38" s="103"/>
      <c r="F38" s="2" t="s">
        <v>199</v>
      </c>
      <c r="G38" s="38">
        <f>'Stavební rozpočet'!G1160</f>
        <v>15</v>
      </c>
      <c r="H38" s="38">
        <f>'Stavební rozpočet'!H1160</f>
        <v>0</v>
      </c>
      <c r="I38" s="38">
        <f t="shared" si="0"/>
        <v>0</v>
      </c>
      <c r="J38" s="38">
        <f>'Stavební rozpočet'!J1160</f>
        <v>0</v>
      </c>
      <c r="K38" s="38">
        <f t="shared" si="1"/>
        <v>0</v>
      </c>
      <c r="L38" s="71" t="s">
        <v>207</v>
      </c>
      <c r="Z38" s="38">
        <f t="shared" si="2"/>
        <v>0</v>
      </c>
      <c r="AB38" s="38">
        <f t="shared" si="3"/>
        <v>0</v>
      </c>
      <c r="AC38" s="38">
        <f t="shared" si="4"/>
        <v>0</v>
      </c>
      <c r="AD38" s="38">
        <f t="shared" si="5"/>
        <v>0</v>
      </c>
      <c r="AE38" s="38">
        <f t="shared" si="6"/>
        <v>0</v>
      </c>
      <c r="AF38" s="38">
        <f t="shared" si="7"/>
        <v>0</v>
      </c>
      <c r="AG38" s="38">
        <f t="shared" si="8"/>
        <v>0</v>
      </c>
      <c r="AH38" s="38">
        <f t="shared" si="9"/>
        <v>0</v>
      </c>
      <c r="AI38" s="50" t="s">
        <v>87</v>
      </c>
      <c r="AJ38" s="38">
        <f t="shared" si="10"/>
        <v>0</v>
      </c>
      <c r="AK38" s="38">
        <f t="shared" si="11"/>
        <v>0</v>
      </c>
      <c r="AL38" s="38">
        <f t="shared" si="12"/>
        <v>0</v>
      </c>
      <c r="AN38" s="38">
        <v>21</v>
      </c>
      <c r="AO38" s="38">
        <f t="shared" si="13"/>
        <v>0</v>
      </c>
      <c r="AP38" s="38">
        <f t="shared" si="14"/>
        <v>0</v>
      </c>
      <c r="AQ38" s="72" t="s">
        <v>169</v>
      </c>
      <c r="AV38" s="38">
        <f t="shared" si="15"/>
        <v>0</v>
      </c>
      <c r="AW38" s="38">
        <f t="shared" si="16"/>
        <v>0</v>
      </c>
      <c r="AX38" s="38">
        <f t="shared" si="17"/>
        <v>0</v>
      </c>
      <c r="AY38" s="72" t="s">
        <v>2049</v>
      </c>
      <c r="AZ38" s="72" t="s">
        <v>2050</v>
      </c>
      <c r="BA38" s="50" t="s">
        <v>2006</v>
      </c>
      <c r="BC38" s="38">
        <f t="shared" si="18"/>
        <v>0</v>
      </c>
      <c r="BD38" s="38">
        <f t="shared" si="19"/>
        <v>0</v>
      </c>
      <c r="BE38" s="38">
        <v>0</v>
      </c>
      <c r="BF38" s="38">
        <f t="shared" si="20"/>
        <v>0</v>
      </c>
      <c r="BH38" s="38">
        <f t="shared" si="21"/>
        <v>0</v>
      </c>
      <c r="BI38" s="38">
        <f t="shared" si="22"/>
        <v>0</v>
      </c>
      <c r="BJ38" s="38">
        <f t="shared" si="23"/>
        <v>0</v>
      </c>
      <c r="BK38" s="38"/>
      <c r="BL38" s="38">
        <v>721</v>
      </c>
      <c r="BW38" s="38">
        <v>21</v>
      </c>
    </row>
    <row r="39" spans="1:75" ht="13.5" customHeight="1">
      <c r="A39" s="1" t="s">
        <v>260</v>
      </c>
      <c r="B39" s="2" t="s">
        <v>87</v>
      </c>
      <c r="C39" s="2" t="s">
        <v>2071</v>
      </c>
      <c r="D39" s="108" t="s">
        <v>2072</v>
      </c>
      <c r="E39" s="103"/>
      <c r="F39" s="2" t="s">
        <v>199</v>
      </c>
      <c r="G39" s="38">
        <f>'Stavební rozpočet'!G1161</f>
        <v>3</v>
      </c>
      <c r="H39" s="38">
        <f>'Stavební rozpočet'!H1161</f>
        <v>0</v>
      </c>
      <c r="I39" s="38">
        <f t="shared" si="0"/>
        <v>0</v>
      </c>
      <c r="J39" s="38">
        <f>'Stavební rozpočet'!J1161</f>
        <v>0</v>
      </c>
      <c r="K39" s="38">
        <f t="shared" si="1"/>
        <v>0</v>
      </c>
      <c r="L39" s="71" t="s">
        <v>207</v>
      </c>
      <c r="Z39" s="38">
        <f t="shared" si="2"/>
        <v>0</v>
      </c>
      <c r="AB39" s="38">
        <f t="shared" si="3"/>
        <v>0</v>
      </c>
      <c r="AC39" s="38">
        <f t="shared" si="4"/>
        <v>0</v>
      </c>
      <c r="AD39" s="38">
        <f t="shared" si="5"/>
        <v>0</v>
      </c>
      <c r="AE39" s="38">
        <f t="shared" si="6"/>
        <v>0</v>
      </c>
      <c r="AF39" s="38">
        <f t="shared" si="7"/>
        <v>0</v>
      </c>
      <c r="AG39" s="38">
        <f t="shared" si="8"/>
        <v>0</v>
      </c>
      <c r="AH39" s="38">
        <f t="shared" si="9"/>
        <v>0</v>
      </c>
      <c r="AI39" s="50" t="s">
        <v>87</v>
      </c>
      <c r="AJ39" s="38">
        <f t="shared" si="10"/>
        <v>0</v>
      </c>
      <c r="AK39" s="38">
        <f t="shared" si="11"/>
        <v>0</v>
      </c>
      <c r="AL39" s="38">
        <f t="shared" si="12"/>
        <v>0</v>
      </c>
      <c r="AN39" s="38">
        <v>21</v>
      </c>
      <c r="AO39" s="38">
        <f t="shared" si="13"/>
        <v>0</v>
      </c>
      <c r="AP39" s="38">
        <f t="shared" si="14"/>
        <v>0</v>
      </c>
      <c r="AQ39" s="72" t="s">
        <v>169</v>
      </c>
      <c r="AV39" s="38">
        <f t="shared" si="15"/>
        <v>0</v>
      </c>
      <c r="AW39" s="38">
        <f t="shared" si="16"/>
        <v>0</v>
      </c>
      <c r="AX39" s="38">
        <f t="shared" si="17"/>
        <v>0</v>
      </c>
      <c r="AY39" s="72" t="s">
        <v>2049</v>
      </c>
      <c r="AZ39" s="72" t="s">
        <v>2050</v>
      </c>
      <c r="BA39" s="50" t="s">
        <v>2006</v>
      </c>
      <c r="BC39" s="38">
        <f t="shared" si="18"/>
        <v>0</v>
      </c>
      <c r="BD39" s="38">
        <f t="shared" si="19"/>
        <v>0</v>
      </c>
      <c r="BE39" s="38">
        <v>0</v>
      </c>
      <c r="BF39" s="38">
        <f t="shared" si="20"/>
        <v>0</v>
      </c>
      <c r="BH39" s="38">
        <f t="shared" si="21"/>
        <v>0</v>
      </c>
      <c r="BI39" s="38">
        <f t="shared" si="22"/>
        <v>0</v>
      </c>
      <c r="BJ39" s="38">
        <f t="shared" si="23"/>
        <v>0</v>
      </c>
      <c r="BK39" s="38"/>
      <c r="BL39" s="38">
        <v>721</v>
      </c>
      <c r="BW39" s="38">
        <v>21</v>
      </c>
    </row>
    <row r="40" spans="1:75" ht="13.5" customHeight="1">
      <c r="A40" s="1" t="s">
        <v>267</v>
      </c>
      <c r="B40" s="2" t="s">
        <v>87</v>
      </c>
      <c r="C40" s="2" t="s">
        <v>2074</v>
      </c>
      <c r="D40" s="108" t="s">
        <v>2075</v>
      </c>
      <c r="E40" s="103"/>
      <c r="F40" s="2" t="s">
        <v>199</v>
      </c>
      <c r="G40" s="38">
        <f>'Stavební rozpočet'!G1162</f>
        <v>7</v>
      </c>
      <c r="H40" s="38">
        <f>'Stavební rozpočet'!H1162</f>
        <v>0</v>
      </c>
      <c r="I40" s="38">
        <f t="shared" si="0"/>
        <v>0</v>
      </c>
      <c r="J40" s="38">
        <f>'Stavební rozpočet'!J1162</f>
        <v>0</v>
      </c>
      <c r="K40" s="38">
        <f t="shared" si="1"/>
        <v>0</v>
      </c>
      <c r="L40" s="71" t="s">
        <v>207</v>
      </c>
      <c r="Z40" s="38">
        <f t="shared" si="2"/>
        <v>0</v>
      </c>
      <c r="AB40" s="38">
        <f t="shared" si="3"/>
        <v>0</v>
      </c>
      <c r="AC40" s="38">
        <f t="shared" si="4"/>
        <v>0</v>
      </c>
      <c r="AD40" s="38">
        <f t="shared" si="5"/>
        <v>0</v>
      </c>
      <c r="AE40" s="38">
        <f t="shared" si="6"/>
        <v>0</v>
      </c>
      <c r="AF40" s="38">
        <f t="shared" si="7"/>
        <v>0</v>
      </c>
      <c r="AG40" s="38">
        <f t="shared" si="8"/>
        <v>0</v>
      </c>
      <c r="AH40" s="38">
        <f t="shared" si="9"/>
        <v>0</v>
      </c>
      <c r="AI40" s="50" t="s">
        <v>87</v>
      </c>
      <c r="AJ40" s="38">
        <f t="shared" si="10"/>
        <v>0</v>
      </c>
      <c r="AK40" s="38">
        <f t="shared" si="11"/>
        <v>0</v>
      </c>
      <c r="AL40" s="38">
        <f t="shared" si="12"/>
        <v>0</v>
      </c>
      <c r="AN40" s="38">
        <v>21</v>
      </c>
      <c r="AO40" s="38">
        <f t="shared" si="13"/>
        <v>0</v>
      </c>
      <c r="AP40" s="38">
        <f t="shared" si="14"/>
        <v>0</v>
      </c>
      <c r="AQ40" s="72" t="s">
        <v>169</v>
      </c>
      <c r="AV40" s="38">
        <f t="shared" si="15"/>
        <v>0</v>
      </c>
      <c r="AW40" s="38">
        <f t="shared" si="16"/>
        <v>0</v>
      </c>
      <c r="AX40" s="38">
        <f t="shared" si="17"/>
        <v>0</v>
      </c>
      <c r="AY40" s="72" t="s">
        <v>2049</v>
      </c>
      <c r="AZ40" s="72" t="s">
        <v>2050</v>
      </c>
      <c r="BA40" s="50" t="s">
        <v>2006</v>
      </c>
      <c r="BC40" s="38">
        <f t="shared" si="18"/>
        <v>0</v>
      </c>
      <c r="BD40" s="38">
        <f t="shared" si="19"/>
        <v>0</v>
      </c>
      <c r="BE40" s="38">
        <v>0</v>
      </c>
      <c r="BF40" s="38">
        <f t="shared" si="20"/>
        <v>0</v>
      </c>
      <c r="BH40" s="38">
        <f t="shared" si="21"/>
        <v>0</v>
      </c>
      <c r="BI40" s="38">
        <f t="shared" si="22"/>
        <v>0</v>
      </c>
      <c r="BJ40" s="38">
        <f t="shared" si="23"/>
        <v>0</v>
      </c>
      <c r="BK40" s="38"/>
      <c r="BL40" s="38">
        <v>721</v>
      </c>
      <c r="BW40" s="38">
        <v>21</v>
      </c>
    </row>
    <row r="41" spans="1:75" ht="13.5" customHeight="1">
      <c r="A41" s="1" t="s">
        <v>272</v>
      </c>
      <c r="B41" s="2" t="s">
        <v>87</v>
      </c>
      <c r="C41" s="2" t="s">
        <v>2077</v>
      </c>
      <c r="D41" s="108" t="s">
        <v>2078</v>
      </c>
      <c r="E41" s="103"/>
      <c r="F41" s="2" t="s">
        <v>199</v>
      </c>
      <c r="G41" s="38">
        <f>'Stavební rozpočet'!G1163</f>
        <v>2</v>
      </c>
      <c r="H41" s="38">
        <f>'Stavební rozpočet'!H1163</f>
        <v>0</v>
      </c>
      <c r="I41" s="38">
        <f t="shared" si="0"/>
        <v>0</v>
      </c>
      <c r="J41" s="38">
        <f>'Stavební rozpočet'!J1163</f>
        <v>0</v>
      </c>
      <c r="K41" s="38">
        <f t="shared" si="1"/>
        <v>0</v>
      </c>
      <c r="L41" s="71" t="s">
        <v>207</v>
      </c>
      <c r="Z41" s="38">
        <f t="shared" si="2"/>
        <v>0</v>
      </c>
      <c r="AB41" s="38">
        <f t="shared" si="3"/>
        <v>0</v>
      </c>
      <c r="AC41" s="38">
        <f t="shared" si="4"/>
        <v>0</v>
      </c>
      <c r="AD41" s="38">
        <f t="shared" si="5"/>
        <v>0</v>
      </c>
      <c r="AE41" s="38">
        <f t="shared" si="6"/>
        <v>0</v>
      </c>
      <c r="AF41" s="38">
        <f t="shared" si="7"/>
        <v>0</v>
      </c>
      <c r="AG41" s="38">
        <f t="shared" si="8"/>
        <v>0</v>
      </c>
      <c r="AH41" s="38">
        <f t="shared" si="9"/>
        <v>0</v>
      </c>
      <c r="AI41" s="50" t="s">
        <v>87</v>
      </c>
      <c r="AJ41" s="38">
        <f t="shared" si="10"/>
        <v>0</v>
      </c>
      <c r="AK41" s="38">
        <f t="shared" si="11"/>
        <v>0</v>
      </c>
      <c r="AL41" s="38">
        <f t="shared" si="12"/>
        <v>0</v>
      </c>
      <c r="AN41" s="38">
        <v>21</v>
      </c>
      <c r="AO41" s="38">
        <f t="shared" si="13"/>
        <v>0</v>
      </c>
      <c r="AP41" s="38">
        <f t="shared" si="14"/>
        <v>0</v>
      </c>
      <c r="AQ41" s="72" t="s">
        <v>169</v>
      </c>
      <c r="AV41" s="38">
        <f t="shared" si="15"/>
        <v>0</v>
      </c>
      <c r="AW41" s="38">
        <f t="shared" si="16"/>
        <v>0</v>
      </c>
      <c r="AX41" s="38">
        <f t="shared" si="17"/>
        <v>0</v>
      </c>
      <c r="AY41" s="72" t="s">
        <v>2049</v>
      </c>
      <c r="AZ41" s="72" t="s">
        <v>2050</v>
      </c>
      <c r="BA41" s="50" t="s">
        <v>2006</v>
      </c>
      <c r="BC41" s="38">
        <f t="shared" si="18"/>
        <v>0</v>
      </c>
      <c r="BD41" s="38">
        <f t="shared" si="19"/>
        <v>0</v>
      </c>
      <c r="BE41" s="38">
        <v>0</v>
      </c>
      <c r="BF41" s="38">
        <f t="shared" si="20"/>
        <v>0</v>
      </c>
      <c r="BH41" s="38">
        <f t="shared" si="21"/>
        <v>0</v>
      </c>
      <c r="BI41" s="38">
        <f t="shared" si="22"/>
        <v>0</v>
      </c>
      <c r="BJ41" s="38">
        <f t="shared" si="23"/>
        <v>0</v>
      </c>
      <c r="BK41" s="38"/>
      <c r="BL41" s="38">
        <v>721</v>
      </c>
      <c r="BW41" s="38">
        <v>21</v>
      </c>
    </row>
    <row r="42" spans="1:75" ht="13.5" customHeight="1">
      <c r="A42" s="1" t="s">
        <v>276</v>
      </c>
      <c r="B42" s="2" t="s">
        <v>87</v>
      </c>
      <c r="C42" s="2" t="s">
        <v>2080</v>
      </c>
      <c r="D42" s="108" t="s">
        <v>2081</v>
      </c>
      <c r="E42" s="103"/>
      <c r="F42" s="2" t="s">
        <v>199</v>
      </c>
      <c r="G42" s="38">
        <f>'Stavební rozpočet'!G1164</f>
        <v>3</v>
      </c>
      <c r="H42" s="38">
        <f>'Stavební rozpočet'!H1164</f>
        <v>0</v>
      </c>
      <c r="I42" s="38">
        <f t="shared" si="0"/>
        <v>0</v>
      </c>
      <c r="J42" s="38">
        <f>'Stavební rozpočet'!J1164</f>
        <v>0</v>
      </c>
      <c r="K42" s="38">
        <f t="shared" si="1"/>
        <v>0</v>
      </c>
      <c r="L42" s="71" t="s">
        <v>207</v>
      </c>
      <c r="Z42" s="38">
        <f t="shared" si="2"/>
        <v>0</v>
      </c>
      <c r="AB42" s="38">
        <f t="shared" si="3"/>
        <v>0</v>
      </c>
      <c r="AC42" s="38">
        <f t="shared" si="4"/>
        <v>0</v>
      </c>
      <c r="AD42" s="38">
        <f t="shared" si="5"/>
        <v>0</v>
      </c>
      <c r="AE42" s="38">
        <f t="shared" si="6"/>
        <v>0</v>
      </c>
      <c r="AF42" s="38">
        <f t="shared" si="7"/>
        <v>0</v>
      </c>
      <c r="AG42" s="38">
        <f t="shared" si="8"/>
        <v>0</v>
      </c>
      <c r="AH42" s="38">
        <f t="shared" si="9"/>
        <v>0</v>
      </c>
      <c r="AI42" s="50" t="s">
        <v>87</v>
      </c>
      <c r="AJ42" s="38">
        <f t="shared" si="10"/>
        <v>0</v>
      </c>
      <c r="AK42" s="38">
        <f t="shared" si="11"/>
        <v>0</v>
      </c>
      <c r="AL42" s="38">
        <f t="shared" si="12"/>
        <v>0</v>
      </c>
      <c r="AN42" s="38">
        <v>21</v>
      </c>
      <c r="AO42" s="38">
        <f t="shared" si="13"/>
        <v>0</v>
      </c>
      <c r="AP42" s="38">
        <f t="shared" si="14"/>
        <v>0</v>
      </c>
      <c r="AQ42" s="72" t="s">
        <v>169</v>
      </c>
      <c r="AV42" s="38">
        <f t="shared" si="15"/>
        <v>0</v>
      </c>
      <c r="AW42" s="38">
        <f t="shared" si="16"/>
        <v>0</v>
      </c>
      <c r="AX42" s="38">
        <f t="shared" si="17"/>
        <v>0</v>
      </c>
      <c r="AY42" s="72" t="s">
        <v>2049</v>
      </c>
      <c r="AZ42" s="72" t="s">
        <v>2050</v>
      </c>
      <c r="BA42" s="50" t="s">
        <v>2006</v>
      </c>
      <c r="BC42" s="38">
        <f t="shared" si="18"/>
        <v>0</v>
      </c>
      <c r="BD42" s="38">
        <f t="shared" si="19"/>
        <v>0</v>
      </c>
      <c r="BE42" s="38">
        <v>0</v>
      </c>
      <c r="BF42" s="38">
        <f t="shared" si="20"/>
        <v>0</v>
      </c>
      <c r="BH42" s="38">
        <f t="shared" si="21"/>
        <v>0</v>
      </c>
      <c r="BI42" s="38">
        <f t="shared" si="22"/>
        <v>0</v>
      </c>
      <c r="BJ42" s="38">
        <f t="shared" si="23"/>
        <v>0</v>
      </c>
      <c r="BK42" s="38"/>
      <c r="BL42" s="38">
        <v>721</v>
      </c>
      <c r="BW42" s="38">
        <v>21</v>
      </c>
    </row>
    <row r="43" spans="1:75" ht="13.5" customHeight="1">
      <c r="A43" s="1" t="s">
        <v>280</v>
      </c>
      <c r="B43" s="2" t="s">
        <v>87</v>
      </c>
      <c r="C43" s="2" t="s">
        <v>2083</v>
      </c>
      <c r="D43" s="108" t="s">
        <v>2084</v>
      </c>
      <c r="E43" s="103"/>
      <c r="F43" s="2" t="s">
        <v>199</v>
      </c>
      <c r="G43" s="38">
        <f>'Stavební rozpočet'!G1165</f>
        <v>3</v>
      </c>
      <c r="H43" s="38">
        <f>'Stavební rozpočet'!H1165</f>
        <v>0</v>
      </c>
      <c r="I43" s="38">
        <f t="shared" si="0"/>
        <v>0</v>
      </c>
      <c r="J43" s="38">
        <f>'Stavební rozpočet'!J1165</f>
        <v>0</v>
      </c>
      <c r="K43" s="38">
        <f t="shared" si="1"/>
        <v>0</v>
      </c>
      <c r="L43" s="71" t="s">
        <v>207</v>
      </c>
      <c r="Z43" s="38">
        <f t="shared" si="2"/>
        <v>0</v>
      </c>
      <c r="AB43" s="38">
        <f t="shared" si="3"/>
        <v>0</v>
      </c>
      <c r="AC43" s="38">
        <f t="shared" si="4"/>
        <v>0</v>
      </c>
      <c r="AD43" s="38">
        <f t="shared" si="5"/>
        <v>0</v>
      </c>
      <c r="AE43" s="38">
        <f t="shared" si="6"/>
        <v>0</v>
      </c>
      <c r="AF43" s="38">
        <f t="shared" si="7"/>
        <v>0</v>
      </c>
      <c r="AG43" s="38">
        <f t="shared" si="8"/>
        <v>0</v>
      </c>
      <c r="AH43" s="38">
        <f t="shared" si="9"/>
        <v>0</v>
      </c>
      <c r="AI43" s="50" t="s">
        <v>87</v>
      </c>
      <c r="AJ43" s="38">
        <f t="shared" si="10"/>
        <v>0</v>
      </c>
      <c r="AK43" s="38">
        <f t="shared" si="11"/>
        <v>0</v>
      </c>
      <c r="AL43" s="38">
        <f t="shared" si="12"/>
        <v>0</v>
      </c>
      <c r="AN43" s="38">
        <v>21</v>
      </c>
      <c r="AO43" s="38">
        <f t="shared" si="13"/>
        <v>0</v>
      </c>
      <c r="AP43" s="38">
        <f t="shared" si="14"/>
        <v>0</v>
      </c>
      <c r="AQ43" s="72" t="s">
        <v>169</v>
      </c>
      <c r="AV43" s="38">
        <f t="shared" si="15"/>
        <v>0</v>
      </c>
      <c r="AW43" s="38">
        <f t="shared" si="16"/>
        <v>0</v>
      </c>
      <c r="AX43" s="38">
        <f t="shared" si="17"/>
        <v>0</v>
      </c>
      <c r="AY43" s="72" t="s">
        <v>2049</v>
      </c>
      <c r="AZ43" s="72" t="s">
        <v>2050</v>
      </c>
      <c r="BA43" s="50" t="s">
        <v>2006</v>
      </c>
      <c r="BC43" s="38">
        <f t="shared" si="18"/>
        <v>0</v>
      </c>
      <c r="BD43" s="38">
        <f t="shared" si="19"/>
        <v>0</v>
      </c>
      <c r="BE43" s="38">
        <v>0</v>
      </c>
      <c r="BF43" s="38">
        <f t="shared" si="20"/>
        <v>0</v>
      </c>
      <c r="BH43" s="38">
        <f t="shared" si="21"/>
        <v>0</v>
      </c>
      <c r="BI43" s="38">
        <f t="shared" si="22"/>
        <v>0</v>
      </c>
      <c r="BJ43" s="38">
        <f t="shared" si="23"/>
        <v>0</v>
      </c>
      <c r="BK43" s="38"/>
      <c r="BL43" s="38">
        <v>721</v>
      </c>
      <c r="BW43" s="38">
        <v>21</v>
      </c>
    </row>
    <row r="44" spans="1:75" ht="13.5" customHeight="1">
      <c r="A44" s="1" t="s">
        <v>285</v>
      </c>
      <c r="B44" s="2" t="s">
        <v>87</v>
      </c>
      <c r="C44" s="2" t="s">
        <v>2086</v>
      </c>
      <c r="D44" s="108" t="s">
        <v>2087</v>
      </c>
      <c r="E44" s="103"/>
      <c r="F44" s="2" t="s">
        <v>214</v>
      </c>
      <c r="G44" s="38">
        <f>'Stavební rozpočet'!G1166</f>
        <v>109</v>
      </c>
      <c r="H44" s="38">
        <f>'Stavební rozpočet'!H1166</f>
        <v>0</v>
      </c>
      <c r="I44" s="38">
        <f t="shared" si="0"/>
        <v>0</v>
      </c>
      <c r="J44" s="38">
        <f>'Stavební rozpočet'!J1166</f>
        <v>0</v>
      </c>
      <c r="K44" s="38">
        <f t="shared" si="1"/>
        <v>0</v>
      </c>
      <c r="L44" s="71" t="s">
        <v>207</v>
      </c>
      <c r="Z44" s="38">
        <f t="shared" si="2"/>
        <v>0</v>
      </c>
      <c r="AB44" s="38">
        <f t="shared" si="3"/>
        <v>0</v>
      </c>
      <c r="AC44" s="38">
        <f t="shared" si="4"/>
        <v>0</v>
      </c>
      <c r="AD44" s="38">
        <f t="shared" si="5"/>
        <v>0</v>
      </c>
      <c r="AE44" s="38">
        <f t="shared" si="6"/>
        <v>0</v>
      </c>
      <c r="AF44" s="38">
        <f t="shared" si="7"/>
        <v>0</v>
      </c>
      <c r="AG44" s="38">
        <f t="shared" si="8"/>
        <v>0</v>
      </c>
      <c r="AH44" s="38">
        <f t="shared" si="9"/>
        <v>0</v>
      </c>
      <c r="AI44" s="50" t="s">
        <v>87</v>
      </c>
      <c r="AJ44" s="38">
        <f t="shared" si="10"/>
        <v>0</v>
      </c>
      <c r="AK44" s="38">
        <f t="shared" si="11"/>
        <v>0</v>
      </c>
      <c r="AL44" s="38">
        <f t="shared" si="12"/>
        <v>0</v>
      </c>
      <c r="AN44" s="38">
        <v>21</v>
      </c>
      <c r="AO44" s="38">
        <f t="shared" si="13"/>
        <v>0</v>
      </c>
      <c r="AP44" s="38">
        <f t="shared" si="14"/>
        <v>0</v>
      </c>
      <c r="AQ44" s="72" t="s">
        <v>169</v>
      </c>
      <c r="AV44" s="38">
        <f t="shared" si="15"/>
        <v>0</v>
      </c>
      <c r="AW44" s="38">
        <f t="shared" si="16"/>
        <v>0</v>
      </c>
      <c r="AX44" s="38">
        <f t="shared" si="17"/>
        <v>0</v>
      </c>
      <c r="AY44" s="72" t="s">
        <v>2049</v>
      </c>
      <c r="AZ44" s="72" t="s">
        <v>2050</v>
      </c>
      <c r="BA44" s="50" t="s">
        <v>2006</v>
      </c>
      <c r="BC44" s="38">
        <f t="shared" si="18"/>
        <v>0</v>
      </c>
      <c r="BD44" s="38">
        <f t="shared" si="19"/>
        <v>0</v>
      </c>
      <c r="BE44" s="38">
        <v>0</v>
      </c>
      <c r="BF44" s="38">
        <f t="shared" si="20"/>
        <v>0</v>
      </c>
      <c r="BH44" s="38">
        <f t="shared" si="21"/>
        <v>0</v>
      </c>
      <c r="BI44" s="38">
        <f t="shared" si="22"/>
        <v>0</v>
      </c>
      <c r="BJ44" s="38">
        <f t="shared" si="23"/>
        <v>0</v>
      </c>
      <c r="BK44" s="38"/>
      <c r="BL44" s="38">
        <v>721</v>
      </c>
      <c r="BW44" s="38">
        <v>21</v>
      </c>
    </row>
    <row r="45" spans="1:75" ht="13.5" customHeight="1">
      <c r="A45" s="1" t="s">
        <v>291</v>
      </c>
      <c r="B45" s="2" t="s">
        <v>87</v>
      </c>
      <c r="C45" s="2" t="s">
        <v>2089</v>
      </c>
      <c r="D45" s="108" t="s">
        <v>2090</v>
      </c>
      <c r="E45" s="103"/>
      <c r="F45" s="2" t="s">
        <v>214</v>
      </c>
      <c r="G45" s="38">
        <f>'Stavební rozpočet'!G1167</f>
        <v>20</v>
      </c>
      <c r="H45" s="38">
        <f>'Stavební rozpočet'!H1167</f>
        <v>0</v>
      </c>
      <c r="I45" s="38">
        <f t="shared" si="0"/>
        <v>0</v>
      </c>
      <c r="J45" s="38">
        <f>'Stavební rozpočet'!J1167</f>
        <v>0</v>
      </c>
      <c r="K45" s="38">
        <f t="shared" si="1"/>
        <v>0</v>
      </c>
      <c r="L45" s="71" t="s">
        <v>207</v>
      </c>
      <c r="Z45" s="38">
        <f t="shared" si="2"/>
        <v>0</v>
      </c>
      <c r="AB45" s="38">
        <f t="shared" si="3"/>
        <v>0</v>
      </c>
      <c r="AC45" s="38">
        <f t="shared" si="4"/>
        <v>0</v>
      </c>
      <c r="AD45" s="38">
        <f t="shared" si="5"/>
        <v>0</v>
      </c>
      <c r="AE45" s="38">
        <f t="shared" si="6"/>
        <v>0</v>
      </c>
      <c r="AF45" s="38">
        <f t="shared" si="7"/>
        <v>0</v>
      </c>
      <c r="AG45" s="38">
        <f t="shared" si="8"/>
        <v>0</v>
      </c>
      <c r="AH45" s="38">
        <f t="shared" si="9"/>
        <v>0</v>
      </c>
      <c r="AI45" s="50" t="s">
        <v>87</v>
      </c>
      <c r="AJ45" s="38">
        <f t="shared" si="10"/>
        <v>0</v>
      </c>
      <c r="AK45" s="38">
        <f t="shared" si="11"/>
        <v>0</v>
      </c>
      <c r="AL45" s="38">
        <f t="shared" si="12"/>
        <v>0</v>
      </c>
      <c r="AN45" s="38">
        <v>21</v>
      </c>
      <c r="AO45" s="38">
        <f t="shared" si="13"/>
        <v>0</v>
      </c>
      <c r="AP45" s="38">
        <f t="shared" si="14"/>
        <v>0</v>
      </c>
      <c r="AQ45" s="72" t="s">
        <v>169</v>
      </c>
      <c r="AV45" s="38">
        <f t="shared" si="15"/>
        <v>0</v>
      </c>
      <c r="AW45" s="38">
        <f t="shared" si="16"/>
        <v>0</v>
      </c>
      <c r="AX45" s="38">
        <f t="shared" si="17"/>
        <v>0</v>
      </c>
      <c r="AY45" s="72" t="s">
        <v>2049</v>
      </c>
      <c r="AZ45" s="72" t="s">
        <v>2050</v>
      </c>
      <c r="BA45" s="50" t="s">
        <v>2006</v>
      </c>
      <c r="BC45" s="38">
        <f t="shared" si="18"/>
        <v>0</v>
      </c>
      <c r="BD45" s="38">
        <f t="shared" si="19"/>
        <v>0</v>
      </c>
      <c r="BE45" s="38">
        <v>0</v>
      </c>
      <c r="BF45" s="38">
        <f t="shared" si="20"/>
        <v>0</v>
      </c>
      <c r="BH45" s="38">
        <f t="shared" si="21"/>
        <v>0</v>
      </c>
      <c r="BI45" s="38">
        <f t="shared" si="22"/>
        <v>0</v>
      </c>
      <c r="BJ45" s="38">
        <f t="shared" si="23"/>
        <v>0</v>
      </c>
      <c r="BK45" s="38"/>
      <c r="BL45" s="38">
        <v>721</v>
      </c>
      <c r="BW45" s="38">
        <v>21</v>
      </c>
    </row>
    <row r="46" spans="1:75" ht="13.5" customHeight="1">
      <c r="A46" s="1" t="s">
        <v>296</v>
      </c>
      <c r="B46" s="2" t="s">
        <v>87</v>
      </c>
      <c r="C46" s="2" t="s">
        <v>2092</v>
      </c>
      <c r="D46" s="108" t="s">
        <v>2093</v>
      </c>
      <c r="E46" s="103"/>
      <c r="F46" s="2" t="s">
        <v>189</v>
      </c>
      <c r="G46" s="38">
        <f>'Stavební rozpočet'!G1168</f>
        <v>0.21</v>
      </c>
      <c r="H46" s="38">
        <f>'Stavební rozpočet'!H1168</f>
        <v>0</v>
      </c>
      <c r="I46" s="38">
        <f t="shared" si="0"/>
        <v>0</v>
      </c>
      <c r="J46" s="38">
        <f>'Stavební rozpočet'!J1168</f>
        <v>0</v>
      </c>
      <c r="K46" s="38">
        <f t="shared" si="1"/>
        <v>0</v>
      </c>
      <c r="L46" s="71" t="s">
        <v>207</v>
      </c>
      <c r="Z46" s="38">
        <f t="shared" si="2"/>
        <v>0</v>
      </c>
      <c r="AB46" s="38">
        <f t="shared" si="3"/>
        <v>0</v>
      </c>
      <c r="AC46" s="38">
        <f t="shared" si="4"/>
        <v>0</v>
      </c>
      <c r="AD46" s="38">
        <f t="shared" si="5"/>
        <v>0</v>
      </c>
      <c r="AE46" s="38">
        <f t="shared" si="6"/>
        <v>0</v>
      </c>
      <c r="AF46" s="38">
        <f t="shared" si="7"/>
        <v>0</v>
      </c>
      <c r="AG46" s="38">
        <f t="shared" si="8"/>
        <v>0</v>
      </c>
      <c r="AH46" s="38">
        <f t="shared" si="9"/>
        <v>0</v>
      </c>
      <c r="AI46" s="50" t="s">
        <v>87</v>
      </c>
      <c r="AJ46" s="38">
        <f t="shared" si="10"/>
        <v>0</v>
      </c>
      <c r="AK46" s="38">
        <f t="shared" si="11"/>
        <v>0</v>
      </c>
      <c r="AL46" s="38">
        <f t="shared" si="12"/>
        <v>0</v>
      </c>
      <c r="AN46" s="38">
        <v>21</v>
      </c>
      <c r="AO46" s="38">
        <f t="shared" si="13"/>
        <v>0</v>
      </c>
      <c r="AP46" s="38">
        <f t="shared" si="14"/>
        <v>0</v>
      </c>
      <c r="AQ46" s="72" t="s">
        <v>162</v>
      </c>
      <c r="AV46" s="38">
        <f t="shared" si="15"/>
        <v>0</v>
      </c>
      <c r="AW46" s="38">
        <f t="shared" si="16"/>
        <v>0</v>
      </c>
      <c r="AX46" s="38">
        <f t="shared" si="17"/>
        <v>0</v>
      </c>
      <c r="AY46" s="72" t="s">
        <v>2049</v>
      </c>
      <c r="AZ46" s="72" t="s">
        <v>2050</v>
      </c>
      <c r="BA46" s="50" t="s">
        <v>2006</v>
      </c>
      <c r="BC46" s="38">
        <f t="shared" si="18"/>
        <v>0</v>
      </c>
      <c r="BD46" s="38">
        <f t="shared" si="19"/>
        <v>0</v>
      </c>
      <c r="BE46" s="38">
        <v>0</v>
      </c>
      <c r="BF46" s="38">
        <f t="shared" si="20"/>
        <v>0</v>
      </c>
      <c r="BH46" s="38">
        <f t="shared" si="21"/>
        <v>0</v>
      </c>
      <c r="BI46" s="38">
        <f t="shared" si="22"/>
        <v>0</v>
      </c>
      <c r="BJ46" s="38">
        <f t="shared" si="23"/>
        <v>0</v>
      </c>
      <c r="BK46" s="38"/>
      <c r="BL46" s="38">
        <v>721</v>
      </c>
      <c r="BW46" s="38">
        <v>21</v>
      </c>
    </row>
    <row r="47" spans="1:47" ht="15">
      <c r="A47" s="65" t="s">
        <v>4</v>
      </c>
      <c r="B47" s="66" t="s">
        <v>87</v>
      </c>
      <c r="C47" s="66" t="s">
        <v>2094</v>
      </c>
      <c r="D47" s="192" t="s">
        <v>2095</v>
      </c>
      <c r="E47" s="193"/>
      <c r="F47" s="67" t="s">
        <v>78</v>
      </c>
      <c r="G47" s="67" t="s">
        <v>78</v>
      </c>
      <c r="H47" s="67" t="s">
        <v>78</v>
      </c>
      <c r="I47" s="44">
        <f>SUM(I48:I71)</f>
        <v>0</v>
      </c>
      <c r="J47" s="50" t="s">
        <v>4</v>
      </c>
      <c r="K47" s="44">
        <f>SUM(K48:K71)</f>
        <v>0</v>
      </c>
      <c r="L47" s="69" t="s">
        <v>4</v>
      </c>
      <c r="AI47" s="50" t="s">
        <v>87</v>
      </c>
      <c r="AS47" s="44">
        <f>SUM(AJ48:AJ71)</f>
        <v>0</v>
      </c>
      <c r="AT47" s="44">
        <f>SUM(AK48:AK71)</f>
        <v>0</v>
      </c>
      <c r="AU47" s="44">
        <f>SUM(AL48:AL71)</f>
        <v>0</v>
      </c>
    </row>
    <row r="48" spans="1:75" ht="13.5" customHeight="1">
      <c r="A48" s="1" t="s">
        <v>304</v>
      </c>
      <c r="B48" s="2" t="s">
        <v>87</v>
      </c>
      <c r="C48" s="2" t="s">
        <v>2097</v>
      </c>
      <c r="D48" s="108" t="s">
        <v>2098</v>
      </c>
      <c r="E48" s="103"/>
      <c r="F48" s="2" t="s">
        <v>214</v>
      </c>
      <c r="G48" s="38">
        <f>'Stavební rozpočet'!G1170</f>
        <v>10</v>
      </c>
      <c r="H48" s="38">
        <f>'Stavební rozpočet'!H1170</f>
        <v>0</v>
      </c>
      <c r="I48" s="38">
        <f aca="true" t="shared" si="24" ref="I48:I71">G48*H48</f>
        <v>0</v>
      </c>
      <c r="J48" s="38">
        <f>'Stavební rozpočet'!J1170</f>
        <v>0</v>
      </c>
      <c r="K48" s="38">
        <f aca="true" t="shared" si="25" ref="K48:K71">G48*J48</f>
        <v>0</v>
      </c>
      <c r="L48" s="71" t="s">
        <v>207</v>
      </c>
      <c r="Z48" s="38">
        <f aca="true" t="shared" si="26" ref="Z48:Z71">IF(AQ48="5",BJ48,0)</f>
        <v>0</v>
      </c>
      <c r="AB48" s="38">
        <f aca="true" t="shared" si="27" ref="AB48:AB71">IF(AQ48="1",BH48,0)</f>
        <v>0</v>
      </c>
      <c r="AC48" s="38">
        <f aca="true" t="shared" si="28" ref="AC48:AC71">IF(AQ48="1",BI48,0)</f>
        <v>0</v>
      </c>
      <c r="AD48" s="38">
        <f aca="true" t="shared" si="29" ref="AD48:AD71">IF(AQ48="7",BH48,0)</f>
        <v>0</v>
      </c>
      <c r="AE48" s="38">
        <f aca="true" t="shared" si="30" ref="AE48:AE71">IF(AQ48="7",BI48,0)</f>
        <v>0</v>
      </c>
      <c r="AF48" s="38">
        <f aca="true" t="shared" si="31" ref="AF48:AF71">IF(AQ48="2",BH48,0)</f>
        <v>0</v>
      </c>
      <c r="AG48" s="38">
        <f aca="true" t="shared" si="32" ref="AG48:AG71">IF(AQ48="2",BI48,0)</f>
        <v>0</v>
      </c>
      <c r="AH48" s="38">
        <f aca="true" t="shared" si="33" ref="AH48:AH71">IF(AQ48="0",BJ48,0)</f>
        <v>0</v>
      </c>
      <c r="AI48" s="50" t="s">
        <v>87</v>
      </c>
      <c r="AJ48" s="38">
        <f aca="true" t="shared" si="34" ref="AJ48:AJ71">IF(AN48=0,I48,0)</f>
        <v>0</v>
      </c>
      <c r="AK48" s="38">
        <f aca="true" t="shared" si="35" ref="AK48:AK71">IF(AN48=12,I48,0)</f>
        <v>0</v>
      </c>
      <c r="AL48" s="38">
        <f aca="true" t="shared" si="36" ref="AL48:AL71">IF(AN48=21,I48,0)</f>
        <v>0</v>
      </c>
      <c r="AN48" s="38">
        <v>21</v>
      </c>
      <c r="AO48" s="38">
        <f aca="true" t="shared" si="37" ref="AO48:AO71">H48*0</f>
        <v>0</v>
      </c>
      <c r="AP48" s="38">
        <f aca="true" t="shared" si="38" ref="AP48:AP71">H48*(1-0)</f>
        <v>0</v>
      </c>
      <c r="AQ48" s="72" t="s">
        <v>169</v>
      </c>
      <c r="AV48" s="38">
        <f aca="true" t="shared" si="39" ref="AV48:AV71">AW48+AX48</f>
        <v>0</v>
      </c>
      <c r="AW48" s="38">
        <f aca="true" t="shared" si="40" ref="AW48:AW71">G48*AO48</f>
        <v>0</v>
      </c>
      <c r="AX48" s="38">
        <f aca="true" t="shared" si="41" ref="AX48:AX71">G48*AP48</f>
        <v>0</v>
      </c>
      <c r="AY48" s="72" t="s">
        <v>2099</v>
      </c>
      <c r="AZ48" s="72" t="s">
        <v>2050</v>
      </c>
      <c r="BA48" s="50" t="s">
        <v>2006</v>
      </c>
      <c r="BC48" s="38">
        <f aca="true" t="shared" si="42" ref="BC48:BC71">AW48+AX48</f>
        <v>0</v>
      </c>
      <c r="BD48" s="38">
        <f aca="true" t="shared" si="43" ref="BD48:BD71">H48/(100-BE48)*100</f>
        <v>0</v>
      </c>
      <c r="BE48" s="38">
        <v>0</v>
      </c>
      <c r="BF48" s="38">
        <f aca="true" t="shared" si="44" ref="BF48:BF71">K48</f>
        <v>0</v>
      </c>
      <c r="BH48" s="38">
        <f aca="true" t="shared" si="45" ref="BH48:BH71">G48*AO48</f>
        <v>0</v>
      </c>
      <c r="BI48" s="38">
        <f aca="true" t="shared" si="46" ref="BI48:BI71">G48*AP48</f>
        <v>0</v>
      </c>
      <c r="BJ48" s="38">
        <f aca="true" t="shared" si="47" ref="BJ48:BJ71">G48*H48</f>
        <v>0</v>
      </c>
      <c r="BK48" s="38"/>
      <c r="BL48" s="38">
        <v>722</v>
      </c>
      <c r="BW48" s="38">
        <v>21</v>
      </c>
    </row>
    <row r="49" spans="1:75" ht="13.5" customHeight="1">
      <c r="A49" s="1" t="s">
        <v>311</v>
      </c>
      <c r="B49" s="2" t="s">
        <v>87</v>
      </c>
      <c r="C49" s="2" t="s">
        <v>2101</v>
      </c>
      <c r="D49" s="108" t="s">
        <v>2102</v>
      </c>
      <c r="E49" s="103"/>
      <c r="F49" s="2" t="s">
        <v>214</v>
      </c>
      <c r="G49" s="38">
        <f>'Stavební rozpočet'!G1171</f>
        <v>70</v>
      </c>
      <c r="H49" s="38">
        <f>'Stavební rozpočet'!H1171</f>
        <v>0</v>
      </c>
      <c r="I49" s="38">
        <f t="shared" si="24"/>
        <v>0</v>
      </c>
      <c r="J49" s="38">
        <f>'Stavební rozpočet'!J1171</f>
        <v>0</v>
      </c>
      <c r="K49" s="38">
        <f t="shared" si="25"/>
        <v>0</v>
      </c>
      <c r="L49" s="71" t="s">
        <v>207</v>
      </c>
      <c r="Z49" s="38">
        <f t="shared" si="26"/>
        <v>0</v>
      </c>
      <c r="AB49" s="38">
        <f t="shared" si="27"/>
        <v>0</v>
      </c>
      <c r="AC49" s="38">
        <f t="shared" si="28"/>
        <v>0</v>
      </c>
      <c r="AD49" s="38">
        <f t="shared" si="29"/>
        <v>0</v>
      </c>
      <c r="AE49" s="38">
        <f t="shared" si="30"/>
        <v>0</v>
      </c>
      <c r="AF49" s="38">
        <f t="shared" si="31"/>
        <v>0</v>
      </c>
      <c r="AG49" s="38">
        <f t="shared" si="32"/>
        <v>0</v>
      </c>
      <c r="AH49" s="38">
        <f t="shared" si="33"/>
        <v>0</v>
      </c>
      <c r="AI49" s="50" t="s">
        <v>87</v>
      </c>
      <c r="AJ49" s="38">
        <f t="shared" si="34"/>
        <v>0</v>
      </c>
      <c r="AK49" s="38">
        <f t="shared" si="35"/>
        <v>0</v>
      </c>
      <c r="AL49" s="38">
        <f t="shared" si="36"/>
        <v>0</v>
      </c>
      <c r="AN49" s="38">
        <v>21</v>
      </c>
      <c r="AO49" s="38">
        <f t="shared" si="37"/>
        <v>0</v>
      </c>
      <c r="AP49" s="38">
        <f t="shared" si="38"/>
        <v>0</v>
      </c>
      <c r="AQ49" s="72" t="s">
        <v>169</v>
      </c>
      <c r="AV49" s="38">
        <f t="shared" si="39"/>
        <v>0</v>
      </c>
      <c r="AW49" s="38">
        <f t="shared" si="40"/>
        <v>0</v>
      </c>
      <c r="AX49" s="38">
        <f t="shared" si="41"/>
        <v>0</v>
      </c>
      <c r="AY49" s="72" t="s">
        <v>2099</v>
      </c>
      <c r="AZ49" s="72" t="s">
        <v>2050</v>
      </c>
      <c r="BA49" s="50" t="s">
        <v>2006</v>
      </c>
      <c r="BC49" s="38">
        <f t="shared" si="42"/>
        <v>0</v>
      </c>
      <c r="BD49" s="38">
        <f t="shared" si="43"/>
        <v>0</v>
      </c>
      <c r="BE49" s="38">
        <v>0</v>
      </c>
      <c r="BF49" s="38">
        <f t="shared" si="44"/>
        <v>0</v>
      </c>
      <c r="BH49" s="38">
        <f t="shared" si="45"/>
        <v>0</v>
      </c>
      <c r="BI49" s="38">
        <f t="shared" si="46"/>
        <v>0</v>
      </c>
      <c r="BJ49" s="38">
        <f t="shared" si="47"/>
        <v>0</v>
      </c>
      <c r="BK49" s="38"/>
      <c r="BL49" s="38">
        <v>722</v>
      </c>
      <c r="BW49" s="38">
        <v>21</v>
      </c>
    </row>
    <row r="50" spans="1:75" ht="13.5" customHeight="1">
      <c r="A50" s="1" t="s">
        <v>195</v>
      </c>
      <c r="B50" s="2" t="s">
        <v>87</v>
      </c>
      <c r="C50" s="2" t="s">
        <v>2104</v>
      </c>
      <c r="D50" s="108" t="s">
        <v>2105</v>
      </c>
      <c r="E50" s="103"/>
      <c r="F50" s="2" t="s">
        <v>214</v>
      </c>
      <c r="G50" s="38">
        <f>'Stavební rozpočet'!G1172</f>
        <v>110</v>
      </c>
      <c r="H50" s="38">
        <f>'Stavební rozpočet'!H1172</f>
        <v>0</v>
      </c>
      <c r="I50" s="38">
        <f t="shared" si="24"/>
        <v>0</v>
      </c>
      <c r="J50" s="38">
        <f>'Stavební rozpočet'!J1172</f>
        <v>0</v>
      </c>
      <c r="K50" s="38">
        <f t="shared" si="25"/>
        <v>0</v>
      </c>
      <c r="L50" s="71" t="s">
        <v>207</v>
      </c>
      <c r="Z50" s="38">
        <f t="shared" si="26"/>
        <v>0</v>
      </c>
      <c r="AB50" s="38">
        <f t="shared" si="27"/>
        <v>0</v>
      </c>
      <c r="AC50" s="38">
        <f t="shared" si="28"/>
        <v>0</v>
      </c>
      <c r="AD50" s="38">
        <f t="shared" si="29"/>
        <v>0</v>
      </c>
      <c r="AE50" s="38">
        <f t="shared" si="30"/>
        <v>0</v>
      </c>
      <c r="AF50" s="38">
        <f t="shared" si="31"/>
        <v>0</v>
      </c>
      <c r="AG50" s="38">
        <f t="shared" si="32"/>
        <v>0</v>
      </c>
      <c r="AH50" s="38">
        <f t="shared" si="33"/>
        <v>0</v>
      </c>
      <c r="AI50" s="50" t="s">
        <v>87</v>
      </c>
      <c r="AJ50" s="38">
        <f t="shared" si="34"/>
        <v>0</v>
      </c>
      <c r="AK50" s="38">
        <f t="shared" si="35"/>
        <v>0</v>
      </c>
      <c r="AL50" s="38">
        <f t="shared" si="36"/>
        <v>0</v>
      </c>
      <c r="AN50" s="38">
        <v>21</v>
      </c>
      <c r="AO50" s="38">
        <f t="shared" si="37"/>
        <v>0</v>
      </c>
      <c r="AP50" s="38">
        <f t="shared" si="38"/>
        <v>0</v>
      </c>
      <c r="AQ50" s="72" t="s">
        <v>169</v>
      </c>
      <c r="AV50" s="38">
        <f t="shared" si="39"/>
        <v>0</v>
      </c>
      <c r="AW50" s="38">
        <f t="shared" si="40"/>
        <v>0</v>
      </c>
      <c r="AX50" s="38">
        <f t="shared" si="41"/>
        <v>0</v>
      </c>
      <c r="AY50" s="72" t="s">
        <v>2099</v>
      </c>
      <c r="AZ50" s="72" t="s">
        <v>2050</v>
      </c>
      <c r="BA50" s="50" t="s">
        <v>2006</v>
      </c>
      <c r="BC50" s="38">
        <f t="shared" si="42"/>
        <v>0</v>
      </c>
      <c r="BD50" s="38">
        <f t="shared" si="43"/>
        <v>0</v>
      </c>
      <c r="BE50" s="38">
        <v>0</v>
      </c>
      <c r="BF50" s="38">
        <f t="shared" si="44"/>
        <v>0</v>
      </c>
      <c r="BH50" s="38">
        <f t="shared" si="45"/>
        <v>0</v>
      </c>
      <c r="BI50" s="38">
        <f t="shared" si="46"/>
        <v>0</v>
      </c>
      <c r="BJ50" s="38">
        <f t="shared" si="47"/>
        <v>0</v>
      </c>
      <c r="BK50" s="38"/>
      <c r="BL50" s="38">
        <v>722</v>
      </c>
      <c r="BW50" s="38">
        <v>21</v>
      </c>
    </row>
    <row r="51" spans="1:75" ht="13.5" customHeight="1">
      <c r="A51" s="1" t="s">
        <v>322</v>
      </c>
      <c r="B51" s="2" t="s">
        <v>87</v>
      </c>
      <c r="C51" s="2" t="s">
        <v>2107</v>
      </c>
      <c r="D51" s="108" t="s">
        <v>2108</v>
      </c>
      <c r="E51" s="103"/>
      <c r="F51" s="2" t="s">
        <v>214</v>
      </c>
      <c r="G51" s="38">
        <f>'Stavební rozpočet'!G1173</f>
        <v>25</v>
      </c>
      <c r="H51" s="38">
        <f>'Stavební rozpočet'!H1173</f>
        <v>0</v>
      </c>
      <c r="I51" s="38">
        <f t="shared" si="24"/>
        <v>0</v>
      </c>
      <c r="J51" s="38">
        <f>'Stavební rozpočet'!J1173</f>
        <v>0</v>
      </c>
      <c r="K51" s="38">
        <f t="shared" si="25"/>
        <v>0</v>
      </c>
      <c r="L51" s="71" t="s">
        <v>207</v>
      </c>
      <c r="Z51" s="38">
        <f t="shared" si="26"/>
        <v>0</v>
      </c>
      <c r="AB51" s="38">
        <f t="shared" si="27"/>
        <v>0</v>
      </c>
      <c r="AC51" s="38">
        <f t="shared" si="28"/>
        <v>0</v>
      </c>
      <c r="AD51" s="38">
        <f t="shared" si="29"/>
        <v>0</v>
      </c>
      <c r="AE51" s="38">
        <f t="shared" si="30"/>
        <v>0</v>
      </c>
      <c r="AF51" s="38">
        <f t="shared" si="31"/>
        <v>0</v>
      </c>
      <c r="AG51" s="38">
        <f t="shared" si="32"/>
        <v>0</v>
      </c>
      <c r="AH51" s="38">
        <f t="shared" si="33"/>
        <v>0</v>
      </c>
      <c r="AI51" s="50" t="s">
        <v>87</v>
      </c>
      <c r="AJ51" s="38">
        <f t="shared" si="34"/>
        <v>0</v>
      </c>
      <c r="AK51" s="38">
        <f t="shared" si="35"/>
        <v>0</v>
      </c>
      <c r="AL51" s="38">
        <f t="shared" si="36"/>
        <v>0</v>
      </c>
      <c r="AN51" s="38">
        <v>21</v>
      </c>
      <c r="AO51" s="38">
        <f t="shared" si="37"/>
        <v>0</v>
      </c>
      <c r="AP51" s="38">
        <f t="shared" si="38"/>
        <v>0</v>
      </c>
      <c r="AQ51" s="72" t="s">
        <v>169</v>
      </c>
      <c r="AV51" s="38">
        <f t="shared" si="39"/>
        <v>0</v>
      </c>
      <c r="AW51" s="38">
        <f t="shared" si="40"/>
        <v>0</v>
      </c>
      <c r="AX51" s="38">
        <f t="shared" si="41"/>
        <v>0</v>
      </c>
      <c r="AY51" s="72" t="s">
        <v>2099</v>
      </c>
      <c r="AZ51" s="72" t="s">
        <v>2050</v>
      </c>
      <c r="BA51" s="50" t="s">
        <v>2006</v>
      </c>
      <c r="BC51" s="38">
        <f t="shared" si="42"/>
        <v>0</v>
      </c>
      <c r="BD51" s="38">
        <f t="shared" si="43"/>
        <v>0</v>
      </c>
      <c r="BE51" s="38">
        <v>0</v>
      </c>
      <c r="BF51" s="38">
        <f t="shared" si="44"/>
        <v>0</v>
      </c>
      <c r="BH51" s="38">
        <f t="shared" si="45"/>
        <v>0</v>
      </c>
      <c r="BI51" s="38">
        <f t="shared" si="46"/>
        <v>0</v>
      </c>
      <c r="BJ51" s="38">
        <f t="shared" si="47"/>
        <v>0</v>
      </c>
      <c r="BK51" s="38"/>
      <c r="BL51" s="38">
        <v>722</v>
      </c>
      <c r="BW51" s="38">
        <v>21</v>
      </c>
    </row>
    <row r="52" spans="1:75" ht="13.5" customHeight="1">
      <c r="A52" s="1" t="s">
        <v>328</v>
      </c>
      <c r="B52" s="2" t="s">
        <v>87</v>
      </c>
      <c r="C52" s="2" t="s">
        <v>2110</v>
      </c>
      <c r="D52" s="108" t="s">
        <v>2111</v>
      </c>
      <c r="E52" s="103"/>
      <c r="F52" s="2" t="s">
        <v>214</v>
      </c>
      <c r="G52" s="38">
        <f>'Stavební rozpočet'!G1174</f>
        <v>20</v>
      </c>
      <c r="H52" s="38">
        <f>'Stavební rozpočet'!H1174</f>
        <v>0</v>
      </c>
      <c r="I52" s="38">
        <f t="shared" si="24"/>
        <v>0</v>
      </c>
      <c r="J52" s="38">
        <f>'Stavební rozpočet'!J1174</f>
        <v>0</v>
      </c>
      <c r="K52" s="38">
        <f t="shared" si="25"/>
        <v>0</v>
      </c>
      <c r="L52" s="71" t="s">
        <v>207</v>
      </c>
      <c r="Z52" s="38">
        <f t="shared" si="26"/>
        <v>0</v>
      </c>
      <c r="AB52" s="38">
        <f t="shared" si="27"/>
        <v>0</v>
      </c>
      <c r="AC52" s="38">
        <f t="shared" si="28"/>
        <v>0</v>
      </c>
      <c r="AD52" s="38">
        <f t="shared" si="29"/>
        <v>0</v>
      </c>
      <c r="AE52" s="38">
        <f t="shared" si="30"/>
        <v>0</v>
      </c>
      <c r="AF52" s="38">
        <f t="shared" si="31"/>
        <v>0</v>
      </c>
      <c r="AG52" s="38">
        <f t="shared" si="32"/>
        <v>0</v>
      </c>
      <c r="AH52" s="38">
        <f t="shared" si="33"/>
        <v>0</v>
      </c>
      <c r="AI52" s="50" t="s">
        <v>87</v>
      </c>
      <c r="AJ52" s="38">
        <f t="shared" si="34"/>
        <v>0</v>
      </c>
      <c r="AK52" s="38">
        <f t="shared" si="35"/>
        <v>0</v>
      </c>
      <c r="AL52" s="38">
        <f t="shared" si="36"/>
        <v>0</v>
      </c>
      <c r="AN52" s="38">
        <v>21</v>
      </c>
      <c r="AO52" s="38">
        <f t="shared" si="37"/>
        <v>0</v>
      </c>
      <c r="AP52" s="38">
        <f t="shared" si="38"/>
        <v>0</v>
      </c>
      <c r="AQ52" s="72" t="s">
        <v>169</v>
      </c>
      <c r="AV52" s="38">
        <f t="shared" si="39"/>
        <v>0</v>
      </c>
      <c r="AW52" s="38">
        <f t="shared" si="40"/>
        <v>0</v>
      </c>
      <c r="AX52" s="38">
        <f t="shared" si="41"/>
        <v>0</v>
      </c>
      <c r="AY52" s="72" t="s">
        <v>2099</v>
      </c>
      <c r="AZ52" s="72" t="s">
        <v>2050</v>
      </c>
      <c r="BA52" s="50" t="s">
        <v>2006</v>
      </c>
      <c r="BC52" s="38">
        <f t="shared" si="42"/>
        <v>0</v>
      </c>
      <c r="BD52" s="38">
        <f t="shared" si="43"/>
        <v>0</v>
      </c>
      <c r="BE52" s="38">
        <v>0</v>
      </c>
      <c r="BF52" s="38">
        <f t="shared" si="44"/>
        <v>0</v>
      </c>
      <c r="BH52" s="38">
        <f t="shared" si="45"/>
        <v>0</v>
      </c>
      <c r="BI52" s="38">
        <f t="shared" si="46"/>
        <v>0</v>
      </c>
      <c r="BJ52" s="38">
        <f t="shared" si="47"/>
        <v>0</v>
      </c>
      <c r="BK52" s="38"/>
      <c r="BL52" s="38">
        <v>722</v>
      </c>
      <c r="BW52" s="38">
        <v>21</v>
      </c>
    </row>
    <row r="53" spans="1:75" ht="13.5" customHeight="1">
      <c r="A53" s="1" t="s">
        <v>289</v>
      </c>
      <c r="B53" s="2" t="s">
        <v>87</v>
      </c>
      <c r="C53" s="2" t="s">
        <v>2113</v>
      </c>
      <c r="D53" s="108" t="s">
        <v>2114</v>
      </c>
      <c r="E53" s="103"/>
      <c r="F53" s="2" t="s">
        <v>214</v>
      </c>
      <c r="G53" s="38">
        <f>'Stavební rozpočet'!G1175</f>
        <v>15</v>
      </c>
      <c r="H53" s="38">
        <f>'Stavební rozpočet'!H1175</f>
        <v>0</v>
      </c>
      <c r="I53" s="38">
        <f t="shared" si="24"/>
        <v>0</v>
      </c>
      <c r="J53" s="38">
        <f>'Stavební rozpočet'!J1175</f>
        <v>0</v>
      </c>
      <c r="K53" s="38">
        <f t="shared" si="25"/>
        <v>0</v>
      </c>
      <c r="L53" s="71" t="s">
        <v>207</v>
      </c>
      <c r="Z53" s="38">
        <f t="shared" si="26"/>
        <v>0</v>
      </c>
      <c r="AB53" s="38">
        <f t="shared" si="27"/>
        <v>0</v>
      </c>
      <c r="AC53" s="38">
        <f t="shared" si="28"/>
        <v>0</v>
      </c>
      <c r="AD53" s="38">
        <f t="shared" si="29"/>
        <v>0</v>
      </c>
      <c r="AE53" s="38">
        <f t="shared" si="30"/>
        <v>0</v>
      </c>
      <c r="AF53" s="38">
        <f t="shared" si="31"/>
        <v>0</v>
      </c>
      <c r="AG53" s="38">
        <f t="shared" si="32"/>
        <v>0</v>
      </c>
      <c r="AH53" s="38">
        <f t="shared" si="33"/>
        <v>0</v>
      </c>
      <c r="AI53" s="50" t="s">
        <v>87</v>
      </c>
      <c r="AJ53" s="38">
        <f t="shared" si="34"/>
        <v>0</v>
      </c>
      <c r="AK53" s="38">
        <f t="shared" si="35"/>
        <v>0</v>
      </c>
      <c r="AL53" s="38">
        <f t="shared" si="36"/>
        <v>0</v>
      </c>
      <c r="AN53" s="38">
        <v>21</v>
      </c>
      <c r="AO53" s="38">
        <f t="shared" si="37"/>
        <v>0</v>
      </c>
      <c r="AP53" s="38">
        <f t="shared" si="38"/>
        <v>0</v>
      </c>
      <c r="AQ53" s="72" t="s">
        <v>169</v>
      </c>
      <c r="AV53" s="38">
        <f t="shared" si="39"/>
        <v>0</v>
      </c>
      <c r="AW53" s="38">
        <f t="shared" si="40"/>
        <v>0</v>
      </c>
      <c r="AX53" s="38">
        <f t="shared" si="41"/>
        <v>0</v>
      </c>
      <c r="AY53" s="72" t="s">
        <v>2099</v>
      </c>
      <c r="AZ53" s="72" t="s">
        <v>2050</v>
      </c>
      <c r="BA53" s="50" t="s">
        <v>2006</v>
      </c>
      <c r="BC53" s="38">
        <f t="shared" si="42"/>
        <v>0</v>
      </c>
      <c r="BD53" s="38">
        <f t="shared" si="43"/>
        <v>0</v>
      </c>
      <c r="BE53" s="38">
        <v>0</v>
      </c>
      <c r="BF53" s="38">
        <f t="shared" si="44"/>
        <v>0</v>
      </c>
      <c r="BH53" s="38">
        <f t="shared" si="45"/>
        <v>0</v>
      </c>
      <c r="BI53" s="38">
        <f t="shared" si="46"/>
        <v>0</v>
      </c>
      <c r="BJ53" s="38">
        <f t="shared" si="47"/>
        <v>0</v>
      </c>
      <c r="BK53" s="38"/>
      <c r="BL53" s="38">
        <v>722</v>
      </c>
      <c r="BW53" s="38">
        <v>21</v>
      </c>
    </row>
    <row r="54" spans="1:75" ht="27" customHeight="1">
      <c r="A54" s="1" t="s">
        <v>336</v>
      </c>
      <c r="B54" s="2" t="s">
        <v>87</v>
      </c>
      <c r="C54" s="2" t="s">
        <v>2116</v>
      </c>
      <c r="D54" s="108" t="s">
        <v>2117</v>
      </c>
      <c r="E54" s="103"/>
      <c r="F54" s="2" t="s">
        <v>214</v>
      </c>
      <c r="G54" s="38">
        <f>'Stavební rozpočet'!G1176</f>
        <v>110</v>
      </c>
      <c r="H54" s="38">
        <f>'Stavební rozpočet'!H1176</f>
        <v>0</v>
      </c>
      <c r="I54" s="38">
        <f t="shared" si="24"/>
        <v>0</v>
      </c>
      <c r="J54" s="38">
        <f>'Stavební rozpočet'!J1176</f>
        <v>0</v>
      </c>
      <c r="K54" s="38">
        <f t="shared" si="25"/>
        <v>0</v>
      </c>
      <c r="L54" s="71" t="s">
        <v>207</v>
      </c>
      <c r="Z54" s="38">
        <f t="shared" si="26"/>
        <v>0</v>
      </c>
      <c r="AB54" s="38">
        <f t="shared" si="27"/>
        <v>0</v>
      </c>
      <c r="AC54" s="38">
        <f t="shared" si="28"/>
        <v>0</v>
      </c>
      <c r="AD54" s="38">
        <f t="shared" si="29"/>
        <v>0</v>
      </c>
      <c r="AE54" s="38">
        <f t="shared" si="30"/>
        <v>0</v>
      </c>
      <c r="AF54" s="38">
        <f t="shared" si="31"/>
        <v>0</v>
      </c>
      <c r="AG54" s="38">
        <f t="shared" si="32"/>
        <v>0</v>
      </c>
      <c r="AH54" s="38">
        <f t="shared" si="33"/>
        <v>0</v>
      </c>
      <c r="AI54" s="50" t="s">
        <v>87</v>
      </c>
      <c r="AJ54" s="38">
        <f t="shared" si="34"/>
        <v>0</v>
      </c>
      <c r="AK54" s="38">
        <f t="shared" si="35"/>
        <v>0</v>
      </c>
      <c r="AL54" s="38">
        <f t="shared" si="36"/>
        <v>0</v>
      </c>
      <c r="AN54" s="38">
        <v>21</v>
      </c>
      <c r="AO54" s="38">
        <f t="shared" si="37"/>
        <v>0</v>
      </c>
      <c r="AP54" s="38">
        <f t="shared" si="38"/>
        <v>0</v>
      </c>
      <c r="AQ54" s="72" t="s">
        <v>169</v>
      </c>
      <c r="AV54" s="38">
        <f t="shared" si="39"/>
        <v>0</v>
      </c>
      <c r="AW54" s="38">
        <f t="shared" si="40"/>
        <v>0</v>
      </c>
      <c r="AX54" s="38">
        <f t="shared" si="41"/>
        <v>0</v>
      </c>
      <c r="AY54" s="72" t="s">
        <v>2099</v>
      </c>
      <c r="AZ54" s="72" t="s">
        <v>2050</v>
      </c>
      <c r="BA54" s="50" t="s">
        <v>2006</v>
      </c>
      <c r="BC54" s="38">
        <f t="shared" si="42"/>
        <v>0</v>
      </c>
      <c r="BD54" s="38">
        <f t="shared" si="43"/>
        <v>0</v>
      </c>
      <c r="BE54" s="38">
        <v>0</v>
      </c>
      <c r="BF54" s="38">
        <f t="shared" si="44"/>
        <v>0</v>
      </c>
      <c r="BH54" s="38">
        <f t="shared" si="45"/>
        <v>0</v>
      </c>
      <c r="BI54" s="38">
        <f t="shared" si="46"/>
        <v>0</v>
      </c>
      <c r="BJ54" s="38">
        <f t="shared" si="47"/>
        <v>0</v>
      </c>
      <c r="BK54" s="38"/>
      <c r="BL54" s="38">
        <v>722</v>
      </c>
      <c r="BW54" s="38">
        <v>21</v>
      </c>
    </row>
    <row r="55" spans="1:75" ht="27" customHeight="1">
      <c r="A55" s="1" t="s">
        <v>342</v>
      </c>
      <c r="B55" s="2" t="s">
        <v>87</v>
      </c>
      <c r="C55" s="2" t="s">
        <v>2119</v>
      </c>
      <c r="D55" s="108" t="s">
        <v>2120</v>
      </c>
      <c r="E55" s="103"/>
      <c r="F55" s="2" t="s">
        <v>214</v>
      </c>
      <c r="G55" s="38">
        <f>'Stavební rozpočet'!G1177</f>
        <v>35</v>
      </c>
      <c r="H55" s="38">
        <f>'Stavební rozpočet'!H1177</f>
        <v>0</v>
      </c>
      <c r="I55" s="38">
        <f t="shared" si="24"/>
        <v>0</v>
      </c>
      <c r="J55" s="38">
        <f>'Stavební rozpočet'!J1177</f>
        <v>0</v>
      </c>
      <c r="K55" s="38">
        <f t="shared" si="25"/>
        <v>0</v>
      </c>
      <c r="L55" s="71" t="s">
        <v>207</v>
      </c>
      <c r="Z55" s="38">
        <f t="shared" si="26"/>
        <v>0</v>
      </c>
      <c r="AB55" s="38">
        <f t="shared" si="27"/>
        <v>0</v>
      </c>
      <c r="AC55" s="38">
        <f t="shared" si="28"/>
        <v>0</v>
      </c>
      <c r="AD55" s="38">
        <f t="shared" si="29"/>
        <v>0</v>
      </c>
      <c r="AE55" s="38">
        <f t="shared" si="30"/>
        <v>0</v>
      </c>
      <c r="AF55" s="38">
        <f t="shared" si="31"/>
        <v>0</v>
      </c>
      <c r="AG55" s="38">
        <f t="shared" si="32"/>
        <v>0</v>
      </c>
      <c r="AH55" s="38">
        <f t="shared" si="33"/>
        <v>0</v>
      </c>
      <c r="AI55" s="50" t="s">
        <v>87</v>
      </c>
      <c r="AJ55" s="38">
        <f t="shared" si="34"/>
        <v>0</v>
      </c>
      <c r="AK55" s="38">
        <f t="shared" si="35"/>
        <v>0</v>
      </c>
      <c r="AL55" s="38">
        <f t="shared" si="36"/>
        <v>0</v>
      </c>
      <c r="AN55" s="38">
        <v>21</v>
      </c>
      <c r="AO55" s="38">
        <f t="shared" si="37"/>
        <v>0</v>
      </c>
      <c r="AP55" s="38">
        <f t="shared" si="38"/>
        <v>0</v>
      </c>
      <c r="AQ55" s="72" t="s">
        <v>169</v>
      </c>
      <c r="AV55" s="38">
        <f t="shared" si="39"/>
        <v>0</v>
      </c>
      <c r="AW55" s="38">
        <f t="shared" si="40"/>
        <v>0</v>
      </c>
      <c r="AX55" s="38">
        <f t="shared" si="41"/>
        <v>0</v>
      </c>
      <c r="AY55" s="72" t="s">
        <v>2099</v>
      </c>
      <c r="AZ55" s="72" t="s">
        <v>2050</v>
      </c>
      <c r="BA55" s="50" t="s">
        <v>2006</v>
      </c>
      <c r="BC55" s="38">
        <f t="shared" si="42"/>
        <v>0</v>
      </c>
      <c r="BD55" s="38">
        <f t="shared" si="43"/>
        <v>0</v>
      </c>
      <c r="BE55" s="38">
        <v>0</v>
      </c>
      <c r="BF55" s="38">
        <f t="shared" si="44"/>
        <v>0</v>
      </c>
      <c r="BH55" s="38">
        <f t="shared" si="45"/>
        <v>0</v>
      </c>
      <c r="BI55" s="38">
        <f t="shared" si="46"/>
        <v>0</v>
      </c>
      <c r="BJ55" s="38">
        <f t="shared" si="47"/>
        <v>0</v>
      </c>
      <c r="BK55" s="38"/>
      <c r="BL55" s="38">
        <v>722</v>
      </c>
      <c r="BW55" s="38">
        <v>21</v>
      </c>
    </row>
    <row r="56" spans="1:75" ht="13.5" customHeight="1">
      <c r="A56" s="1" t="s">
        <v>346</v>
      </c>
      <c r="B56" s="2" t="s">
        <v>87</v>
      </c>
      <c r="C56" s="2" t="s">
        <v>2122</v>
      </c>
      <c r="D56" s="108" t="s">
        <v>2123</v>
      </c>
      <c r="E56" s="103"/>
      <c r="F56" s="2" t="s">
        <v>199</v>
      </c>
      <c r="G56" s="38">
        <f>'Stavební rozpočet'!G1178</f>
        <v>29</v>
      </c>
      <c r="H56" s="38">
        <f>'Stavební rozpočet'!H1178</f>
        <v>0</v>
      </c>
      <c r="I56" s="38">
        <f t="shared" si="24"/>
        <v>0</v>
      </c>
      <c r="J56" s="38">
        <f>'Stavební rozpočet'!J1178</f>
        <v>0</v>
      </c>
      <c r="K56" s="38">
        <f t="shared" si="25"/>
        <v>0</v>
      </c>
      <c r="L56" s="71" t="s">
        <v>207</v>
      </c>
      <c r="Z56" s="38">
        <f t="shared" si="26"/>
        <v>0</v>
      </c>
      <c r="AB56" s="38">
        <f t="shared" si="27"/>
        <v>0</v>
      </c>
      <c r="AC56" s="38">
        <f t="shared" si="28"/>
        <v>0</v>
      </c>
      <c r="AD56" s="38">
        <f t="shared" si="29"/>
        <v>0</v>
      </c>
      <c r="AE56" s="38">
        <f t="shared" si="30"/>
        <v>0</v>
      </c>
      <c r="AF56" s="38">
        <f t="shared" si="31"/>
        <v>0</v>
      </c>
      <c r="AG56" s="38">
        <f t="shared" si="32"/>
        <v>0</v>
      </c>
      <c r="AH56" s="38">
        <f t="shared" si="33"/>
        <v>0</v>
      </c>
      <c r="AI56" s="50" t="s">
        <v>87</v>
      </c>
      <c r="AJ56" s="38">
        <f t="shared" si="34"/>
        <v>0</v>
      </c>
      <c r="AK56" s="38">
        <f t="shared" si="35"/>
        <v>0</v>
      </c>
      <c r="AL56" s="38">
        <f t="shared" si="36"/>
        <v>0</v>
      </c>
      <c r="AN56" s="38">
        <v>21</v>
      </c>
      <c r="AO56" s="38">
        <f t="shared" si="37"/>
        <v>0</v>
      </c>
      <c r="AP56" s="38">
        <f t="shared" si="38"/>
        <v>0</v>
      </c>
      <c r="AQ56" s="72" t="s">
        <v>169</v>
      </c>
      <c r="AV56" s="38">
        <f t="shared" si="39"/>
        <v>0</v>
      </c>
      <c r="AW56" s="38">
        <f t="shared" si="40"/>
        <v>0</v>
      </c>
      <c r="AX56" s="38">
        <f t="shared" si="41"/>
        <v>0</v>
      </c>
      <c r="AY56" s="72" t="s">
        <v>2099</v>
      </c>
      <c r="AZ56" s="72" t="s">
        <v>2050</v>
      </c>
      <c r="BA56" s="50" t="s">
        <v>2006</v>
      </c>
      <c r="BC56" s="38">
        <f t="shared" si="42"/>
        <v>0</v>
      </c>
      <c r="BD56" s="38">
        <f t="shared" si="43"/>
        <v>0</v>
      </c>
      <c r="BE56" s="38">
        <v>0</v>
      </c>
      <c r="BF56" s="38">
        <f t="shared" si="44"/>
        <v>0</v>
      </c>
      <c r="BH56" s="38">
        <f t="shared" si="45"/>
        <v>0</v>
      </c>
      <c r="BI56" s="38">
        <f t="shared" si="46"/>
        <v>0</v>
      </c>
      <c r="BJ56" s="38">
        <f t="shared" si="47"/>
        <v>0</v>
      </c>
      <c r="BK56" s="38"/>
      <c r="BL56" s="38">
        <v>722</v>
      </c>
      <c r="BW56" s="38">
        <v>21</v>
      </c>
    </row>
    <row r="57" spans="1:75" ht="13.5" customHeight="1">
      <c r="A57" s="1" t="s">
        <v>351</v>
      </c>
      <c r="B57" s="2" t="s">
        <v>87</v>
      </c>
      <c r="C57" s="2" t="s">
        <v>2125</v>
      </c>
      <c r="D57" s="108" t="s">
        <v>2126</v>
      </c>
      <c r="E57" s="103"/>
      <c r="F57" s="2" t="s">
        <v>199</v>
      </c>
      <c r="G57" s="38">
        <f>'Stavební rozpočet'!G1179</f>
        <v>27</v>
      </c>
      <c r="H57" s="38">
        <f>'Stavební rozpočet'!H1179</f>
        <v>0</v>
      </c>
      <c r="I57" s="38">
        <f t="shared" si="24"/>
        <v>0</v>
      </c>
      <c r="J57" s="38">
        <f>'Stavební rozpočet'!J1179</f>
        <v>0</v>
      </c>
      <c r="K57" s="38">
        <f t="shared" si="25"/>
        <v>0</v>
      </c>
      <c r="L57" s="71" t="s">
        <v>207</v>
      </c>
      <c r="Z57" s="38">
        <f t="shared" si="26"/>
        <v>0</v>
      </c>
      <c r="AB57" s="38">
        <f t="shared" si="27"/>
        <v>0</v>
      </c>
      <c r="AC57" s="38">
        <f t="shared" si="28"/>
        <v>0</v>
      </c>
      <c r="AD57" s="38">
        <f t="shared" si="29"/>
        <v>0</v>
      </c>
      <c r="AE57" s="38">
        <f t="shared" si="30"/>
        <v>0</v>
      </c>
      <c r="AF57" s="38">
        <f t="shared" si="31"/>
        <v>0</v>
      </c>
      <c r="AG57" s="38">
        <f t="shared" si="32"/>
        <v>0</v>
      </c>
      <c r="AH57" s="38">
        <f t="shared" si="33"/>
        <v>0</v>
      </c>
      <c r="AI57" s="50" t="s">
        <v>87</v>
      </c>
      <c r="AJ57" s="38">
        <f t="shared" si="34"/>
        <v>0</v>
      </c>
      <c r="AK57" s="38">
        <f t="shared" si="35"/>
        <v>0</v>
      </c>
      <c r="AL57" s="38">
        <f t="shared" si="36"/>
        <v>0</v>
      </c>
      <c r="AN57" s="38">
        <v>21</v>
      </c>
      <c r="AO57" s="38">
        <f t="shared" si="37"/>
        <v>0</v>
      </c>
      <c r="AP57" s="38">
        <f t="shared" si="38"/>
        <v>0</v>
      </c>
      <c r="AQ57" s="72" t="s">
        <v>169</v>
      </c>
      <c r="AV57" s="38">
        <f t="shared" si="39"/>
        <v>0</v>
      </c>
      <c r="AW57" s="38">
        <f t="shared" si="40"/>
        <v>0</v>
      </c>
      <c r="AX57" s="38">
        <f t="shared" si="41"/>
        <v>0</v>
      </c>
      <c r="AY57" s="72" t="s">
        <v>2099</v>
      </c>
      <c r="AZ57" s="72" t="s">
        <v>2050</v>
      </c>
      <c r="BA57" s="50" t="s">
        <v>2006</v>
      </c>
      <c r="BC57" s="38">
        <f t="shared" si="42"/>
        <v>0</v>
      </c>
      <c r="BD57" s="38">
        <f t="shared" si="43"/>
        <v>0</v>
      </c>
      <c r="BE57" s="38">
        <v>0</v>
      </c>
      <c r="BF57" s="38">
        <f t="shared" si="44"/>
        <v>0</v>
      </c>
      <c r="BH57" s="38">
        <f t="shared" si="45"/>
        <v>0</v>
      </c>
      <c r="BI57" s="38">
        <f t="shared" si="46"/>
        <v>0</v>
      </c>
      <c r="BJ57" s="38">
        <f t="shared" si="47"/>
        <v>0</v>
      </c>
      <c r="BK57" s="38"/>
      <c r="BL57" s="38">
        <v>722</v>
      </c>
      <c r="BW57" s="38">
        <v>21</v>
      </c>
    </row>
    <row r="58" spans="1:75" ht="13.5" customHeight="1">
      <c r="A58" s="1" t="s">
        <v>356</v>
      </c>
      <c r="B58" s="2" t="s">
        <v>87</v>
      </c>
      <c r="C58" s="2" t="s">
        <v>2128</v>
      </c>
      <c r="D58" s="108" t="s">
        <v>2129</v>
      </c>
      <c r="E58" s="103"/>
      <c r="F58" s="2" t="s">
        <v>2130</v>
      </c>
      <c r="G58" s="38">
        <f>'Stavební rozpočet'!G1180</f>
        <v>1</v>
      </c>
      <c r="H58" s="38">
        <f>'Stavební rozpočet'!H1180</f>
        <v>0</v>
      </c>
      <c r="I58" s="38">
        <f t="shared" si="24"/>
        <v>0</v>
      </c>
      <c r="J58" s="38">
        <f>'Stavební rozpočet'!J1180</f>
        <v>0</v>
      </c>
      <c r="K58" s="38">
        <f t="shared" si="25"/>
        <v>0</v>
      </c>
      <c r="L58" s="71" t="s">
        <v>207</v>
      </c>
      <c r="Z58" s="38">
        <f t="shared" si="26"/>
        <v>0</v>
      </c>
      <c r="AB58" s="38">
        <f t="shared" si="27"/>
        <v>0</v>
      </c>
      <c r="AC58" s="38">
        <f t="shared" si="28"/>
        <v>0</v>
      </c>
      <c r="AD58" s="38">
        <f t="shared" si="29"/>
        <v>0</v>
      </c>
      <c r="AE58" s="38">
        <f t="shared" si="30"/>
        <v>0</v>
      </c>
      <c r="AF58" s="38">
        <f t="shared" si="31"/>
        <v>0</v>
      </c>
      <c r="AG58" s="38">
        <f t="shared" si="32"/>
        <v>0</v>
      </c>
      <c r="AH58" s="38">
        <f t="shared" si="33"/>
        <v>0</v>
      </c>
      <c r="AI58" s="50" t="s">
        <v>87</v>
      </c>
      <c r="AJ58" s="38">
        <f t="shared" si="34"/>
        <v>0</v>
      </c>
      <c r="AK58" s="38">
        <f t="shared" si="35"/>
        <v>0</v>
      </c>
      <c r="AL58" s="38">
        <f t="shared" si="36"/>
        <v>0</v>
      </c>
      <c r="AN58" s="38">
        <v>21</v>
      </c>
      <c r="AO58" s="38">
        <f t="shared" si="37"/>
        <v>0</v>
      </c>
      <c r="AP58" s="38">
        <f t="shared" si="38"/>
        <v>0</v>
      </c>
      <c r="AQ58" s="72" t="s">
        <v>169</v>
      </c>
      <c r="AV58" s="38">
        <f t="shared" si="39"/>
        <v>0</v>
      </c>
      <c r="AW58" s="38">
        <f t="shared" si="40"/>
        <v>0</v>
      </c>
      <c r="AX58" s="38">
        <f t="shared" si="41"/>
        <v>0</v>
      </c>
      <c r="AY58" s="72" t="s">
        <v>2099</v>
      </c>
      <c r="AZ58" s="72" t="s">
        <v>2050</v>
      </c>
      <c r="BA58" s="50" t="s">
        <v>2006</v>
      </c>
      <c r="BC58" s="38">
        <f t="shared" si="42"/>
        <v>0</v>
      </c>
      <c r="BD58" s="38">
        <f t="shared" si="43"/>
        <v>0</v>
      </c>
      <c r="BE58" s="38">
        <v>0</v>
      </c>
      <c r="BF58" s="38">
        <f t="shared" si="44"/>
        <v>0</v>
      </c>
      <c r="BH58" s="38">
        <f t="shared" si="45"/>
        <v>0</v>
      </c>
      <c r="BI58" s="38">
        <f t="shared" si="46"/>
        <v>0</v>
      </c>
      <c r="BJ58" s="38">
        <f t="shared" si="47"/>
        <v>0</v>
      </c>
      <c r="BK58" s="38"/>
      <c r="BL58" s="38">
        <v>722</v>
      </c>
      <c r="BW58" s="38">
        <v>21</v>
      </c>
    </row>
    <row r="59" spans="1:75" ht="13.5" customHeight="1">
      <c r="A59" s="1" t="s">
        <v>362</v>
      </c>
      <c r="B59" s="2" t="s">
        <v>87</v>
      </c>
      <c r="C59" s="2" t="s">
        <v>2132</v>
      </c>
      <c r="D59" s="108" t="s">
        <v>2133</v>
      </c>
      <c r="E59" s="103"/>
      <c r="F59" s="2" t="s">
        <v>1593</v>
      </c>
      <c r="G59" s="38">
        <f>'Stavební rozpočet'!G1181</f>
        <v>27</v>
      </c>
      <c r="H59" s="38">
        <f>'Stavební rozpočet'!H1181</f>
        <v>0</v>
      </c>
      <c r="I59" s="38">
        <f t="shared" si="24"/>
        <v>0</v>
      </c>
      <c r="J59" s="38">
        <f>'Stavební rozpočet'!J1181</f>
        <v>0</v>
      </c>
      <c r="K59" s="38">
        <f t="shared" si="25"/>
        <v>0</v>
      </c>
      <c r="L59" s="71" t="s">
        <v>207</v>
      </c>
      <c r="Z59" s="38">
        <f t="shared" si="26"/>
        <v>0</v>
      </c>
      <c r="AB59" s="38">
        <f t="shared" si="27"/>
        <v>0</v>
      </c>
      <c r="AC59" s="38">
        <f t="shared" si="28"/>
        <v>0</v>
      </c>
      <c r="AD59" s="38">
        <f t="shared" si="29"/>
        <v>0</v>
      </c>
      <c r="AE59" s="38">
        <f t="shared" si="30"/>
        <v>0</v>
      </c>
      <c r="AF59" s="38">
        <f t="shared" si="31"/>
        <v>0</v>
      </c>
      <c r="AG59" s="38">
        <f t="shared" si="32"/>
        <v>0</v>
      </c>
      <c r="AH59" s="38">
        <f t="shared" si="33"/>
        <v>0</v>
      </c>
      <c r="AI59" s="50" t="s">
        <v>87</v>
      </c>
      <c r="AJ59" s="38">
        <f t="shared" si="34"/>
        <v>0</v>
      </c>
      <c r="AK59" s="38">
        <f t="shared" si="35"/>
        <v>0</v>
      </c>
      <c r="AL59" s="38">
        <f t="shared" si="36"/>
        <v>0</v>
      </c>
      <c r="AN59" s="38">
        <v>21</v>
      </c>
      <c r="AO59" s="38">
        <f t="shared" si="37"/>
        <v>0</v>
      </c>
      <c r="AP59" s="38">
        <f t="shared" si="38"/>
        <v>0</v>
      </c>
      <c r="AQ59" s="72" t="s">
        <v>169</v>
      </c>
      <c r="AV59" s="38">
        <f t="shared" si="39"/>
        <v>0</v>
      </c>
      <c r="AW59" s="38">
        <f t="shared" si="40"/>
        <v>0</v>
      </c>
      <c r="AX59" s="38">
        <f t="shared" si="41"/>
        <v>0</v>
      </c>
      <c r="AY59" s="72" t="s">
        <v>2099</v>
      </c>
      <c r="AZ59" s="72" t="s">
        <v>2050</v>
      </c>
      <c r="BA59" s="50" t="s">
        <v>2006</v>
      </c>
      <c r="BC59" s="38">
        <f t="shared" si="42"/>
        <v>0</v>
      </c>
      <c r="BD59" s="38">
        <f t="shared" si="43"/>
        <v>0</v>
      </c>
      <c r="BE59" s="38">
        <v>0</v>
      </c>
      <c r="BF59" s="38">
        <f t="shared" si="44"/>
        <v>0</v>
      </c>
      <c r="BH59" s="38">
        <f t="shared" si="45"/>
        <v>0</v>
      </c>
      <c r="BI59" s="38">
        <f t="shared" si="46"/>
        <v>0</v>
      </c>
      <c r="BJ59" s="38">
        <f t="shared" si="47"/>
        <v>0</v>
      </c>
      <c r="BK59" s="38"/>
      <c r="BL59" s="38">
        <v>722</v>
      </c>
      <c r="BW59" s="38">
        <v>21</v>
      </c>
    </row>
    <row r="60" spans="1:75" ht="13.5" customHeight="1">
      <c r="A60" s="1" t="s">
        <v>360</v>
      </c>
      <c r="B60" s="2" t="s">
        <v>87</v>
      </c>
      <c r="C60" s="2" t="s">
        <v>2135</v>
      </c>
      <c r="D60" s="108" t="s">
        <v>2136</v>
      </c>
      <c r="E60" s="103"/>
      <c r="F60" s="2" t="s">
        <v>199</v>
      </c>
      <c r="G60" s="38">
        <f>'Stavební rozpočet'!G1182</f>
        <v>2</v>
      </c>
      <c r="H60" s="38">
        <f>'Stavební rozpočet'!H1182</f>
        <v>0</v>
      </c>
      <c r="I60" s="38">
        <f t="shared" si="24"/>
        <v>0</v>
      </c>
      <c r="J60" s="38">
        <f>'Stavební rozpočet'!J1182</f>
        <v>0</v>
      </c>
      <c r="K60" s="38">
        <f t="shared" si="25"/>
        <v>0</v>
      </c>
      <c r="L60" s="71" t="s">
        <v>207</v>
      </c>
      <c r="Z60" s="38">
        <f t="shared" si="26"/>
        <v>0</v>
      </c>
      <c r="AB60" s="38">
        <f t="shared" si="27"/>
        <v>0</v>
      </c>
      <c r="AC60" s="38">
        <f t="shared" si="28"/>
        <v>0</v>
      </c>
      <c r="AD60" s="38">
        <f t="shared" si="29"/>
        <v>0</v>
      </c>
      <c r="AE60" s="38">
        <f t="shared" si="30"/>
        <v>0</v>
      </c>
      <c r="AF60" s="38">
        <f t="shared" si="31"/>
        <v>0</v>
      </c>
      <c r="AG60" s="38">
        <f t="shared" si="32"/>
        <v>0</v>
      </c>
      <c r="AH60" s="38">
        <f t="shared" si="33"/>
        <v>0</v>
      </c>
      <c r="AI60" s="50" t="s">
        <v>87</v>
      </c>
      <c r="AJ60" s="38">
        <f t="shared" si="34"/>
        <v>0</v>
      </c>
      <c r="AK60" s="38">
        <f t="shared" si="35"/>
        <v>0</v>
      </c>
      <c r="AL60" s="38">
        <f t="shared" si="36"/>
        <v>0</v>
      </c>
      <c r="AN60" s="38">
        <v>21</v>
      </c>
      <c r="AO60" s="38">
        <f t="shared" si="37"/>
        <v>0</v>
      </c>
      <c r="AP60" s="38">
        <f t="shared" si="38"/>
        <v>0</v>
      </c>
      <c r="AQ60" s="72" t="s">
        <v>169</v>
      </c>
      <c r="AV60" s="38">
        <f t="shared" si="39"/>
        <v>0</v>
      </c>
      <c r="AW60" s="38">
        <f t="shared" si="40"/>
        <v>0</v>
      </c>
      <c r="AX60" s="38">
        <f t="shared" si="41"/>
        <v>0</v>
      </c>
      <c r="AY60" s="72" t="s">
        <v>2099</v>
      </c>
      <c r="AZ60" s="72" t="s">
        <v>2050</v>
      </c>
      <c r="BA60" s="50" t="s">
        <v>2006</v>
      </c>
      <c r="BC60" s="38">
        <f t="shared" si="42"/>
        <v>0</v>
      </c>
      <c r="BD60" s="38">
        <f t="shared" si="43"/>
        <v>0</v>
      </c>
      <c r="BE60" s="38">
        <v>0</v>
      </c>
      <c r="BF60" s="38">
        <f t="shared" si="44"/>
        <v>0</v>
      </c>
      <c r="BH60" s="38">
        <f t="shared" si="45"/>
        <v>0</v>
      </c>
      <c r="BI60" s="38">
        <f t="shared" si="46"/>
        <v>0</v>
      </c>
      <c r="BJ60" s="38">
        <f t="shared" si="47"/>
        <v>0</v>
      </c>
      <c r="BK60" s="38"/>
      <c r="BL60" s="38">
        <v>722</v>
      </c>
      <c r="BW60" s="38">
        <v>21</v>
      </c>
    </row>
    <row r="61" spans="1:75" ht="13.5" customHeight="1">
      <c r="A61" s="1" t="s">
        <v>372</v>
      </c>
      <c r="B61" s="2" t="s">
        <v>87</v>
      </c>
      <c r="C61" s="2" t="s">
        <v>2138</v>
      </c>
      <c r="D61" s="108" t="s">
        <v>2139</v>
      </c>
      <c r="E61" s="103"/>
      <c r="F61" s="2" t="s">
        <v>199</v>
      </c>
      <c r="G61" s="38">
        <f>'Stavební rozpočet'!G1183</f>
        <v>2</v>
      </c>
      <c r="H61" s="38">
        <f>'Stavební rozpočet'!H1183</f>
        <v>0</v>
      </c>
      <c r="I61" s="38">
        <f t="shared" si="24"/>
        <v>0</v>
      </c>
      <c r="J61" s="38">
        <f>'Stavební rozpočet'!J1183</f>
        <v>0</v>
      </c>
      <c r="K61" s="38">
        <f t="shared" si="25"/>
        <v>0</v>
      </c>
      <c r="L61" s="71" t="s">
        <v>207</v>
      </c>
      <c r="Z61" s="38">
        <f t="shared" si="26"/>
        <v>0</v>
      </c>
      <c r="AB61" s="38">
        <f t="shared" si="27"/>
        <v>0</v>
      </c>
      <c r="AC61" s="38">
        <f t="shared" si="28"/>
        <v>0</v>
      </c>
      <c r="AD61" s="38">
        <f t="shared" si="29"/>
        <v>0</v>
      </c>
      <c r="AE61" s="38">
        <f t="shared" si="30"/>
        <v>0</v>
      </c>
      <c r="AF61" s="38">
        <f t="shared" si="31"/>
        <v>0</v>
      </c>
      <c r="AG61" s="38">
        <f t="shared" si="32"/>
        <v>0</v>
      </c>
      <c r="AH61" s="38">
        <f t="shared" si="33"/>
        <v>0</v>
      </c>
      <c r="AI61" s="50" t="s">
        <v>87</v>
      </c>
      <c r="AJ61" s="38">
        <f t="shared" si="34"/>
        <v>0</v>
      </c>
      <c r="AK61" s="38">
        <f t="shared" si="35"/>
        <v>0</v>
      </c>
      <c r="AL61" s="38">
        <f t="shared" si="36"/>
        <v>0</v>
      </c>
      <c r="AN61" s="38">
        <v>21</v>
      </c>
      <c r="AO61" s="38">
        <f t="shared" si="37"/>
        <v>0</v>
      </c>
      <c r="AP61" s="38">
        <f t="shared" si="38"/>
        <v>0</v>
      </c>
      <c r="AQ61" s="72" t="s">
        <v>169</v>
      </c>
      <c r="AV61" s="38">
        <f t="shared" si="39"/>
        <v>0</v>
      </c>
      <c r="AW61" s="38">
        <f t="shared" si="40"/>
        <v>0</v>
      </c>
      <c r="AX61" s="38">
        <f t="shared" si="41"/>
        <v>0</v>
      </c>
      <c r="AY61" s="72" t="s">
        <v>2099</v>
      </c>
      <c r="AZ61" s="72" t="s">
        <v>2050</v>
      </c>
      <c r="BA61" s="50" t="s">
        <v>2006</v>
      </c>
      <c r="BC61" s="38">
        <f t="shared" si="42"/>
        <v>0</v>
      </c>
      <c r="BD61" s="38">
        <f t="shared" si="43"/>
        <v>0</v>
      </c>
      <c r="BE61" s="38">
        <v>0</v>
      </c>
      <c r="BF61" s="38">
        <f t="shared" si="44"/>
        <v>0</v>
      </c>
      <c r="BH61" s="38">
        <f t="shared" si="45"/>
        <v>0</v>
      </c>
      <c r="BI61" s="38">
        <f t="shared" si="46"/>
        <v>0</v>
      </c>
      <c r="BJ61" s="38">
        <f t="shared" si="47"/>
        <v>0</v>
      </c>
      <c r="BK61" s="38"/>
      <c r="BL61" s="38">
        <v>722</v>
      </c>
      <c r="BW61" s="38">
        <v>21</v>
      </c>
    </row>
    <row r="62" spans="1:75" ht="13.5" customHeight="1">
      <c r="A62" s="1" t="s">
        <v>375</v>
      </c>
      <c r="B62" s="2" t="s">
        <v>87</v>
      </c>
      <c r="C62" s="2" t="s">
        <v>2141</v>
      </c>
      <c r="D62" s="108" t="s">
        <v>2142</v>
      </c>
      <c r="E62" s="103"/>
      <c r="F62" s="2" t="s">
        <v>199</v>
      </c>
      <c r="G62" s="38">
        <f>'Stavební rozpočet'!G1184</f>
        <v>1</v>
      </c>
      <c r="H62" s="38">
        <f>'Stavební rozpočet'!H1184</f>
        <v>0</v>
      </c>
      <c r="I62" s="38">
        <f t="shared" si="24"/>
        <v>0</v>
      </c>
      <c r="J62" s="38">
        <f>'Stavební rozpočet'!J1184</f>
        <v>0</v>
      </c>
      <c r="K62" s="38">
        <f t="shared" si="25"/>
        <v>0</v>
      </c>
      <c r="L62" s="71" t="s">
        <v>207</v>
      </c>
      <c r="Z62" s="38">
        <f t="shared" si="26"/>
        <v>0</v>
      </c>
      <c r="AB62" s="38">
        <f t="shared" si="27"/>
        <v>0</v>
      </c>
      <c r="AC62" s="38">
        <f t="shared" si="28"/>
        <v>0</v>
      </c>
      <c r="AD62" s="38">
        <f t="shared" si="29"/>
        <v>0</v>
      </c>
      <c r="AE62" s="38">
        <f t="shared" si="30"/>
        <v>0</v>
      </c>
      <c r="AF62" s="38">
        <f t="shared" si="31"/>
        <v>0</v>
      </c>
      <c r="AG62" s="38">
        <f t="shared" si="32"/>
        <v>0</v>
      </c>
      <c r="AH62" s="38">
        <f t="shared" si="33"/>
        <v>0</v>
      </c>
      <c r="AI62" s="50" t="s">
        <v>87</v>
      </c>
      <c r="AJ62" s="38">
        <f t="shared" si="34"/>
        <v>0</v>
      </c>
      <c r="AK62" s="38">
        <f t="shared" si="35"/>
        <v>0</v>
      </c>
      <c r="AL62" s="38">
        <f t="shared" si="36"/>
        <v>0</v>
      </c>
      <c r="AN62" s="38">
        <v>21</v>
      </c>
      <c r="AO62" s="38">
        <f t="shared" si="37"/>
        <v>0</v>
      </c>
      <c r="AP62" s="38">
        <f t="shared" si="38"/>
        <v>0</v>
      </c>
      <c r="AQ62" s="72" t="s">
        <v>169</v>
      </c>
      <c r="AV62" s="38">
        <f t="shared" si="39"/>
        <v>0</v>
      </c>
      <c r="AW62" s="38">
        <f t="shared" si="40"/>
        <v>0</v>
      </c>
      <c r="AX62" s="38">
        <f t="shared" si="41"/>
        <v>0</v>
      </c>
      <c r="AY62" s="72" t="s">
        <v>2099</v>
      </c>
      <c r="AZ62" s="72" t="s">
        <v>2050</v>
      </c>
      <c r="BA62" s="50" t="s">
        <v>2006</v>
      </c>
      <c r="BC62" s="38">
        <f t="shared" si="42"/>
        <v>0</v>
      </c>
      <c r="BD62" s="38">
        <f t="shared" si="43"/>
        <v>0</v>
      </c>
      <c r="BE62" s="38">
        <v>0</v>
      </c>
      <c r="BF62" s="38">
        <f t="shared" si="44"/>
        <v>0</v>
      </c>
      <c r="BH62" s="38">
        <f t="shared" si="45"/>
        <v>0</v>
      </c>
      <c r="BI62" s="38">
        <f t="shared" si="46"/>
        <v>0</v>
      </c>
      <c r="BJ62" s="38">
        <f t="shared" si="47"/>
        <v>0</v>
      </c>
      <c r="BK62" s="38"/>
      <c r="BL62" s="38">
        <v>722</v>
      </c>
      <c r="BW62" s="38">
        <v>21</v>
      </c>
    </row>
    <row r="63" spans="1:75" ht="13.5" customHeight="1">
      <c r="A63" s="1" t="s">
        <v>379</v>
      </c>
      <c r="B63" s="2" t="s">
        <v>87</v>
      </c>
      <c r="C63" s="2" t="s">
        <v>2144</v>
      </c>
      <c r="D63" s="108" t="s">
        <v>2145</v>
      </c>
      <c r="E63" s="103"/>
      <c r="F63" s="2" t="s">
        <v>199</v>
      </c>
      <c r="G63" s="38">
        <f>'Stavební rozpočet'!G1185</f>
        <v>1</v>
      </c>
      <c r="H63" s="38">
        <f>'Stavební rozpočet'!H1185</f>
        <v>0</v>
      </c>
      <c r="I63" s="38">
        <f t="shared" si="24"/>
        <v>0</v>
      </c>
      <c r="J63" s="38">
        <f>'Stavební rozpočet'!J1185</f>
        <v>0</v>
      </c>
      <c r="K63" s="38">
        <f t="shared" si="25"/>
        <v>0</v>
      </c>
      <c r="L63" s="71" t="s">
        <v>207</v>
      </c>
      <c r="Z63" s="38">
        <f t="shared" si="26"/>
        <v>0</v>
      </c>
      <c r="AB63" s="38">
        <f t="shared" si="27"/>
        <v>0</v>
      </c>
      <c r="AC63" s="38">
        <f t="shared" si="28"/>
        <v>0</v>
      </c>
      <c r="AD63" s="38">
        <f t="shared" si="29"/>
        <v>0</v>
      </c>
      <c r="AE63" s="38">
        <f t="shared" si="30"/>
        <v>0</v>
      </c>
      <c r="AF63" s="38">
        <f t="shared" si="31"/>
        <v>0</v>
      </c>
      <c r="AG63" s="38">
        <f t="shared" si="32"/>
        <v>0</v>
      </c>
      <c r="AH63" s="38">
        <f t="shared" si="33"/>
        <v>0</v>
      </c>
      <c r="AI63" s="50" t="s">
        <v>87</v>
      </c>
      <c r="AJ63" s="38">
        <f t="shared" si="34"/>
        <v>0</v>
      </c>
      <c r="AK63" s="38">
        <f t="shared" si="35"/>
        <v>0</v>
      </c>
      <c r="AL63" s="38">
        <f t="shared" si="36"/>
        <v>0</v>
      </c>
      <c r="AN63" s="38">
        <v>21</v>
      </c>
      <c r="AO63" s="38">
        <f t="shared" si="37"/>
        <v>0</v>
      </c>
      <c r="AP63" s="38">
        <f t="shared" si="38"/>
        <v>0</v>
      </c>
      <c r="AQ63" s="72" t="s">
        <v>169</v>
      </c>
      <c r="AV63" s="38">
        <f t="shared" si="39"/>
        <v>0</v>
      </c>
      <c r="AW63" s="38">
        <f t="shared" si="40"/>
        <v>0</v>
      </c>
      <c r="AX63" s="38">
        <f t="shared" si="41"/>
        <v>0</v>
      </c>
      <c r="AY63" s="72" t="s">
        <v>2099</v>
      </c>
      <c r="AZ63" s="72" t="s">
        <v>2050</v>
      </c>
      <c r="BA63" s="50" t="s">
        <v>2006</v>
      </c>
      <c r="BC63" s="38">
        <f t="shared" si="42"/>
        <v>0</v>
      </c>
      <c r="BD63" s="38">
        <f t="shared" si="43"/>
        <v>0</v>
      </c>
      <c r="BE63" s="38">
        <v>0</v>
      </c>
      <c r="BF63" s="38">
        <f t="shared" si="44"/>
        <v>0</v>
      </c>
      <c r="BH63" s="38">
        <f t="shared" si="45"/>
        <v>0</v>
      </c>
      <c r="BI63" s="38">
        <f t="shared" si="46"/>
        <v>0</v>
      </c>
      <c r="BJ63" s="38">
        <f t="shared" si="47"/>
        <v>0</v>
      </c>
      <c r="BK63" s="38"/>
      <c r="BL63" s="38">
        <v>722</v>
      </c>
      <c r="BW63" s="38">
        <v>21</v>
      </c>
    </row>
    <row r="64" spans="1:75" ht="13.5" customHeight="1">
      <c r="A64" s="1" t="s">
        <v>382</v>
      </c>
      <c r="B64" s="2" t="s">
        <v>87</v>
      </c>
      <c r="C64" s="2" t="s">
        <v>2147</v>
      </c>
      <c r="D64" s="108" t="s">
        <v>2148</v>
      </c>
      <c r="E64" s="103"/>
      <c r="F64" s="2" t="s">
        <v>199</v>
      </c>
      <c r="G64" s="38">
        <f>'Stavební rozpočet'!G1186</f>
        <v>2</v>
      </c>
      <c r="H64" s="38">
        <f>'Stavební rozpočet'!H1186</f>
        <v>0</v>
      </c>
      <c r="I64" s="38">
        <f t="shared" si="24"/>
        <v>0</v>
      </c>
      <c r="J64" s="38">
        <f>'Stavební rozpočet'!J1186</f>
        <v>0</v>
      </c>
      <c r="K64" s="38">
        <f t="shared" si="25"/>
        <v>0</v>
      </c>
      <c r="L64" s="71" t="s">
        <v>207</v>
      </c>
      <c r="Z64" s="38">
        <f t="shared" si="26"/>
        <v>0</v>
      </c>
      <c r="AB64" s="38">
        <f t="shared" si="27"/>
        <v>0</v>
      </c>
      <c r="AC64" s="38">
        <f t="shared" si="28"/>
        <v>0</v>
      </c>
      <c r="AD64" s="38">
        <f t="shared" si="29"/>
        <v>0</v>
      </c>
      <c r="AE64" s="38">
        <f t="shared" si="30"/>
        <v>0</v>
      </c>
      <c r="AF64" s="38">
        <f t="shared" si="31"/>
        <v>0</v>
      </c>
      <c r="AG64" s="38">
        <f t="shared" si="32"/>
        <v>0</v>
      </c>
      <c r="AH64" s="38">
        <f t="shared" si="33"/>
        <v>0</v>
      </c>
      <c r="AI64" s="50" t="s">
        <v>87</v>
      </c>
      <c r="AJ64" s="38">
        <f t="shared" si="34"/>
        <v>0</v>
      </c>
      <c r="AK64" s="38">
        <f t="shared" si="35"/>
        <v>0</v>
      </c>
      <c r="AL64" s="38">
        <f t="shared" si="36"/>
        <v>0</v>
      </c>
      <c r="AN64" s="38">
        <v>21</v>
      </c>
      <c r="AO64" s="38">
        <f t="shared" si="37"/>
        <v>0</v>
      </c>
      <c r="AP64" s="38">
        <f t="shared" si="38"/>
        <v>0</v>
      </c>
      <c r="AQ64" s="72" t="s">
        <v>169</v>
      </c>
      <c r="AV64" s="38">
        <f t="shared" si="39"/>
        <v>0</v>
      </c>
      <c r="AW64" s="38">
        <f t="shared" si="40"/>
        <v>0</v>
      </c>
      <c r="AX64" s="38">
        <f t="shared" si="41"/>
        <v>0</v>
      </c>
      <c r="AY64" s="72" t="s">
        <v>2099</v>
      </c>
      <c r="AZ64" s="72" t="s">
        <v>2050</v>
      </c>
      <c r="BA64" s="50" t="s">
        <v>2006</v>
      </c>
      <c r="BC64" s="38">
        <f t="shared" si="42"/>
        <v>0</v>
      </c>
      <c r="BD64" s="38">
        <f t="shared" si="43"/>
        <v>0</v>
      </c>
      <c r="BE64" s="38">
        <v>0</v>
      </c>
      <c r="BF64" s="38">
        <f t="shared" si="44"/>
        <v>0</v>
      </c>
      <c r="BH64" s="38">
        <f t="shared" si="45"/>
        <v>0</v>
      </c>
      <c r="BI64" s="38">
        <f t="shared" si="46"/>
        <v>0</v>
      </c>
      <c r="BJ64" s="38">
        <f t="shared" si="47"/>
        <v>0</v>
      </c>
      <c r="BK64" s="38"/>
      <c r="BL64" s="38">
        <v>722</v>
      </c>
      <c r="BW64" s="38">
        <v>21</v>
      </c>
    </row>
    <row r="65" spans="1:75" ht="13.5" customHeight="1">
      <c r="A65" s="1" t="s">
        <v>387</v>
      </c>
      <c r="B65" s="2" t="s">
        <v>87</v>
      </c>
      <c r="C65" s="2" t="s">
        <v>2150</v>
      </c>
      <c r="D65" s="108" t="s">
        <v>2151</v>
      </c>
      <c r="E65" s="103"/>
      <c r="F65" s="2" t="s">
        <v>199</v>
      </c>
      <c r="G65" s="38">
        <f>'Stavební rozpočet'!G1187</f>
        <v>2</v>
      </c>
      <c r="H65" s="38">
        <f>'Stavební rozpočet'!H1187</f>
        <v>0</v>
      </c>
      <c r="I65" s="38">
        <f t="shared" si="24"/>
        <v>0</v>
      </c>
      <c r="J65" s="38">
        <f>'Stavební rozpočet'!J1187</f>
        <v>0</v>
      </c>
      <c r="K65" s="38">
        <f t="shared" si="25"/>
        <v>0</v>
      </c>
      <c r="L65" s="71" t="s">
        <v>207</v>
      </c>
      <c r="Z65" s="38">
        <f t="shared" si="26"/>
        <v>0</v>
      </c>
      <c r="AB65" s="38">
        <f t="shared" si="27"/>
        <v>0</v>
      </c>
      <c r="AC65" s="38">
        <f t="shared" si="28"/>
        <v>0</v>
      </c>
      <c r="AD65" s="38">
        <f t="shared" si="29"/>
        <v>0</v>
      </c>
      <c r="AE65" s="38">
        <f t="shared" si="30"/>
        <v>0</v>
      </c>
      <c r="AF65" s="38">
        <f t="shared" si="31"/>
        <v>0</v>
      </c>
      <c r="AG65" s="38">
        <f t="shared" si="32"/>
        <v>0</v>
      </c>
      <c r="AH65" s="38">
        <f t="shared" si="33"/>
        <v>0</v>
      </c>
      <c r="AI65" s="50" t="s">
        <v>87</v>
      </c>
      <c r="AJ65" s="38">
        <f t="shared" si="34"/>
        <v>0</v>
      </c>
      <c r="AK65" s="38">
        <f t="shared" si="35"/>
        <v>0</v>
      </c>
      <c r="AL65" s="38">
        <f t="shared" si="36"/>
        <v>0</v>
      </c>
      <c r="AN65" s="38">
        <v>21</v>
      </c>
      <c r="AO65" s="38">
        <f t="shared" si="37"/>
        <v>0</v>
      </c>
      <c r="AP65" s="38">
        <f t="shared" si="38"/>
        <v>0</v>
      </c>
      <c r="AQ65" s="72" t="s">
        <v>169</v>
      </c>
      <c r="AV65" s="38">
        <f t="shared" si="39"/>
        <v>0</v>
      </c>
      <c r="AW65" s="38">
        <f t="shared" si="40"/>
        <v>0</v>
      </c>
      <c r="AX65" s="38">
        <f t="shared" si="41"/>
        <v>0</v>
      </c>
      <c r="AY65" s="72" t="s">
        <v>2099</v>
      </c>
      <c r="AZ65" s="72" t="s">
        <v>2050</v>
      </c>
      <c r="BA65" s="50" t="s">
        <v>2006</v>
      </c>
      <c r="BC65" s="38">
        <f t="shared" si="42"/>
        <v>0</v>
      </c>
      <c r="BD65" s="38">
        <f t="shared" si="43"/>
        <v>0</v>
      </c>
      <c r="BE65" s="38">
        <v>0</v>
      </c>
      <c r="BF65" s="38">
        <f t="shared" si="44"/>
        <v>0</v>
      </c>
      <c r="BH65" s="38">
        <f t="shared" si="45"/>
        <v>0</v>
      </c>
      <c r="BI65" s="38">
        <f t="shared" si="46"/>
        <v>0</v>
      </c>
      <c r="BJ65" s="38">
        <f t="shared" si="47"/>
        <v>0</v>
      </c>
      <c r="BK65" s="38"/>
      <c r="BL65" s="38">
        <v>722</v>
      </c>
      <c r="BW65" s="38">
        <v>21</v>
      </c>
    </row>
    <row r="66" spans="1:75" ht="13.5" customHeight="1">
      <c r="A66" s="1" t="s">
        <v>392</v>
      </c>
      <c r="B66" s="2" t="s">
        <v>87</v>
      </c>
      <c r="C66" s="2" t="s">
        <v>2153</v>
      </c>
      <c r="D66" s="108" t="s">
        <v>2154</v>
      </c>
      <c r="E66" s="103"/>
      <c r="F66" s="2" t="s">
        <v>199</v>
      </c>
      <c r="G66" s="38">
        <f>'Stavební rozpočet'!G1188</f>
        <v>2</v>
      </c>
      <c r="H66" s="38">
        <f>'Stavební rozpočet'!H1188</f>
        <v>0</v>
      </c>
      <c r="I66" s="38">
        <f t="shared" si="24"/>
        <v>0</v>
      </c>
      <c r="J66" s="38">
        <f>'Stavební rozpočet'!J1188</f>
        <v>0</v>
      </c>
      <c r="K66" s="38">
        <f t="shared" si="25"/>
        <v>0</v>
      </c>
      <c r="L66" s="71" t="s">
        <v>207</v>
      </c>
      <c r="Z66" s="38">
        <f t="shared" si="26"/>
        <v>0</v>
      </c>
      <c r="AB66" s="38">
        <f t="shared" si="27"/>
        <v>0</v>
      </c>
      <c r="AC66" s="38">
        <f t="shared" si="28"/>
        <v>0</v>
      </c>
      <c r="AD66" s="38">
        <f t="shared" si="29"/>
        <v>0</v>
      </c>
      <c r="AE66" s="38">
        <f t="shared" si="30"/>
        <v>0</v>
      </c>
      <c r="AF66" s="38">
        <f t="shared" si="31"/>
        <v>0</v>
      </c>
      <c r="AG66" s="38">
        <f t="shared" si="32"/>
        <v>0</v>
      </c>
      <c r="AH66" s="38">
        <f t="shared" si="33"/>
        <v>0</v>
      </c>
      <c r="AI66" s="50" t="s">
        <v>87</v>
      </c>
      <c r="AJ66" s="38">
        <f t="shared" si="34"/>
        <v>0</v>
      </c>
      <c r="AK66" s="38">
        <f t="shared" si="35"/>
        <v>0</v>
      </c>
      <c r="AL66" s="38">
        <f t="shared" si="36"/>
        <v>0</v>
      </c>
      <c r="AN66" s="38">
        <v>21</v>
      </c>
      <c r="AO66" s="38">
        <f t="shared" si="37"/>
        <v>0</v>
      </c>
      <c r="AP66" s="38">
        <f t="shared" si="38"/>
        <v>0</v>
      </c>
      <c r="AQ66" s="72" t="s">
        <v>169</v>
      </c>
      <c r="AV66" s="38">
        <f t="shared" si="39"/>
        <v>0</v>
      </c>
      <c r="AW66" s="38">
        <f t="shared" si="40"/>
        <v>0</v>
      </c>
      <c r="AX66" s="38">
        <f t="shared" si="41"/>
        <v>0</v>
      </c>
      <c r="AY66" s="72" t="s">
        <v>2099</v>
      </c>
      <c r="AZ66" s="72" t="s">
        <v>2050</v>
      </c>
      <c r="BA66" s="50" t="s">
        <v>2006</v>
      </c>
      <c r="BC66" s="38">
        <f t="shared" si="42"/>
        <v>0</v>
      </c>
      <c r="BD66" s="38">
        <f t="shared" si="43"/>
        <v>0</v>
      </c>
      <c r="BE66" s="38">
        <v>0</v>
      </c>
      <c r="BF66" s="38">
        <f t="shared" si="44"/>
        <v>0</v>
      </c>
      <c r="BH66" s="38">
        <f t="shared" si="45"/>
        <v>0</v>
      </c>
      <c r="BI66" s="38">
        <f t="shared" si="46"/>
        <v>0</v>
      </c>
      <c r="BJ66" s="38">
        <f t="shared" si="47"/>
        <v>0</v>
      </c>
      <c r="BK66" s="38"/>
      <c r="BL66" s="38">
        <v>722</v>
      </c>
      <c r="BW66" s="38">
        <v>21</v>
      </c>
    </row>
    <row r="67" spans="1:75" ht="13.5" customHeight="1">
      <c r="A67" s="1" t="s">
        <v>401</v>
      </c>
      <c r="B67" s="2" t="s">
        <v>87</v>
      </c>
      <c r="C67" s="2" t="s">
        <v>2156</v>
      </c>
      <c r="D67" s="108" t="s">
        <v>2157</v>
      </c>
      <c r="E67" s="103"/>
      <c r="F67" s="2" t="s">
        <v>199</v>
      </c>
      <c r="G67" s="38">
        <f>'Stavební rozpočet'!G1189</f>
        <v>1</v>
      </c>
      <c r="H67" s="38">
        <f>'Stavební rozpočet'!H1189</f>
        <v>0</v>
      </c>
      <c r="I67" s="38">
        <f t="shared" si="24"/>
        <v>0</v>
      </c>
      <c r="J67" s="38">
        <f>'Stavební rozpočet'!J1189</f>
        <v>0</v>
      </c>
      <c r="K67" s="38">
        <f t="shared" si="25"/>
        <v>0</v>
      </c>
      <c r="L67" s="71" t="s">
        <v>207</v>
      </c>
      <c r="Z67" s="38">
        <f t="shared" si="26"/>
        <v>0</v>
      </c>
      <c r="AB67" s="38">
        <f t="shared" si="27"/>
        <v>0</v>
      </c>
      <c r="AC67" s="38">
        <f t="shared" si="28"/>
        <v>0</v>
      </c>
      <c r="AD67" s="38">
        <f t="shared" si="29"/>
        <v>0</v>
      </c>
      <c r="AE67" s="38">
        <f t="shared" si="30"/>
        <v>0</v>
      </c>
      <c r="AF67" s="38">
        <f t="shared" si="31"/>
        <v>0</v>
      </c>
      <c r="AG67" s="38">
        <f t="shared" si="32"/>
        <v>0</v>
      </c>
      <c r="AH67" s="38">
        <f t="shared" si="33"/>
        <v>0</v>
      </c>
      <c r="AI67" s="50" t="s">
        <v>87</v>
      </c>
      <c r="AJ67" s="38">
        <f t="shared" si="34"/>
        <v>0</v>
      </c>
      <c r="AK67" s="38">
        <f t="shared" si="35"/>
        <v>0</v>
      </c>
      <c r="AL67" s="38">
        <f t="shared" si="36"/>
        <v>0</v>
      </c>
      <c r="AN67" s="38">
        <v>21</v>
      </c>
      <c r="AO67" s="38">
        <f t="shared" si="37"/>
        <v>0</v>
      </c>
      <c r="AP67" s="38">
        <f t="shared" si="38"/>
        <v>0</v>
      </c>
      <c r="AQ67" s="72" t="s">
        <v>169</v>
      </c>
      <c r="AV67" s="38">
        <f t="shared" si="39"/>
        <v>0</v>
      </c>
      <c r="AW67" s="38">
        <f t="shared" si="40"/>
        <v>0</v>
      </c>
      <c r="AX67" s="38">
        <f t="shared" si="41"/>
        <v>0</v>
      </c>
      <c r="AY67" s="72" t="s">
        <v>2099</v>
      </c>
      <c r="AZ67" s="72" t="s">
        <v>2050</v>
      </c>
      <c r="BA67" s="50" t="s">
        <v>2006</v>
      </c>
      <c r="BC67" s="38">
        <f t="shared" si="42"/>
        <v>0</v>
      </c>
      <c r="BD67" s="38">
        <f t="shared" si="43"/>
        <v>0</v>
      </c>
      <c r="BE67" s="38">
        <v>0</v>
      </c>
      <c r="BF67" s="38">
        <f t="shared" si="44"/>
        <v>0</v>
      </c>
      <c r="BH67" s="38">
        <f t="shared" si="45"/>
        <v>0</v>
      </c>
      <c r="BI67" s="38">
        <f t="shared" si="46"/>
        <v>0</v>
      </c>
      <c r="BJ67" s="38">
        <f t="shared" si="47"/>
        <v>0</v>
      </c>
      <c r="BK67" s="38"/>
      <c r="BL67" s="38">
        <v>722</v>
      </c>
      <c r="BW67" s="38">
        <v>21</v>
      </c>
    </row>
    <row r="68" spans="1:75" ht="13.5" customHeight="1">
      <c r="A68" s="1" t="s">
        <v>406</v>
      </c>
      <c r="B68" s="2" t="s">
        <v>87</v>
      </c>
      <c r="C68" s="2" t="s">
        <v>2159</v>
      </c>
      <c r="D68" s="108" t="s">
        <v>2160</v>
      </c>
      <c r="E68" s="103"/>
      <c r="F68" s="2" t="s">
        <v>1593</v>
      </c>
      <c r="G68" s="38">
        <f>'Stavební rozpočet'!G1190</f>
        <v>3</v>
      </c>
      <c r="H68" s="38">
        <f>'Stavební rozpočet'!H1190</f>
        <v>0</v>
      </c>
      <c r="I68" s="38">
        <f t="shared" si="24"/>
        <v>0</v>
      </c>
      <c r="J68" s="38">
        <f>'Stavební rozpočet'!J1190</f>
        <v>0</v>
      </c>
      <c r="K68" s="38">
        <f t="shared" si="25"/>
        <v>0</v>
      </c>
      <c r="L68" s="71" t="s">
        <v>207</v>
      </c>
      <c r="Z68" s="38">
        <f t="shared" si="26"/>
        <v>0</v>
      </c>
      <c r="AB68" s="38">
        <f t="shared" si="27"/>
        <v>0</v>
      </c>
      <c r="AC68" s="38">
        <f t="shared" si="28"/>
        <v>0</v>
      </c>
      <c r="AD68" s="38">
        <f t="shared" si="29"/>
        <v>0</v>
      </c>
      <c r="AE68" s="38">
        <f t="shared" si="30"/>
        <v>0</v>
      </c>
      <c r="AF68" s="38">
        <f t="shared" si="31"/>
        <v>0</v>
      </c>
      <c r="AG68" s="38">
        <f t="shared" si="32"/>
        <v>0</v>
      </c>
      <c r="AH68" s="38">
        <f t="shared" si="33"/>
        <v>0</v>
      </c>
      <c r="AI68" s="50" t="s">
        <v>87</v>
      </c>
      <c r="AJ68" s="38">
        <f t="shared" si="34"/>
        <v>0</v>
      </c>
      <c r="AK68" s="38">
        <f t="shared" si="35"/>
        <v>0</v>
      </c>
      <c r="AL68" s="38">
        <f t="shared" si="36"/>
        <v>0</v>
      </c>
      <c r="AN68" s="38">
        <v>21</v>
      </c>
      <c r="AO68" s="38">
        <f t="shared" si="37"/>
        <v>0</v>
      </c>
      <c r="AP68" s="38">
        <f t="shared" si="38"/>
        <v>0</v>
      </c>
      <c r="AQ68" s="72" t="s">
        <v>169</v>
      </c>
      <c r="AV68" s="38">
        <f t="shared" si="39"/>
        <v>0</v>
      </c>
      <c r="AW68" s="38">
        <f t="shared" si="40"/>
        <v>0</v>
      </c>
      <c r="AX68" s="38">
        <f t="shared" si="41"/>
        <v>0</v>
      </c>
      <c r="AY68" s="72" t="s">
        <v>2099</v>
      </c>
      <c r="AZ68" s="72" t="s">
        <v>2050</v>
      </c>
      <c r="BA68" s="50" t="s">
        <v>2006</v>
      </c>
      <c r="BC68" s="38">
        <f t="shared" si="42"/>
        <v>0</v>
      </c>
      <c r="BD68" s="38">
        <f t="shared" si="43"/>
        <v>0</v>
      </c>
      <c r="BE68" s="38">
        <v>0</v>
      </c>
      <c r="BF68" s="38">
        <f t="shared" si="44"/>
        <v>0</v>
      </c>
      <c r="BH68" s="38">
        <f t="shared" si="45"/>
        <v>0</v>
      </c>
      <c r="BI68" s="38">
        <f t="shared" si="46"/>
        <v>0</v>
      </c>
      <c r="BJ68" s="38">
        <f t="shared" si="47"/>
        <v>0</v>
      </c>
      <c r="BK68" s="38"/>
      <c r="BL68" s="38">
        <v>722</v>
      </c>
      <c r="BW68" s="38">
        <v>21</v>
      </c>
    </row>
    <row r="69" spans="1:75" ht="13.5" customHeight="1">
      <c r="A69" s="1" t="s">
        <v>412</v>
      </c>
      <c r="B69" s="2" t="s">
        <v>87</v>
      </c>
      <c r="C69" s="2" t="s">
        <v>2162</v>
      </c>
      <c r="D69" s="108" t="s">
        <v>2163</v>
      </c>
      <c r="E69" s="103"/>
      <c r="F69" s="2" t="s">
        <v>214</v>
      </c>
      <c r="G69" s="38">
        <f>'Stavební rozpočet'!G1191</f>
        <v>225</v>
      </c>
      <c r="H69" s="38">
        <f>'Stavební rozpočet'!H1191</f>
        <v>0</v>
      </c>
      <c r="I69" s="38">
        <f t="shared" si="24"/>
        <v>0</v>
      </c>
      <c r="J69" s="38">
        <f>'Stavební rozpočet'!J1191</f>
        <v>0</v>
      </c>
      <c r="K69" s="38">
        <f t="shared" si="25"/>
        <v>0</v>
      </c>
      <c r="L69" s="71" t="s">
        <v>207</v>
      </c>
      <c r="Z69" s="38">
        <f t="shared" si="26"/>
        <v>0</v>
      </c>
      <c r="AB69" s="38">
        <f t="shared" si="27"/>
        <v>0</v>
      </c>
      <c r="AC69" s="38">
        <f t="shared" si="28"/>
        <v>0</v>
      </c>
      <c r="AD69" s="38">
        <f t="shared" si="29"/>
        <v>0</v>
      </c>
      <c r="AE69" s="38">
        <f t="shared" si="30"/>
        <v>0</v>
      </c>
      <c r="AF69" s="38">
        <f t="shared" si="31"/>
        <v>0</v>
      </c>
      <c r="AG69" s="38">
        <f t="shared" si="32"/>
        <v>0</v>
      </c>
      <c r="AH69" s="38">
        <f t="shared" si="33"/>
        <v>0</v>
      </c>
      <c r="AI69" s="50" t="s">
        <v>87</v>
      </c>
      <c r="AJ69" s="38">
        <f t="shared" si="34"/>
        <v>0</v>
      </c>
      <c r="AK69" s="38">
        <f t="shared" si="35"/>
        <v>0</v>
      </c>
      <c r="AL69" s="38">
        <f t="shared" si="36"/>
        <v>0</v>
      </c>
      <c r="AN69" s="38">
        <v>21</v>
      </c>
      <c r="AO69" s="38">
        <f t="shared" si="37"/>
        <v>0</v>
      </c>
      <c r="AP69" s="38">
        <f t="shared" si="38"/>
        <v>0</v>
      </c>
      <c r="AQ69" s="72" t="s">
        <v>169</v>
      </c>
      <c r="AV69" s="38">
        <f t="shared" si="39"/>
        <v>0</v>
      </c>
      <c r="AW69" s="38">
        <f t="shared" si="40"/>
        <v>0</v>
      </c>
      <c r="AX69" s="38">
        <f t="shared" si="41"/>
        <v>0</v>
      </c>
      <c r="AY69" s="72" t="s">
        <v>2099</v>
      </c>
      <c r="AZ69" s="72" t="s">
        <v>2050</v>
      </c>
      <c r="BA69" s="50" t="s">
        <v>2006</v>
      </c>
      <c r="BC69" s="38">
        <f t="shared" si="42"/>
        <v>0</v>
      </c>
      <c r="BD69" s="38">
        <f t="shared" si="43"/>
        <v>0</v>
      </c>
      <c r="BE69" s="38">
        <v>0</v>
      </c>
      <c r="BF69" s="38">
        <f t="shared" si="44"/>
        <v>0</v>
      </c>
      <c r="BH69" s="38">
        <f t="shared" si="45"/>
        <v>0</v>
      </c>
      <c r="BI69" s="38">
        <f t="shared" si="46"/>
        <v>0</v>
      </c>
      <c r="BJ69" s="38">
        <f t="shared" si="47"/>
        <v>0</v>
      </c>
      <c r="BK69" s="38"/>
      <c r="BL69" s="38">
        <v>722</v>
      </c>
      <c r="BW69" s="38">
        <v>21</v>
      </c>
    </row>
    <row r="70" spans="1:75" ht="13.5" customHeight="1">
      <c r="A70" s="1" t="s">
        <v>422</v>
      </c>
      <c r="B70" s="2" t="s">
        <v>87</v>
      </c>
      <c r="C70" s="2" t="s">
        <v>2165</v>
      </c>
      <c r="D70" s="108" t="s">
        <v>2166</v>
      </c>
      <c r="E70" s="103"/>
      <c r="F70" s="2" t="s">
        <v>214</v>
      </c>
      <c r="G70" s="38">
        <f>'Stavební rozpočet'!G1192</f>
        <v>225</v>
      </c>
      <c r="H70" s="38">
        <f>'Stavební rozpočet'!H1192</f>
        <v>0</v>
      </c>
      <c r="I70" s="38">
        <f t="shared" si="24"/>
        <v>0</v>
      </c>
      <c r="J70" s="38">
        <f>'Stavební rozpočet'!J1192</f>
        <v>0</v>
      </c>
      <c r="K70" s="38">
        <f t="shared" si="25"/>
        <v>0</v>
      </c>
      <c r="L70" s="71" t="s">
        <v>207</v>
      </c>
      <c r="Z70" s="38">
        <f t="shared" si="26"/>
        <v>0</v>
      </c>
      <c r="AB70" s="38">
        <f t="shared" si="27"/>
        <v>0</v>
      </c>
      <c r="AC70" s="38">
        <f t="shared" si="28"/>
        <v>0</v>
      </c>
      <c r="AD70" s="38">
        <f t="shared" si="29"/>
        <v>0</v>
      </c>
      <c r="AE70" s="38">
        <f t="shared" si="30"/>
        <v>0</v>
      </c>
      <c r="AF70" s="38">
        <f t="shared" si="31"/>
        <v>0</v>
      </c>
      <c r="AG70" s="38">
        <f t="shared" si="32"/>
        <v>0</v>
      </c>
      <c r="AH70" s="38">
        <f t="shared" si="33"/>
        <v>0</v>
      </c>
      <c r="AI70" s="50" t="s">
        <v>87</v>
      </c>
      <c r="AJ70" s="38">
        <f t="shared" si="34"/>
        <v>0</v>
      </c>
      <c r="AK70" s="38">
        <f t="shared" si="35"/>
        <v>0</v>
      </c>
      <c r="AL70" s="38">
        <f t="shared" si="36"/>
        <v>0</v>
      </c>
      <c r="AN70" s="38">
        <v>21</v>
      </c>
      <c r="AO70" s="38">
        <f t="shared" si="37"/>
        <v>0</v>
      </c>
      <c r="AP70" s="38">
        <f t="shared" si="38"/>
        <v>0</v>
      </c>
      <c r="AQ70" s="72" t="s">
        <v>169</v>
      </c>
      <c r="AV70" s="38">
        <f t="shared" si="39"/>
        <v>0</v>
      </c>
      <c r="AW70" s="38">
        <f t="shared" si="40"/>
        <v>0</v>
      </c>
      <c r="AX70" s="38">
        <f t="shared" si="41"/>
        <v>0</v>
      </c>
      <c r="AY70" s="72" t="s">
        <v>2099</v>
      </c>
      <c r="AZ70" s="72" t="s">
        <v>2050</v>
      </c>
      <c r="BA70" s="50" t="s">
        <v>2006</v>
      </c>
      <c r="BC70" s="38">
        <f t="shared" si="42"/>
        <v>0</v>
      </c>
      <c r="BD70" s="38">
        <f t="shared" si="43"/>
        <v>0</v>
      </c>
      <c r="BE70" s="38">
        <v>0</v>
      </c>
      <c r="BF70" s="38">
        <f t="shared" si="44"/>
        <v>0</v>
      </c>
      <c r="BH70" s="38">
        <f t="shared" si="45"/>
        <v>0</v>
      </c>
      <c r="BI70" s="38">
        <f t="shared" si="46"/>
        <v>0</v>
      </c>
      <c r="BJ70" s="38">
        <f t="shared" si="47"/>
        <v>0</v>
      </c>
      <c r="BK70" s="38"/>
      <c r="BL70" s="38">
        <v>722</v>
      </c>
      <c r="BW70" s="38">
        <v>21</v>
      </c>
    </row>
    <row r="71" spans="1:75" ht="13.5" customHeight="1">
      <c r="A71" s="1" t="s">
        <v>427</v>
      </c>
      <c r="B71" s="2" t="s">
        <v>87</v>
      </c>
      <c r="C71" s="2" t="s">
        <v>2168</v>
      </c>
      <c r="D71" s="108" t="s">
        <v>2169</v>
      </c>
      <c r="E71" s="103"/>
      <c r="F71" s="2" t="s">
        <v>189</v>
      </c>
      <c r="G71" s="38">
        <f>'Stavební rozpočet'!G1193</f>
        <v>0.81</v>
      </c>
      <c r="H71" s="38">
        <f>'Stavební rozpočet'!H1193</f>
        <v>0</v>
      </c>
      <c r="I71" s="38">
        <f t="shared" si="24"/>
        <v>0</v>
      </c>
      <c r="J71" s="38">
        <f>'Stavební rozpočet'!J1193</f>
        <v>0</v>
      </c>
      <c r="K71" s="38">
        <f t="shared" si="25"/>
        <v>0</v>
      </c>
      <c r="L71" s="71" t="s">
        <v>207</v>
      </c>
      <c r="Z71" s="38">
        <f t="shared" si="26"/>
        <v>0</v>
      </c>
      <c r="AB71" s="38">
        <f t="shared" si="27"/>
        <v>0</v>
      </c>
      <c r="AC71" s="38">
        <f t="shared" si="28"/>
        <v>0</v>
      </c>
      <c r="AD71" s="38">
        <f t="shared" si="29"/>
        <v>0</v>
      </c>
      <c r="AE71" s="38">
        <f t="shared" si="30"/>
        <v>0</v>
      </c>
      <c r="AF71" s="38">
        <f t="shared" si="31"/>
        <v>0</v>
      </c>
      <c r="AG71" s="38">
        <f t="shared" si="32"/>
        <v>0</v>
      </c>
      <c r="AH71" s="38">
        <f t="shared" si="33"/>
        <v>0</v>
      </c>
      <c r="AI71" s="50" t="s">
        <v>87</v>
      </c>
      <c r="AJ71" s="38">
        <f t="shared" si="34"/>
        <v>0</v>
      </c>
      <c r="AK71" s="38">
        <f t="shared" si="35"/>
        <v>0</v>
      </c>
      <c r="AL71" s="38">
        <f t="shared" si="36"/>
        <v>0</v>
      </c>
      <c r="AN71" s="38">
        <v>21</v>
      </c>
      <c r="AO71" s="38">
        <f t="shared" si="37"/>
        <v>0</v>
      </c>
      <c r="AP71" s="38">
        <f t="shared" si="38"/>
        <v>0</v>
      </c>
      <c r="AQ71" s="72" t="s">
        <v>162</v>
      </c>
      <c r="AV71" s="38">
        <f t="shared" si="39"/>
        <v>0</v>
      </c>
      <c r="AW71" s="38">
        <f t="shared" si="40"/>
        <v>0</v>
      </c>
      <c r="AX71" s="38">
        <f t="shared" si="41"/>
        <v>0</v>
      </c>
      <c r="AY71" s="72" t="s">
        <v>2099</v>
      </c>
      <c r="AZ71" s="72" t="s">
        <v>2050</v>
      </c>
      <c r="BA71" s="50" t="s">
        <v>2006</v>
      </c>
      <c r="BC71" s="38">
        <f t="shared" si="42"/>
        <v>0</v>
      </c>
      <c r="BD71" s="38">
        <f t="shared" si="43"/>
        <v>0</v>
      </c>
      <c r="BE71" s="38">
        <v>0</v>
      </c>
      <c r="BF71" s="38">
        <f t="shared" si="44"/>
        <v>0</v>
      </c>
      <c r="BH71" s="38">
        <f t="shared" si="45"/>
        <v>0</v>
      </c>
      <c r="BI71" s="38">
        <f t="shared" si="46"/>
        <v>0</v>
      </c>
      <c r="BJ71" s="38">
        <f t="shared" si="47"/>
        <v>0</v>
      </c>
      <c r="BK71" s="38"/>
      <c r="BL71" s="38">
        <v>722</v>
      </c>
      <c r="BW71" s="38">
        <v>21</v>
      </c>
    </row>
    <row r="72" spans="1:47" ht="15">
      <c r="A72" s="65" t="s">
        <v>4</v>
      </c>
      <c r="B72" s="66" t="s">
        <v>87</v>
      </c>
      <c r="C72" s="66" t="s">
        <v>2170</v>
      </c>
      <c r="D72" s="192" t="s">
        <v>2171</v>
      </c>
      <c r="E72" s="193"/>
      <c r="F72" s="67" t="s">
        <v>78</v>
      </c>
      <c r="G72" s="67" t="s">
        <v>78</v>
      </c>
      <c r="H72" s="67" t="s">
        <v>78</v>
      </c>
      <c r="I72" s="44">
        <f>SUM(I73:I75)</f>
        <v>0</v>
      </c>
      <c r="J72" s="50" t="s">
        <v>4</v>
      </c>
      <c r="K72" s="44">
        <f>SUM(K73:K75)</f>
        <v>0</v>
      </c>
      <c r="L72" s="69" t="s">
        <v>4</v>
      </c>
      <c r="AI72" s="50" t="s">
        <v>87</v>
      </c>
      <c r="AS72" s="44">
        <f>SUM(AJ73:AJ75)</f>
        <v>0</v>
      </c>
      <c r="AT72" s="44">
        <f>SUM(AK73:AK75)</f>
        <v>0</v>
      </c>
      <c r="AU72" s="44">
        <f>SUM(AL73:AL75)</f>
        <v>0</v>
      </c>
    </row>
    <row r="73" spans="1:75" ht="13.5" customHeight="1">
      <c r="A73" s="1" t="s">
        <v>437</v>
      </c>
      <c r="B73" s="2" t="s">
        <v>87</v>
      </c>
      <c r="C73" s="2" t="s">
        <v>2173</v>
      </c>
      <c r="D73" s="108" t="s">
        <v>2174</v>
      </c>
      <c r="E73" s="103"/>
      <c r="F73" s="2" t="s">
        <v>214</v>
      </c>
      <c r="G73" s="38">
        <f>'Stavební rozpočet'!G1195</f>
        <v>4</v>
      </c>
      <c r="H73" s="38">
        <f>'Stavební rozpočet'!H1195</f>
        <v>0</v>
      </c>
      <c r="I73" s="38">
        <f>G73*H73</f>
        <v>0</v>
      </c>
      <c r="J73" s="38">
        <f>'Stavební rozpočet'!J1195</f>
        <v>0</v>
      </c>
      <c r="K73" s="38">
        <f>G73*J73</f>
        <v>0</v>
      </c>
      <c r="L73" s="71" t="s">
        <v>207</v>
      </c>
      <c r="Z73" s="38">
        <f>IF(AQ73="5",BJ73,0)</f>
        <v>0</v>
      </c>
      <c r="AB73" s="38">
        <f>IF(AQ73="1",BH73,0)</f>
        <v>0</v>
      </c>
      <c r="AC73" s="38">
        <f>IF(AQ73="1",BI73,0)</f>
        <v>0</v>
      </c>
      <c r="AD73" s="38">
        <f>IF(AQ73="7",BH73,0)</f>
        <v>0</v>
      </c>
      <c r="AE73" s="38">
        <f>IF(AQ73="7",BI73,0)</f>
        <v>0</v>
      </c>
      <c r="AF73" s="38">
        <f>IF(AQ73="2",BH73,0)</f>
        <v>0</v>
      </c>
      <c r="AG73" s="38">
        <f>IF(AQ73="2",BI73,0)</f>
        <v>0</v>
      </c>
      <c r="AH73" s="38">
        <f>IF(AQ73="0",BJ73,0)</f>
        <v>0</v>
      </c>
      <c r="AI73" s="50" t="s">
        <v>87</v>
      </c>
      <c r="AJ73" s="38">
        <f>IF(AN73=0,I73,0)</f>
        <v>0</v>
      </c>
      <c r="AK73" s="38">
        <f>IF(AN73=12,I73,0)</f>
        <v>0</v>
      </c>
      <c r="AL73" s="38">
        <f>IF(AN73=21,I73,0)</f>
        <v>0</v>
      </c>
      <c r="AN73" s="38">
        <v>21</v>
      </c>
      <c r="AO73" s="38">
        <f>H73*0</f>
        <v>0</v>
      </c>
      <c r="AP73" s="38">
        <f>H73*(1-0)</f>
        <v>0</v>
      </c>
      <c r="AQ73" s="72" t="s">
        <v>169</v>
      </c>
      <c r="AV73" s="38">
        <f>AW73+AX73</f>
        <v>0</v>
      </c>
      <c r="AW73" s="38">
        <f>G73*AO73</f>
        <v>0</v>
      </c>
      <c r="AX73" s="38">
        <f>G73*AP73</f>
        <v>0</v>
      </c>
      <c r="AY73" s="72" t="s">
        <v>2175</v>
      </c>
      <c r="AZ73" s="72" t="s">
        <v>2050</v>
      </c>
      <c r="BA73" s="50" t="s">
        <v>2006</v>
      </c>
      <c r="BC73" s="38">
        <f>AW73+AX73</f>
        <v>0</v>
      </c>
      <c r="BD73" s="38">
        <f>H73/(100-BE73)*100</f>
        <v>0</v>
      </c>
      <c r="BE73" s="38">
        <v>0</v>
      </c>
      <c r="BF73" s="38">
        <f>K73</f>
        <v>0</v>
      </c>
      <c r="BH73" s="38">
        <f>G73*AO73</f>
        <v>0</v>
      </c>
      <c r="BI73" s="38">
        <f>G73*AP73</f>
        <v>0</v>
      </c>
      <c r="BJ73" s="38">
        <f>G73*H73</f>
        <v>0</v>
      </c>
      <c r="BK73" s="38"/>
      <c r="BL73" s="38">
        <v>723</v>
      </c>
      <c r="BW73" s="38">
        <v>21</v>
      </c>
    </row>
    <row r="74" spans="1:75" ht="13.5" customHeight="1">
      <c r="A74" s="1" t="s">
        <v>441</v>
      </c>
      <c r="B74" s="2" t="s">
        <v>87</v>
      </c>
      <c r="C74" s="2" t="s">
        <v>2177</v>
      </c>
      <c r="D74" s="108" t="s">
        <v>2178</v>
      </c>
      <c r="E74" s="103"/>
      <c r="F74" s="2" t="s">
        <v>214</v>
      </c>
      <c r="G74" s="38">
        <f>'Stavební rozpočet'!G1196</f>
        <v>6</v>
      </c>
      <c r="H74" s="38">
        <f>'Stavební rozpočet'!H1196</f>
        <v>0</v>
      </c>
      <c r="I74" s="38">
        <f>G74*H74</f>
        <v>0</v>
      </c>
      <c r="J74" s="38">
        <f>'Stavební rozpočet'!J1196</f>
        <v>0</v>
      </c>
      <c r="K74" s="38">
        <f>G74*J74</f>
        <v>0</v>
      </c>
      <c r="L74" s="71" t="s">
        <v>207</v>
      </c>
      <c r="Z74" s="38">
        <f>IF(AQ74="5",BJ74,0)</f>
        <v>0</v>
      </c>
      <c r="AB74" s="38">
        <f>IF(AQ74="1",BH74,0)</f>
        <v>0</v>
      </c>
      <c r="AC74" s="38">
        <f>IF(AQ74="1",BI74,0)</f>
        <v>0</v>
      </c>
      <c r="AD74" s="38">
        <f>IF(AQ74="7",BH74,0)</f>
        <v>0</v>
      </c>
      <c r="AE74" s="38">
        <f>IF(AQ74="7",BI74,0)</f>
        <v>0</v>
      </c>
      <c r="AF74" s="38">
        <f>IF(AQ74="2",BH74,0)</f>
        <v>0</v>
      </c>
      <c r="AG74" s="38">
        <f>IF(AQ74="2",BI74,0)</f>
        <v>0</v>
      </c>
      <c r="AH74" s="38">
        <f>IF(AQ74="0",BJ74,0)</f>
        <v>0</v>
      </c>
      <c r="AI74" s="50" t="s">
        <v>87</v>
      </c>
      <c r="AJ74" s="38">
        <f>IF(AN74=0,I74,0)</f>
        <v>0</v>
      </c>
      <c r="AK74" s="38">
        <f>IF(AN74=12,I74,0)</f>
        <v>0</v>
      </c>
      <c r="AL74" s="38">
        <f>IF(AN74=21,I74,0)</f>
        <v>0</v>
      </c>
      <c r="AN74" s="38">
        <v>21</v>
      </c>
      <c r="AO74" s="38">
        <f>H74*0</f>
        <v>0</v>
      </c>
      <c r="AP74" s="38">
        <f>H74*(1-0)</f>
        <v>0</v>
      </c>
      <c r="AQ74" s="72" t="s">
        <v>169</v>
      </c>
      <c r="AV74" s="38">
        <f>AW74+AX74</f>
        <v>0</v>
      </c>
      <c r="AW74" s="38">
        <f>G74*AO74</f>
        <v>0</v>
      </c>
      <c r="AX74" s="38">
        <f>G74*AP74</f>
        <v>0</v>
      </c>
      <c r="AY74" s="72" t="s">
        <v>2175</v>
      </c>
      <c r="AZ74" s="72" t="s">
        <v>2050</v>
      </c>
      <c r="BA74" s="50" t="s">
        <v>2006</v>
      </c>
      <c r="BC74" s="38">
        <f>AW74+AX74</f>
        <v>0</v>
      </c>
      <c r="BD74" s="38">
        <f>H74/(100-BE74)*100</f>
        <v>0</v>
      </c>
      <c r="BE74" s="38">
        <v>0</v>
      </c>
      <c r="BF74" s="38">
        <f>K74</f>
        <v>0</v>
      </c>
      <c r="BH74" s="38">
        <f>G74*AO74</f>
        <v>0</v>
      </c>
      <c r="BI74" s="38">
        <f>G74*AP74</f>
        <v>0</v>
      </c>
      <c r="BJ74" s="38">
        <f>G74*H74</f>
        <v>0</v>
      </c>
      <c r="BK74" s="38"/>
      <c r="BL74" s="38">
        <v>723</v>
      </c>
      <c r="BW74" s="38">
        <v>21</v>
      </c>
    </row>
    <row r="75" spans="1:75" ht="13.5" customHeight="1">
      <c r="A75" s="1" t="s">
        <v>448</v>
      </c>
      <c r="B75" s="2" t="s">
        <v>87</v>
      </c>
      <c r="C75" s="2" t="s">
        <v>2180</v>
      </c>
      <c r="D75" s="108" t="s">
        <v>2181</v>
      </c>
      <c r="E75" s="103"/>
      <c r="F75" s="2" t="s">
        <v>214</v>
      </c>
      <c r="G75" s="38">
        <f>'Stavební rozpočet'!G1197</f>
        <v>12</v>
      </c>
      <c r="H75" s="38">
        <f>'Stavební rozpočet'!H1197</f>
        <v>0</v>
      </c>
      <c r="I75" s="38">
        <f>G75*H75</f>
        <v>0</v>
      </c>
      <c r="J75" s="38">
        <f>'Stavební rozpočet'!J1197</f>
        <v>0</v>
      </c>
      <c r="K75" s="38">
        <f>G75*J75</f>
        <v>0</v>
      </c>
      <c r="L75" s="71" t="s">
        <v>207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50" t="s">
        <v>87</v>
      </c>
      <c r="AJ75" s="38">
        <f>IF(AN75=0,I75,0)</f>
        <v>0</v>
      </c>
      <c r="AK75" s="38">
        <f>IF(AN75=12,I75,0)</f>
        <v>0</v>
      </c>
      <c r="AL75" s="38">
        <f>IF(AN75=21,I75,0)</f>
        <v>0</v>
      </c>
      <c r="AN75" s="38">
        <v>21</v>
      </c>
      <c r="AO75" s="38">
        <f>H75*0</f>
        <v>0</v>
      </c>
      <c r="AP75" s="38">
        <f>H75*(1-0)</f>
        <v>0</v>
      </c>
      <c r="AQ75" s="72" t="s">
        <v>169</v>
      </c>
      <c r="AV75" s="38">
        <f>AW75+AX75</f>
        <v>0</v>
      </c>
      <c r="AW75" s="38">
        <f>G75*AO75</f>
        <v>0</v>
      </c>
      <c r="AX75" s="38">
        <f>G75*AP75</f>
        <v>0</v>
      </c>
      <c r="AY75" s="72" t="s">
        <v>2175</v>
      </c>
      <c r="AZ75" s="72" t="s">
        <v>2050</v>
      </c>
      <c r="BA75" s="50" t="s">
        <v>2006</v>
      </c>
      <c r="BC75" s="38">
        <f>AW75+AX75</f>
        <v>0</v>
      </c>
      <c r="BD75" s="38">
        <f>H75/(100-BE75)*100</f>
        <v>0</v>
      </c>
      <c r="BE75" s="38">
        <v>0</v>
      </c>
      <c r="BF75" s="38">
        <f>K75</f>
        <v>0</v>
      </c>
      <c r="BH75" s="38">
        <f>G75*AO75</f>
        <v>0</v>
      </c>
      <c r="BI75" s="38">
        <f>G75*AP75</f>
        <v>0</v>
      </c>
      <c r="BJ75" s="38">
        <f>G75*H75</f>
        <v>0</v>
      </c>
      <c r="BK75" s="38"/>
      <c r="BL75" s="38">
        <v>723</v>
      </c>
      <c r="BW75" s="38">
        <v>21</v>
      </c>
    </row>
    <row r="76" spans="1:47" ht="15">
      <c r="A76" s="65" t="s">
        <v>4</v>
      </c>
      <c r="B76" s="66" t="s">
        <v>87</v>
      </c>
      <c r="C76" s="66" t="s">
        <v>2182</v>
      </c>
      <c r="D76" s="192" t="s">
        <v>2183</v>
      </c>
      <c r="E76" s="193"/>
      <c r="F76" s="67" t="s">
        <v>78</v>
      </c>
      <c r="G76" s="67" t="s">
        <v>78</v>
      </c>
      <c r="H76" s="67" t="s">
        <v>78</v>
      </c>
      <c r="I76" s="44">
        <f>SUM(I77:I93)</f>
        <v>0</v>
      </c>
      <c r="J76" s="50" t="s">
        <v>4</v>
      </c>
      <c r="K76" s="44">
        <f>SUM(K77:K93)</f>
        <v>0</v>
      </c>
      <c r="L76" s="69" t="s">
        <v>4</v>
      </c>
      <c r="AI76" s="50" t="s">
        <v>87</v>
      </c>
      <c r="AS76" s="44">
        <f>SUM(AJ77:AJ93)</f>
        <v>0</v>
      </c>
      <c r="AT76" s="44">
        <f>SUM(AK77:AK93)</f>
        <v>0</v>
      </c>
      <c r="AU76" s="44">
        <f>SUM(AL77:AL93)</f>
        <v>0</v>
      </c>
    </row>
    <row r="77" spans="1:75" ht="13.5" customHeight="1">
      <c r="A77" s="1" t="s">
        <v>455</v>
      </c>
      <c r="B77" s="2" t="s">
        <v>87</v>
      </c>
      <c r="C77" s="2" t="s">
        <v>2185</v>
      </c>
      <c r="D77" s="108" t="s">
        <v>2186</v>
      </c>
      <c r="E77" s="103"/>
      <c r="F77" s="2" t="s">
        <v>1593</v>
      </c>
      <c r="G77" s="38">
        <f>'Stavební rozpočet'!G1199</f>
        <v>5</v>
      </c>
      <c r="H77" s="38">
        <f>'Stavební rozpočet'!H1199</f>
        <v>0</v>
      </c>
      <c r="I77" s="38">
        <f aca="true" t="shared" si="48" ref="I77:I93">G77*H77</f>
        <v>0</v>
      </c>
      <c r="J77" s="38">
        <f>'Stavební rozpočet'!J1199</f>
        <v>0</v>
      </c>
      <c r="K77" s="38">
        <f aca="true" t="shared" si="49" ref="K77:K93">G77*J77</f>
        <v>0</v>
      </c>
      <c r="L77" s="71" t="s">
        <v>207</v>
      </c>
      <c r="Z77" s="38">
        <f aca="true" t="shared" si="50" ref="Z77:Z93">IF(AQ77="5",BJ77,0)</f>
        <v>0</v>
      </c>
      <c r="AB77" s="38">
        <f aca="true" t="shared" si="51" ref="AB77:AB93">IF(AQ77="1",BH77,0)</f>
        <v>0</v>
      </c>
      <c r="AC77" s="38">
        <f aca="true" t="shared" si="52" ref="AC77:AC93">IF(AQ77="1",BI77,0)</f>
        <v>0</v>
      </c>
      <c r="AD77" s="38">
        <f aca="true" t="shared" si="53" ref="AD77:AD93">IF(AQ77="7",BH77,0)</f>
        <v>0</v>
      </c>
      <c r="AE77" s="38">
        <f aca="true" t="shared" si="54" ref="AE77:AE93">IF(AQ77="7",BI77,0)</f>
        <v>0</v>
      </c>
      <c r="AF77" s="38">
        <f aca="true" t="shared" si="55" ref="AF77:AF93">IF(AQ77="2",BH77,0)</f>
        <v>0</v>
      </c>
      <c r="AG77" s="38">
        <f aca="true" t="shared" si="56" ref="AG77:AG93">IF(AQ77="2",BI77,0)</f>
        <v>0</v>
      </c>
      <c r="AH77" s="38">
        <f aca="true" t="shared" si="57" ref="AH77:AH93">IF(AQ77="0",BJ77,0)</f>
        <v>0</v>
      </c>
      <c r="AI77" s="50" t="s">
        <v>87</v>
      </c>
      <c r="AJ77" s="38">
        <f aca="true" t="shared" si="58" ref="AJ77:AJ93">IF(AN77=0,I77,0)</f>
        <v>0</v>
      </c>
      <c r="AK77" s="38">
        <f aca="true" t="shared" si="59" ref="AK77:AK93">IF(AN77=12,I77,0)</f>
        <v>0</v>
      </c>
      <c r="AL77" s="38">
        <f aca="true" t="shared" si="60" ref="AL77:AL93">IF(AN77=21,I77,0)</f>
        <v>0</v>
      </c>
      <c r="AN77" s="38">
        <v>21</v>
      </c>
      <c r="AO77" s="38">
        <f aca="true" t="shared" si="61" ref="AO77:AO93">H77*0</f>
        <v>0</v>
      </c>
      <c r="AP77" s="38">
        <f aca="true" t="shared" si="62" ref="AP77:AP93">H77*(1-0)</f>
        <v>0</v>
      </c>
      <c r="AQ77" s="72" t="s">
        <v>169</v>
      </c>
      <c r="AV77" s="38">
        <f aca="true" t="shared" si="63" ref="AV77:AV93">AW77+AX77</f>
        <v>0</v>
      </c>
      <c r="AW77" s="38">
        <f aca="true" t="shared" si="64" ref="AW77:AW93">G77*AO77</f>
        <v>0</v>
      </c>
      <c r="AX77" s="38">
        <f aca="true" t="shared" si="65" ref="AX77:AX93">G77*AP77</f>
        <v>0</v>
      </c>
      <c r="AY77" s="72" t="s">
        <v>2187</v>
      </c>
      <c r="AZ77" s="72" t="s">
        <v>2050</v>
      </c>
      <c r="BA77" s="50" t="s">
        <v>2006</v>
      </c>
      <c r="BC77" s="38">
        <f aca="true" t="shared" si="66" ref="BC77:BC93">AW77+AX77</f>
        <v>0</v>
      </c>
      <c r="BD77" s="38">
        <f aca="true" t="shared" si="67" ref="BD77:BD93">H77/(100-BE77)*100</f>
        <v>0</v>
      </c>
      <c r="BE77" s="38">
        <v>0</v>
      </c>
      <c r="BF77" s="38">
        <f aca="true" t="shared" si="68" ref="BF77:BF93">K77</f>
        <v>0</v>
      </c>
      <c r="BH77" s="38">
        <f aca="true" t="shared" si="69" ref="BH77:BH93">G77*AO77</f>
        <v>0</v>
      </c>
      <c r="BI77" s="38">
        <f aca="true" t="shared" si="70" ref="BI77:BI93">G77*AP77</f>
        <v>0</v>
      </c>
      <c r="BJ77" s="38">
        <f aca="true" t="shared" si="71" ref="BJ77:BJ93">G77*H77</f>
        <v>0</v>
      </c>
      <c r="BK77" s="38"/>
      <c r="BL77" s="38">
        <v>725</v>
      </c>
      <c r="BW77" s="38">
        <v>21</v>
      </c>
    </row>
    <row r="78" spans="1:75" ht="27" customHeight="1">
      <c r="A78" s="1" t="s">
        <v>459</v>
      </c>
      <c r="B78" s="2" t="s">
        <v>87</v>
      </c>
      <c r="C78" s="2" t="s">
        <v>2189</v>
      </c>
      <c r="D78" s="108" t="s">
        <v>2190</v>
      </c>
      <c r="E78" s="103"/>
      <c r="F78" s="2" t="s">
        <v>1593</v>
      </c>
      <c r="G78" s="38">
        <f>'Stavební rozpočet'!G1200</f>
        <v>1</v>
      </c>
      <c r="H78" s="38">
        <f>'Stavební rozpočet'!H1200</f>
        <v>0</v>
      </c>
      <c r="I78" s="38">
        <f t="shared" si="48"/>
        <v>0</v>
      </c>
      <c r="J78" s="38">
        <f>'Stavební rozpočet'!J1200</f>
        <v>0</v>
      </c>
      <c r="K78" s="38">
        <f t="shared" si="49"/>
        <v>0</v>
      </c>
      <c r="L78" s="71" t="s">
        <v>207</v>
      </c>
      <c r="Z78" s="38">
        <f t="shared" si="50"/>
        <v>0</v>
      </c>
      <c r="AB78" s="38">
        <f t="shared" si="51"/>
        <v>0</v>
      </c>
      <c r="AC78" s="38">
        <f t="shared" si="52"/>
        <v>0</v>
      </c>
      <c r="AD78" s="38">
        <f t="shared" si="53"/>
        <v>0</v>
      </c>
      <c r="AE78" s="38">
        <f t="shared" si="54"/>
        <v>0</v>
      </c>
      <c r="AF78" s="38">
        <f t="shared" si="55"/>
        <v>0</v>
      </c>
      <c r="AG78" s="38">
        <f t="shared" si="56"/>
        <v>0</v>
      </c>
      <c r="AH78" s="38">
        <f t="shared" si="57"/>
        <v>0</v>
      </c>
      <c r="AI78" s="50" t="s">
        <v>87</v>
      </c>
      <c r="AJ78" s="38">
        <f t="shared" si="58"/>
        <v>0</v>
      </c>
      <c r="AK78" s="38">
        <f t="shared" si="59"/>
        <v>0</v>
      </c>
      <c r="AL78" s="38">
        <f t="shared" si="60"/>
        <v>0</v>
      </c>
      <c r="AN78" s="38">
        <v>21</v>
      </c>
      <c r="AO78" s="38">
        <f t="shared" si="61"/>
        <v>0</v>
      </c>
      <c r="AP78" s="38">
        <f t="shared" si="62"/>
        <v>0</v>
      </c>
      <c r="AQ78" s="72" t="s">
        <v>169</v>
      </c>
      <c r="AV78" s="38">
        <f t="shared" si="63"/>
        <v>0</v>
      </c>
      <c r="AW78" s="38">
        <f t="shared" si="64"/>
        <v>0</v>
      </c>
      <c r="AX78" s="38">
        <f t="shared" si="65"/>
        <v>0</v>
      </c>
      <c r="AY78" s="72" t="s">
        <v>2187</v>
      </c>
      <c r="AZ78" s="72" t="s">
        <v>2050</v>
      </c>
      <c r="BA78" s="50" t="s">
        <v>2006</v>
      </c>
      <c r="BC78" s="38">
        <f t="shared" si="66"/>
        <v>0</v>
      </c>
      <c r="BD78" s="38">
        <f t="shared" si="67"/>
        <v>0</v>
      </c>
      <c r="BE78" s="38">
        <v>0</v>
      </c>
      <c r="BF78" s="38">
        <f t="shared" si="68"/>
        <v>0</v>
      </c>
      <c r="BH78" s="38">
        <f t="shared" si="69"/>
        <v>0</v>
      </c>
      <c r="BI78" s="38">
        <f t="shared" si="70"/>
        <v>0</v>
      </c>
      <c r="BJ78" s="38">
        <f t="shared" si="71"/>
        <v>0</v>
      </c>
      <c r="BK78" s="38"/>
      <c r="BL78" s="38">
        <v>725</v>
      </c>
      <c r="BW78" s="38">
        <v>21</v>
      </c>
    </row>
    <row r="79" spans="1:75" ht="13.5" customHeight="1">
      <c r="A79" s="1" t="s">
        <v>464</v>
      </c>
      <c r="B79" s="2" t="s">
        <v>87</v>
      </c>
      <c r="C79" s="2" t="s">
        <v>2192</v>
      </c>
      <c r="D79" s="108" t="s">
        <v>2193</v>
      </c>
      <c r="E79" s="103"/>
      <c r="F79" s="2" t="s">
        <v>1593</v>
      </c>
      <c r="G79" s="38">
        <f>'Stavební rozpočet'!G1201</f>
        <v>2</v>
      </c>
      <c r="H79" s="38">
        <f>'Stavební rozpočet'!H1201</f>
        <v>0</v>
      </c>
      <c r="I79" s="38">
        <f t="shared" si="48"/>
        <v>0</v>
      </c>
      <c r="J79" s="38">
        <f>'Stavební rozpočet'!J1201</f>
        <v>0</v>
      </c>
      <c r="K79" s="38">
        <f t="shared" si="49"/>
        <v>0</v>
      </c>
      <c r="L79" s="71" t="s">
        <v>207</v>
      </c>
      <c r="Z79" s="38">
        <f t="shared" si="50"/>
        <v>0</v>
      </c>
      <c r="AB79" s="38">
        <f t="shared" si="51"/>
        <v>0</v>
      </c>
      <c r="AC79" s="38">
        <f t="shared" si="52"/>
        <v>0</v>
      </c>
      <c r="AD79" s="38">
        <f t="shared" si="53"/>
        <v>0</v>
      </c>
      <c r="AE79" s="38">
        <f t="shared" si="54"/>
        <v>0</v>
      </c>
      <c r="AF79" s="38">
        <f t="shared" si="55"/>
        <v>0</v>
      </c>
      <c r="AG79" s="38">
        <f t="shared" si="56"/>
        <v>0</v>
      </c>
      <c r="AH79" s="38">
        <f t="shared" si="57"/>
        <v>0</v>
      </c>
      <c r="AI79" s="50" t="s">
        <v>87</v>
      </c>
      <c r="AJ79" s="38">
        <f t="shared" si="58"/>
        <v>0</v>
      </c>
      <c r="AK79" s="38">
        <f t="shared" si="59"/>
        <v>0</v>
      </c>
      <c r="AL79" s="38">
        <f t="shared" si="60"/>
        <v>0</v>
      </c>
      <c r="AN79" s="38">
        <v>21</v>
      </c>
      <c r="AO79" s="38">
        <f t="shared" si="61"/>
        <v>0</v>
      </c>
      <c r="AP79" s="38">
        <f t="shared" si="62"/>
        <v>0</v>
      </c>
      <c r="AQ79" s="72" t="s">
        <v>169</v>
      </c>
      <c r="AV79" s="38">
        <f t="shared" si="63"/>
        <v>0</v>
      </c>
      <c r="AW79" s="38">
        <f t="shared" si="64"/>
        <v>0</v>
      </c>
      <c r="AX79" s="38">
        <f t="shared" si="65"/>
        <v>0</v>
      </c>
      <c r="AY79" s="72" t="s">
        <v>2187</v>
      </c>
      <c r="AZ79" s="72" t="s">
        <v>2050</v>
      </c>
      <c r="BA79" s="50" t="s">
        <v>2006</v>
      </c>
      <c r="BC79" s="38">
        <f t="shared" si="66"/>
        <v>0</v>
      </c>
      <c r="BD79" s="38">
        <f t="shared" si="67"/>
        <v>0</v>
      </c>
      <c r="BE79" s="38">
        <v>0</v>
      </c>
      <c r="BF79" s="38">
        <f t="shared" si="68"/>
        <v>0</v>
      </c>
      <c r="BH79" s="38">
        <f t="shared" si="69"/>
        <v>0</v>
      </c>
      <c r="BI79" s="38">
        <f t="shared" si="70"/>
        <v>0</v>
      </c>
      <c r="BJ79" s="38">
        <f t="shared" si="71"/>
        <v>0</v>
      </c>
      <c r="BK79" s="38"/>
      <c r="BL79" s="38">
        <v>725</v>
      </c>
      <c r="BW79" s="38">
        <v>21</v>
      </c>
    </row>
    <row r="80" spans="1:75" ht="13.5" customHeight="1">
      <c r="A80" s="1" t="s">
        <v>468</v>
      </c>
      <c r="B80" s="2" t="s">
        <v>87</v>
      </c>
      <c r="C80" s="2" t="s">
        <v>2195</v>
      </c>
      <c r="D80" s="108" t="s">
        <v>2196</v>
      </c>
      <c r="E80" s="103"/>
      <c r="F80" s="2" t="s">
        <v>1593</v>
      </c>
      <c r="G80" s="38">
        <f>'Stavební rozpočet'!G1202</f>
        <v>1</v>
      </c>
      <c r="H80" s="38">
        <f>'Stavební rozpočet'!H1202</f>
        <v>0</v>
      </c>
      <c r="I80" s="38">
        <f t="shared" si="48"/>
        <v>0</v>
      </c>
      <c r="J80" s="38">
        <f>'Stavební rozpočet'!J1202</f>
        <v>0</v>
      </c>
      <c r="K80" s="38">
        <f t="shared" si="49"/>
        <v>0</v>
      </c>
      <c r="L80" s="71" t="s">
        <v>207</v>
      </c>
      <c r="Z80" s="38">
        <f t="shared" si="50"/>
        <v>0</v>
      </c>
      <c r="AB80" s="38">
        <f t="shared" si="51"/>
        <v>0</v>
      </c>
      <c r="AC80" s="38">
        <f t="shared" si="52"/>
        <v>0</v>
      </c>
      <c r="AD80" s="38">
        <f t="shared" si="53"/>
        <v>0</v>
      </c>
      <c r="AE80" s="38">
        <f t="shared" si="54"/>
        <v>0</v>
      </c>
      <c r="AF80" s="38">
        <f t="shared" si="55"/>
        <v>0</v>
      </c>
      <c r="AG80" s="38">
        <f t="shared" si="56"/>
        <v>0</v>
      </c>
      <c r="AH80" s="38">
        <f t="shared" si="57"/>
        <v>0</v>
      </c>
      <c r="AI80" s="50" t="s">
        <v>87</v>
      </c>
      <c r="AJ80" s="38">
        <f t="shared" si="58"/>
        <v>0</v>
      </c>
      <c r="AK80" s="38">
        <f t="shared" si="59"/>
        <v>0</v>
      </c>
      <c r="AL80" s="38">
        <f t="shared" si="60"/>
        <v>0</v>
      </c>
      <c r="AN80" s="38">
        <v>21</v>
      </c>
      <c r="AO80" s="38">
        <f t="shared" si="61"/>
        <v>0</v>
      </c>
      <c r="AP80" s="38">
        <f t="shared" si="62"/>
        <v>0</v>
      </c>
      <c r="AQ80" s="72" t="s">
        <v>169</v>
      </c>
      <c r="AV80" s="38">
        <f t="shared" si="63"/>
        <v>0</v>
      </c>
      <c r="AW80" s="38">
        <f t="shared" si="64"/>
        <v>0</v>
      </c>
      <c r="AX80" s="38">
        <f t="shared" si="65"/>
        <v>0</v>
      </c>
      <c r="AY80" s="72" t="s">
        <v>2187</v>
      </c>
      <c r="AZ80" s="72" t="s">
        <v>2050</v>
      </c>
      <c r="BA80" s="50" t="s">
        <v>2006</v>
      </c>
      <c r="BC80" s="38">
        <f t="shared" si="66"/>
        <v>0</v>
      </c>
      <c r="BD80" s="38">
        <f t="shared" si="67"/>
        <v>0</v>
      </c>
      <c r="BE80" s="38">
        <v>0</v>
      </c>
      <c r="BF80" s="38">
        <f t="shared" si="68"/>
        <v>0</v>
      </c>
      <c r="BH80" s="38">
        <f t="shared" si="69"/>
        <v>0</v>
      </c>
      <c r="BI80" s="38">
        <f t="shared" si="70"/>
        <v>0</v>
      </c>
      <c r="BJ80" s="38">
        <f t="shared" si="71"/>
        <v>0</v>
      </c>
      <c r="BK80" s="38"/>
      <c r="BL80" s="38">
        <v>725</v>
      </c>
      <c r="BW80" s="38">
        <v>21</v>
      </c>
    </row>
    <row r="81" spans="1:75" ht="13.5" customHeight="1">
      <c r="A81" s="1" t="s">
        <v>473</v>
      </c>
      <c r="B81" s="2" t="s">
        <v>87</v>
      </c>
      <c r="C81" s="2" t="s">
        <v>2198</v>
      </c>
      <c r="D81" s="108" t="s">
        <v>2199</v>
      </c>
      <c r="E81" s="103"/>
      <c r="F81" s="2" t="s">
        <v>1593</v>
      </c>
      <c r="G81" s="38">
        <f>'Stavební rozpočet'!G1203</f>
        <v>9</v>
      </c>
      <c r="H81" s="38">
        <f>'Stavební rozpočet'!H1203</f>
        <v>0</v>
      </c>
      <c r="I81" s="38">
        <f t="shared" si="48"/>
        <v>0</v>
      </c>
      <c r="J81" s="38">
        <f>'Stavební rozpočet'!J1203</f>
        <v>0</v>
      </c>
      <c r="K81" s="38">
        <f t="shared" si="49"/>
        <v>0</v>
      </c>
      <c r="L81" s="71" t="s">
        <v>207</v>
      </c>
      <c r="Z81" s="38">
        <f t="shared" si="50"/>
        <v>0</v>
      </c>
      <c r="AB81" s="38">
        <f t="shared" si="51"/>
        <v>0</v>
      </c>
      <c r="AC81" s="38">
        <f t="shared" si="52"/>
        <v>0</v>
      </c>
      <c r="AD81" s="38">
        <f t="shared" si="53"/>
        <v>0</v>
      </c>
      <c r="AE81" s="38">
        <f t="shared" si="54"/>
        <v>0</v>
      </c>
      <c r="AF81" s="38">
        <f t="shared" si="55"/>
        <v>0</v>
      </c>
      <c r="AG81" s="38">
        <f t="shared" si="56"/>
        <v>0</v>
      </c>
      <c r="AH81" s="38">
        <f t="shared" si="57"/>
        <v>0</v>
      </c>
      <c r="AI81" s="50" t="s">
        <v>87</v>
      </c>
      <c r="AJ81" s="38">
        <f t="shared" si="58"/>
        <v>0</v>
      </c>
      <c r="AK81" s="38">
        <f t="shared" si="59"/>
        <v>0</v>
      </c>
      <c r="AL81" s="38">
        <f t="shared" si="60"/>
        <v>0</v>
      </c>
      <c r="AN81" s="38">
        <v>21</v>
      </c>
      <c r="AO81" s="38">
        <f t="shared" si="61"/>
        <v>0</v>
      </c>
      <c r="AP81" s="38">
        <f t="shared" si="62"/>
        <v>0</v>
      </c>
      <c r="AQ81" s="72" t="s">
        <v>169</v>
      </c>
      <c r="AV81" s="38">
        <f t="shared" si="63"/>
        <v>0</v>
      </c>
      <c r="AW81" s="38">
        <f t="shared" si="64"/>
        <v>0</v>
      </c>
      <c r="AX81" s="38">
        <f t="shared" si="65"/>
        <v>0</v>
      </c>
      <c r="AY81" s="72" t="s">
        <v>2187</v>
      </c>
      <c r="AZ81" s="72" t="s">
        <v>2050</v>
      </c>
      <c r="BA81" s="50" t="s">
        <v>2006</v>
      </c>
      <c r="BC81" s="38">
        <f t="shared" si="66"/>
        <v>0</v>
      </c>
      <c r="BD81" s="38">
        <f t="shared" si="67"/>
        <v>0</v>
      </c>
      <c r="BE81" s="38">
        <v>0</v>
      </c>
      <c r="BF81" s="38">
        <f t="shared" si="68"/>
        <v>0</v>
      </c>
      <c r="BH81" s="38">
        <f t="shared" si="69"/>
        <v>0</v>
      </c>
      <c r="BI81" s="38">
        <f t="shared" si="70"/>
        <v>0</v>
      </c>
      <c r="BJ81" s="38">
        <f t="shared" si="71"/>
        <v>0</v>
      </c>
      <c r="BK81" s="38"/>
      <c r="BL81" s="38">
        <v>725</v>
      </c>
      <c r="BW81" s="38">
        <v>21</v>
      </c>
    </row>
    <row r="82" spans="1:75" ht="13.5" customHeight="1">
      <c r="A82" s="1" t="s">
        <v>481</v>
      </c>
      <c r="B82" s="2" t="s">
        <v>87</v>
      </c>
      <c r="C82" s="2" t="s">
        <v>2201</v>
      </c>
      <c r="D82" s="108" t="s">
        <v>2202</v>
      </c>
      <c r="E82" s="103"/>
      <c r="F82" s="2" t="s">
        <v>1593</v>
      </c>
      <c r="G82" s="38">
        <f>'Stavební rozpočet'!G1204</f>
        <v>1</v>
      </c>
      <c r="H82" s="38">
        <f>'Stavební rozpočet'!H1204</f>
        <v>0</v>
      </c>
      <c r="I82" s="38">
        <f t="shared" si="48"/>
        <v>0</v>
      </c>
      <c r="J82" s="38">
        <f>'Stavební rozpočet'!J1204</f>
        <v>0</v>
      </c>
      <c r="K82" s="38">
        <f t="shared" si="49"/>
        <v>0</v>
      </c>
      <c r="L82" s="71" t="s">
        <v>207</v>
      </c>
      <c r="Z82" s="38">
        <f t="shared" si="50"/>
        <v>0</v>
      </c>
      <c r="AB82" s="38">
        <f t="shared" si="51"/>
        <v>0</v>
      </c>
      <c r="AC82" s="38">
        <f t="shared" si="52"/>
        <v>0</v>
      </c>
      <c r="AD82" s="38">
        <f t="shared" si="53"/>
        <v>0</v>
      </c>
      <c r="AE82" s="38">
        <f t="shared" si="54"/>
        <v>0</v>
      </c>
      <c r="AF82" s="38">
        <f t="shared" si="55"/>
        <v>0</v>
      </c>
      <c r="AG82" s="38">
        <f t="shared" si="56"/>
        <v>0</v>
      </c>
      <c r="AH82" s="38">
        <f t="shared" si="57"/>
        <v>0</v>
      </c>
      <c r="AI82" s="50" t="s">
        <v>87</v>
      </c>
      <c r="AJ82" s="38">
        <f t="shared" si="58"/>
        <v>0</v>
      </c>
      <c r="AK82" s="38">
        <f t="shared" si="59"/>
        <v>0</v>
      </c>
      <c r="AL82" s="38">
        <f t="shared" si="60"/>
        <v>0</v>
      </c>
      <c r="AN82" s="38">
        <v>21</v>
      </c>
      <c r="AO82" s="38">
        <f t="shared" si="61"/>
        <v>0</v>
      </c>
      <c r="AP82" s="38">
        <f t="shared" si="62"/>
        <v>0</v>
      </c>
      <c r="AQ82" s="72" t="s">
        <v>169</v>
      </c>
      <c r="AV82" s="38">
        <f t="shared" si="63"/>
        <v>0</v>
      </c>
      <c r="AW82" s="38">
        <f t="shared" si="64"/>
        <v>0</v>
      </c>
      <c r="AX82" s="38">
        <f t="shared" si="65"/>
        <v>0</v>
      </c>
      <c r="AY82" s="72" t="s">
        <v>2187</v>
      </c>
      <c r="AZ82" s="72" t="s">
        <v>2050</v>
      </c>
      <c r="BA82" s="50" t="s">
        <v>2006</v>
      </c>
      <c r="BC82" s="38">
        <f t="shared" si="66"/>
        <v>0</v>
      </c>
      <c r="BD82" s="38">
        <f t="shared" si="67"/>
        <v>0</v>
      </c>
      <c r="BE82" s="38">
        <v>0</v>
      </c>
      <c r="BF82" s="38">
        <f t="shared" si="68"/>
        <v>0</v>
      </c>
      <c r="BH82" s="38">
        <f t="shared" si="69"/>
        <v>0</v>
      </c>
      <c r="BI82" s="38">
        <f t="shared" si="70"/>
        <v>0</v>
      </c>
      <c r="BJ82" s="38">
        <f t="shared" si="71"/>
        <v>0</v>
      </c>
      <c r="BK82" s="38"/>
      <c r="BL82" s="38">
        <v>725</v>
      </c>
      <c r="BW82" s="38">
        <v>21</v>
      </c>
    </row>
    <row r="83" spans="1:75" ht="13.5" customHeight="1">
      <c r="A83" s="1" t="s">
        <v>486</v>
      </c>
      <c r="B83" s="2" t="s">
        <v>87</v>
      </c>
      <c r="C83" s="2" t="s">
        <v>2204</v>
      </c>
      <c r="D83" s="108" t="s">
        <v>2205</v>
      </c>
      <c r="E83" s="103"/>
      <c r="F83" s="2" t="s">
        <v>1593</v>
      </c>
      <c r="G83" s="38">
        <f>'Stavební rozpočet'!G1205</f>
        <v>1</v>
      </c>
      <c r="H83" s="38">
        <f>'Stavební rozpočet'!H1205</f>
        <v>0</v>
      </c>
      <c r="I83" s="38">
        <f t="shared" si="48"/>
        <v>0</v>
      </c>
      <c r="J83" s="38">
        <f>'Stavební rozpočet'!J1205</f>
        <v>0</v>
      </c>
      <c r="K83" s="38">
        <f t="shared" si="49"/>
        <v>0</v>
      </c>
      <c r="L83" s="71" t="s">
        <v>207</v>
      </c>
      <c r="Z83" s="38">
        <f t="shared" si="50"/>
        <v>0</v>
      </c>
      <c r="AB83" s="38">
        <f t="shared" si="51"/>
        <v>0</v>
      </c>
      <c r="AC83" s="38">
        <f t="shared" si="52"/>
        <v>0</v>
      </c>
      <c r="AD83" s="38">
        <f t="shared" si="53"/>
        <v>0</v>
      </c>
      <c r="AE83" s="38">
        <f t="shared" si="54"/>
        <v>0</v>
      </c>
      <c r="AF83" s="38">
        <f t="shared" si="55"/>
        <v>0</v>
      </c>
      <c r="AG83" s="38">
        <f t="shared" si="56"/>
        <v>0</v>
      </c>
      <c r="AH83" s="38">
        <f t="shared" si="57"/>
        <v>0</v>
      </c>
      <c r="AI83" s="50" t="s">
        <v>87</v>
      </c>
      <c r="AJ83" s="38">
        <f t="shared" si="58"/>
        <v>0</v>
      </c>
      <c r="AK83" s="38">
        <f t="shared" si="59"/>
        <v>0</v>
      </c>
      <c r="AL83" s="38">
        <f t="shared" si="60"/>
        <v>0</v>
      </c>
      <c r="AN83" s="38">
        <v>21</v>
      </c>
      <c r="AO83" s="38">
        <f t="shared" si="61"/>
        <v>0</v>
      </c>
      <c r="AP83" s="38">
        <f t="shared" si="62"/>
        <v>0</v>
      </c>
      <c r="AQ83" s="72" t="s">
        <v>169</v>
      </c>
      <c r="AV83" s="38">
        <f t="shared" si="63"/>
        <v>0</v>
      </c>
      <c r="AW83" s="38">
        <f t="shared" si="64"/>
        <v>0</v>
      </c>
      <c r="AX83" s="38">
        <f t="shared" si="65"/>
        <v>0</v>
      </c>
      <c r="AY83" s="72" t="s">
        <v>2187</v>
      </c>
      <c r="AZ83" s="72" t="s">
        <v>2050</v>
      </c>
      <c r="BA83" s="50" t="s">
        <v>2006</v>
      </c>
      <c r="BC83" s="38">
        <f t="shared" si="66"/>
        <v>0</v>
      </c>
      <c r="BD83" s="38">
        <f t="shared" si="67"/>
        <v>0</v>
      </c>
      <c r="BE83" s="38">
        <v>0</v>
      </c>
      <c r="BF83" s="38">
        <f t="shared" si="68"/>
        <v>0</v>
      </c>
      <c r="BH83" s="38">
        <f t="shared" si="69"/>
        <v>0</v>
      </c>
      <c r="BI83" s="38">
        <f t="shared" si="70"/>
        <v>0</v>
      </c>
      <c r="BJ83" s="38">
        <f t="shared" si="71"/>
        <v>0</v>
      </c>
      <c r="BK83" s="38"/>
      <c r="BL83" s="38">
        <v>725</v>
      </c>
      <c r="BW83" s="38">
        <v>21</v>
      </c>
    </row>
    <row r="84" spans="1:75" ht="13.5" customHeight="1">
      <c r="A84" s="1" t="s">
        <v>491</v>
      </c>
      <c r="B84" s="2" t="s">
        <v>87</v>
      </c>
      <c r="C84" s="2" t="s">
        <v>2207</v>
      </c>
      <c r="D84" s="108" t="s">
        <v>2208</v>
      </c>
      <c r="E84" s="103"/>
      <c r="F84" s="2" t="s">
        <v>1593</v>
      </c>
      <c r="G84" s="38">
        <f>'Stavební rozpočet'!G1206</f>
        <v>1</v>
      </c>
      <c r="H84" s="38">
        <f>'Stavební rozpočet'!H1206</f>
        <v>0</v>
      </c>
      <c r="I84" s="38">
        <f t="shared" si="48"/>
        <v>0</v>
      </c>
      <c r="J84" s="38">
        <f>'Stavební rozpočet'!J1206</f>
        <v>0</v>
      </c>
      <c r="K84" s="38">
        <f t="shared" si="49"/>
        <v>0</v>
      </c>
      <c r="L84" s="71" t="s">
        <v>207</v>
      </c>
      <c r="Z84" s="38">
        <f t="shared" si="50"/>
        <v>0</v>
      </c>
      <c r="AB84" s="38">
        <f t="shared" si="51"/>
        <v>0</v>
      </c>
      <c r="AC84" s="38">
        <f t="shared" si="52"/>
        <v>0</v>
      </c>
      <c r="AD84" s="38">
        <f t="shared" si="53"/>
        <v>0</v>
      </c>
      <c r="AE84" s="38">
        <f t="shared" si="54"/>
        <v>0</v>
      </c>
      <c r="AF84" s="38">
        <f t="shared" si="55"/>
        <v>0</v>
      </c>
      <c r="AG84" s="38">
        <f t="shared" si="56"/>
        <v>0</v>
      </c>
      <c r="AH84" s="38">
        <f t="shared" si="57"/>
        <v>0</v>
      </c>
      <c r="AI84" s="50" t="s">
        <v>87</v>
      </c>
      <c r="AJ84" s="38">
        <f t="shared" si="58"/>
        <v>0</v>
      </c>
      <c r="AK84" s="38">
        <f t="shared" si="59"/>
        <v>0</v>
      </c>
      <c r="AL84" s="38">
        <f t="shared" si="60"/>
        <v>0</v>
      </c>
      <c r="AN84" s="38">
        <v>21</v>
      </c>
      <c r="AO84" s="38">
        <f t="shared" si="61"/>
        <v>0</v>
      </c>
      <c r="AP84" s="38">
        <f t="shared" si="62"/>
        <v>0</v>
      </c>
      <c r="AQ84" s="72" t="s">
        <v>169</v>
      </c>
      <c r="AV84" s="38">
        <f t="shared" si="63"/>
        <v>0</v>
      </c>
      <c r="AW84" s="38">
        <f t="shared" si="64"/>
        <v>0</v>
      </c>
      <c r="AX84" s="38">
        <f t="shared" si="65"/>
        <v>0</v>
      </c>
      <c r="AY84" s="72" t="s">
        <v>2187</v>
      </c>
      <c r="AZ84" s="72" t="s">
        <v>2050</v>
      </c>
      <c r="BA84" s="50" t="s">
        <v>2006</v>
      </c>
      <c r="BC84" s="38">
        <f t="shared" si="66"/>
        <v>0</v>
      </c>
      <c r="BD84" s="38">
        <f t="shared" si="67"/>
        <v>0</v>
      </c>
      <c r="BE84" s="38">
        <v>0</v>
      </c>
      <c r="BF84" s="38">
        <f t="shared" si="68"/>
        <v>0</v>
      </c>
      <c r="BH84" s="38">
        <f t="shared" si="69"/>
        <v>0</v>
      </c>
      <c r="BI84" s="38">
        <f t="shared" si="70"/>
        <v>0</v>
      </c>
      <c r="BJ84" s="38">
        <f t="shared" si="71"/>
        <v>0</v>
      </c>
      <c r="BK84" s="38"/>
      <c r="BL84" s="38">
        <v>725</v>
      </c>
      <c r="BW84" s="38">
        <v>21</v>
      </c>
    </row>
    <row r="85" spans="1:75" ht="13.5" customHeight="1">
      <c r="A85" s="1" t="s">
        <v>496</v>
      </c>
      <c r="B85" s="2" t="s">
        <v>87</v>
      </c>
      <c r="C85" s="2" t="s">
        <v>2210</v>
      </c>
      <c r="D85" s="108" t="s">
        <v>2211</v>
      </c>
      <c r="E85" s="103"/>
      <c r="F85" s="2" t="s">
        <v>1593</v>
      </c>
      <c r="G85" s="38">
        <f>'Stavební rozpočet'!G1207</f>
        <v>1</v>
      </c>
      <c r="H85" s="38">
        <f>'Stavební rozpočet'!H1207</f>
        <v>0</v>
      </c>
      <c r="I85" s="38">
        <f t="shared" si="48"/>
        <v>0</v>
      </c>
      <c r="J85" s="38">
        <f>'Stavební rozpočet'!J1207</f>
        <v>0</v>
      </c>
      <c r="K85" s="38">
        <f t="shared" si="49"/>
        <v>0</v>
      </c>
      <c r="L85" s="71" t="s">
        <v>207</v>
      </c>
      <c r="Z85" s="38">
        <f t="shared" si="50"/>
        <v>0</v>
      </c>
      <c r="AB85" s="38">
        <f t="shared" si="51"/>
        <v>0</v>
      </c>
      <c r="AC85" s="38">
        <f t="shared" si="52"/>
        <v>0</v>
      </c>
      <c r="AD85" s="38">
        <f t="shared" si="53"/>
        <v>0</v>
      </c>
      <c r="AE85" s="38">
        <f t="shared" si="54"/>
        <v>0</v>
      </c>
      <c r="AF85" s="38">
        <f t="shared" si="55"/>
        <v>0</v>
      </c>
      <c r="AG85" s="38">
        <f t="shared" si="56"/>
        <v>0</v>
      </c>
      <c r="AH85" s="38">
        <f t="shared" si="57"/>
        <v>0</v>
      </c>
      <c r="AI85" s="50" t="s">
        <v>87</v>
      </c>
      <c r="AJ85" s="38">
        <f t="shared" si="58"/>
        <v>0</v>
      </c>
      <c r="AK85" s="38">
        <f t="shared" si="59"/>
        <v>0</v>
      </c>
      <c r="AL85" s="38">
        <f t="shared" si="60"/>
        <v>0</v>
      </c>
      <c r="AN85" s="38">
        <v>21</v>
      </c>
      <c r="AO85" s="38">
        <f t="shared" si="61"/>
        <v>0</v>
      </c>
      <c r="AP85" s="38">
        <f t="shared" si="62"/>
        <v>0</v>
      </c>
      <c r="AQ85" s="72" t="s">
        <v>169</v>
      </c>
      <c r="AV85" s="38">
        <f t="shared" si="63"/>
        <v>0</v>
      </c>
      <c r="AW85" s="38">
        <f t="shared" si="64"/>
        <v>0</v>
      </c>
      <c r="AX85" s="38">
        <f t="shared" si="65"/>
        <v>0</v>
      </c>
      <c r="AY85" s="72" t="s">
        <v>2187</v>
      </c>
      <c r="AZ85" s="72" t="s">
        <v>2050</v>
      </c>
      <c r="BA85" s="50" t="s">
        <v>2006</v>
      </c>
      <c r="BC85" s="38">
        <f t="shared" si="66"/>
        <v>0</v>
      </c>
      <c r="BD85" s="38">
        <f t="shared" si="67"/>
        <v>0</v>
      </c>
      <c r="BE85" s="38">
        <v>0</v>
      </c>
      <c r="BF85" s="38">
        <f t="shared" si="68"/>
        <v>0</v>
      </c>
      <c r="BH85" s="38">
        <f t="shared" si="69"/>
        <v>0</v>
      </c>
      <c r="BI85" s="38">
        <f t="shared" si="70"/>
        <v>0</v>
      </c>
      <c r="BJ85" s="38">
        <f t="shared" si="71"/>
        <v>0</v>
      </c>
      <c r="BK85" s="38"/>
      <c r="BL85" s="38">
        <v>725</v>
      </c>
      <c r="BW85" s="38">
        <v>21</v>
      </c>
    </row>
    <row r="86" spans="1:75" ht="13.5" customHeight="1">
      <c r="A86" s="1" t="s">
        <v>499</v>
      </c>
      <c r="B86" s="2" t="s">
        <v>87</v>
      </c>
      <c r="C86" s="2" t="s">
        <v>2213</v>
      </c>
      <c r="D86" s="108" t="s">
        <v>2214</v>
      </c>
      <c r="E86" s="103"/>
      <c r="F86" s="2" t="s">
        <v>1593</v>
      </c>
      <c r="G86" s="38">
        <f>'Stavební rozpočet'!G1208</f>
        <v>1</v>
      </c>
      <c r="H86" s="38">
        <f>'Stavební rozpočet'!H1208</f>
        <v>0</v>
      </c>
      <c r="I86" s="38">
        <f t="shared" si="48"/>
        <v>0</v>
      </c>
      <c r="J86" s="38">
        <f>'Stavební rozpočet'!J1208</f>
        <v>0</v>
      </c>
      <c r="K86" s="38">
        <f t="shared" si="49"/>
        <v>0</v>
      </c>
      <c r="L86" s="71" t="s">
        <v>207</v>
      </c>
      <c r="Z86" s="38">
        <f t="shared" si="50"/>
        <v>0</v>
      </c>
      <c r="AB86" s="38">
        <f t="shared" si="51"/>
        <v>0</v>
      </c>
      <c r="AC86" s="38">
        <f t="shared" si="52"/>
        <v>0</v>
      </c>
      <c r="AD86" s="38">
        <f t="shared" si="53"/>
        <v>0</v>
      </c>
      <c r="AE86" s="38">
        <f t="shared" si="54"/>
        <v>0</v>
      </c>
      <c r="AF86" s="38">
        <f t="shared" si="55"/>
        <v>0</v>
      </c>
      <c r="AG86" s="38">
        <f t="shared" si="56"/>
        <v>0</v>
      </c>
      <c r="AH86" s="38">
        <f t="shared" si="57"/>
        <v>0</v>
      </c>
      <c r="AI86" s="50" t="s">
        <v>87</v>
      </c>
      <c r="AJ86" s="38">
        <f t="shared" si="58"/>
        <v>0</v>
      </c>
      <c r="AK86" s="38">
        <f t="shared" si="59"/>
        <v>0</v>
      </c>
      <c r="AL86" s="38">
        <f t="shared" si="60"/>
        <v>0</v>
      </c>
      <c r="AN86" s="38">
        <v>21</v>
      </c>
      <c r="AO86" s="38">
        <f t="shared" si="61"/>
        <v>0</v>
      </c>
      <c r="AP86" s="38">
        <f t="shared" si="62"/>
        <v>0</v>
      </c>
      <c r="AQ86" s="72" t="s">
        <v>169</v>
      </c>
      <c r="AV86" s="38">
        <f t="shared" si="63"/>
        <v>0</v>
      </c>
      <c r="AW86" s="38">
        <f t="shared" si="64"/>
        <v>0</v>
      </c>
      <c r="AX86" s="38">
        <f t="shared" si="65"/>
        <v>0</v>
      </c>
      <c r="AY86" s="72" t="s">
        <v>2187</v>
      </c>
      <c r="AZ86" s="72" t="s">
        <v>2050</v>
      </c>
      <c r="BA86" s="50" t="s">
        <v>2006</v>
      </c>
      <c r="BC86" s="38">
        <f t="shared" si="66"/>
        <v>0</v>
      </c>
      <c r="BD86" s="38">
        <f t="shared" si="67"/>
        <v>0</v>
      </c>
      <c r="BE86" s="38">
        <v>0</v>
      </c>
      <c r="BF86" s="38">
        <f t="shared" si="68"/>
        <v>0</v>
      </c>
      <c r="BH86" s="38">
        <f t="shared" si="69"/>
        <v>0</v>
      </c>
      <c r="BI86" s="38">
        <f t="shared" si="70"/>
        <v>0</v>
      </c>
      <c r="BJ86" s="38">
        <f t="shared" si="71"/>
        <v>0</v>
      </c>
      <c r="BK86" s="38"/>
      <c r="BL86" s="38">
        <v>725</v>
      </c>
      <c r="BW86" s="38">
        <v>21</v>
      </c>
    </row>
    <row r="87" spans="1:75" ht="13.5" customHeight="1">
      <c r="A87" s="1" t="s">
        <v>503</v>
      </c>
      <c r="B87" s="2" t="s">
        <v>87</v>
      </c>
      <c r="C87" s="2" t="s">
        <v>2216</v>
      </c>
      <c r="D87" s="108" t="s">
        <v>2217</v>
      </c>
      <c r="E87" s="103"/>
      <c r="F87" s="2" t="s">
        <v>1593</v>
      </c>
      <c r="G87" s="38">
        <f>'Stavební rozpočet'!G1209</f>
        <v>1</v>
      </c>
      <c r="H87" s="38">
        <f>'Stavební rozpočet'!H1209</f>
        <v>0</v>
      </c>
      <c r="I87" s="38">
        <f t="shared" si="48"/>
        <v>0</v>
      </c>
      <c r="J87" s="38">
        <f>'Stavební rozpočet'!J1209</f>
        <v>0</v>
      </c>
      <c r="K87" s="38">
        <f t="shared" si="49"/>
        <v>0</v>
      </c>
      <c r="L87" s="71" t="s">
        <v>207</v>
      </c>
      <c r="Z87" s="38">
        <f t="shared" si="50"/>
        <v>0</v>
      </c>
      <c r="AB87" s="38">
        <f t="shared" si="51"/>
        <v>0</v>
      </c>
      <c r="AC87" s="38">
        <f t="shared" si="52"/>
        <v>0</v>
      </c>
      <c r="AD87" s="38">
        <f t="shared" si="53"/>
        <v>0</v>
      </c>
      <c r="AE87" s="38">
        <f t="shared" si="54"/>
        <v>0</v>
      </c>
      <c r="AF87" s="38">
        <f t="shared" si="55"/>
        <v>0</v>
      </c>
      <c r="AG87" s="38">
        <f t="shared" si="56"/>
        <v>0</v>
      </c>
      <c r="AH87" s="38">
        <f t="shared" si="57"/>
        <v>0</v>
      </c>
      <c r="AI87" s="50" t="s">
        <v>87</v>
      </c>
      <c r="AJ87" s="38">
        <f t="shared" si="58"/>
        <v>0</v>
      </c>
      <c r="AK87" s="38">
        <f t="shared" si="59"/>
        <v>0</v>
      </c>
      <c r="AL87" s="38">
        <f t="shared" si="60"/>
        <v>0</v>
      </c>
      <c r="AN87" s="38">
        <v>21</v>
      </c>
      <c r="AO87" s="38">
        <f t="shared" si="61"/>
        <v>0</v>
      </c>
      <c r="AP87" s="38">
        <f t="shared" si="62"/>
        <v>0</v>
      </c>
      <c r="AQ87" s="72" t="s">
        <v>169</v>
      </c>
      <c r="AV87" s="38">
        <f t="shared" si="63"/>
        <v>0</v>
      </c>
      <c r="AW87" s="38">
        <f t="shared" si="64"/>
        <v>0</v>
      </c>
      <c r="AX87" s="38">
        <f t="shared" si="65"/>
        <v>0</v>
      </c>
      <c r="AY87" s="72" t="s">
        <v>2187</v>
      </c>
      <c r="AZ87" s="72" t="s">
        <v>2050</v>
      </c>
      <c r="BA87" s="50" t="s">
        <v>2006</v>
      </c>
      <c r="BC87" s="38">
        <f t="shared" si="66"/>
        <v>0</v>
      </c>
      <c r="BD87" s="38">
        <f t="shared" si="67"/>
        <v>0</v>
      </c>
      <c r="BE87" s="38">
        <v>0</v>
      </c>
      <c r="BF87" s="38">
        <f t="shared" si="68"/>
        <v>0</v>
      </c>
      <c r="BH87" s="38">
        <f t="shared" si="69"/>
        <v>0</v>
      </c>
      <c r="BI87" s="38">
        <f t="shared" si="70"/>
        <v>0</v>
      </c>
      <c r="BJ87" s="38">
        <f t="shared" si="71"/>
        <v>0</v>
      </c>
      <c r="BK87" s="38"/>
      <c r="BL87" s="38">
        <v>725</v>
      </c>
      <c r="BW87" s="38">
        <v>21</v>
      </c>
    </row>
    <row r="88" spans="1:75" ht="13.5" customHeight="1">
      <c r="A88" s="1" t="s">
        <v>507</v>
      </c>
      <c r="B88" s="2" t="s">
        <v>87</v>
      </c>
      <c r="C88" s="2" t="s">
        <v>2219</v>
      </c>
      <c r="D88" s="108" t="s">
        <v>2220</v>
      </c>
      <c r="E88" s="103"/>
      <c r="F88" s="2" t="s">
        <v>1593</v>
      </c>
      <c r="G88" s="38">
        <f>'Stavební rozpočet'!G1210</f>
        <v>1</v>
      </c>
      <c r="H88" s="38">
        <f>'Stavební rozpočet'!H1210</f>
        <v>0</v>
      </c>
      <c r="I88" s="38">
        <f t="shared" si="48"/>
        <v>0</v>
      </c>
      <c r="J88" s="38">
        <f>'Stavební rozpočet'!J1210</f>
        <v>0</v>
      </c>
      <c r="K88" s="38">
        <f t="shared" si="49"/>
        <v>0</v>
      </c>
      <c r="L88" s="71" t="s">
        <v>207</v>
      </c>
      <c r="Z88" s="38">
        <f t="shared" si="50"/>
        <v>0</v>
      </c>
      <c r="AB88" s="38">
        <f t="shared" si="51"/>
        <v>0</v>
      </c>
      <c r="AC88" s="38">
        <f t="shared" si="52"/>
        <v>0</v>
      </c>
      <c r="AD88" s="38">
        <f t="shared" si="53"/>
        <v>0</v>
      </c>
      <c r="AE88" s="38">
        <f t="shared" si="54"/>
        <v>0</v>
      </c>
      <c r="AF88" s="38">
        <f t="shared" si="55"/>
        <v>0</v>
      </c>
      <c r="AG88" s="38">
        <f t="shared" si="56"/>
        <v>0</v>
      </c>
      <c r="AH88" s="38">
        <f t="shared" si="57"/>
        <v>0</v>
      </c>
      <c r="AI88" s="50" t="s">
        <v>87</v>
      </c>
      <c r="AJ88" s="38">
        <f t="shared" si="58"/>
        <v>0</v>
      </c>
      <c r="AK88" s="38">
        <f t="shared" si="59"/>
        <v>0</v>
      </c>
      <c r="AL88" s="38">
        <f t="shared" si="60"/>
        <v>0</v>
      </c>
      <c r="AN88" s="38">
        <v>21</v>
      </c>
      <c r="AO88" s="38">
        <f t="shared" si="61"/>
        <v>0</v>
      </c>
      <c r="AP88" s="38">
        <f t="shared" si="62"/>
        <v>0</v>
      </c>
      <c r="AQ88" s="72" t="s">
        <v>169</v>
      </c>
      <c r="AV88" s="38">
        <f t="shared" si="63"/>
        <v>0</v>
      </c>
      <c r="AW88" s="38">
        <f t="shared" si="64"/>
        <v>0</v>
      </c>
      <c r="AX88" s="38">
        <f t="shared" si="65"/>
        <v>0</v>
      </c>
      <c r="AY88" s="72" t="s">
        <v>2187</v>
      </c>
      <c r="AZ88" s="72" t="s">
        <v>2050</v>
      </c>
      <c r="BA88" s="50" t="s">
        <v>2006</v>
      </c>
      <c r="BC88" s="38">
        <f t="shared" si="66"/>
        <v>0</v>
      </c>
      <c r="BD88" s="38">
        <f t="shared" si="67"/>
        <v>0</v>
      </c>
      <c r="BE88" s="38">
        <v>0</v>
      </c>
      <c r="BF88" s="38">
        <f t="shared" si="68"/>
        <v>0</v>
      </c>
      <c r="BH88" s="38">
        <f t="shared" si="69"/>
        <v>0</v>
      </c>
      <c r="BI88" s="38">
        <f t="shared" si="70"/>
        <v>0</v>
      </c>
      <c r="BJ88" s="38">
        <f t="shared" si="71"/>
        <v>0</v>
      </c>
      <c r="BK88" s="38"/>
      <c r="BL88" s="38">
        <v>725</v>
      </c>
      <c r="BW88" s="38">
        <v>21</v>
      </c>
    </row>
    <row r="89" spans="1:75" ht="13.5" customHeight="1">
      <c r="A89" s="1" t="s">
        <v>526</v>
      </c>
      <c r="B89" s="2" t="s">
        <v>87</v>
      </c>
      <c r="C89" s="2" t="s">
        <v>2222</v>
      </c>
      <c r="D89" s="108" t="s">
        <v>2223</v>
      </c>
      <c r="E89" s="103"/>
      <c r="F89" s="2" t="s">
        <v>1593</v>
      </c>
      <c r="G89" s="38">
        <f>'Stavební rozpočet'!G1211</f>
        <v>1</v>
      </c>
      <c r="H89" s="38">
        <f>'Stavební rozpočet'!H1211</f>
        <v>0</v>
      </c>
      <c r="I89" s="38">
        <f t="shared" si="48"/>
        <v>0</v>
      </c>
      <c r="J89" s="38">
        <f>'Stavební rozpočet'!J1211</f>
        <v>0</v>
      </c>
      <c r="K89" s="38">
        <f t="shared" si="49"/>
        <v>0</v>
      </c>
      <c r="L89" s="71" t="s">
        <v>207</v>
      </c>
      <c r="Z89" s="38">
        <f t="shared" si="50"/>
        <v>0</v>
      </c>
      <c r="AB89" s="38">
        <f t="shared" si="51"/>
        <v>0</v>
      </c>
      <c r="AC89" s="38">
        <f t="shared" si="52"/>
        <v>0</v>
      </c>
      <c r="AD89" s="38">
        <f t="shared" si="53"/>
        <v>0</v>
      </c>
      <c r="AE89" s="38">
        <f t="shared" si="54"/>
        <v>0</v>
      </c>
      <c r="AF89" s="38">
        <f t="shared" si="55"/>
        <v>0</v>
      </c>
      <c r="AG89" s="38">
        <f t="shared" si="56"/>
        <v>0</v>
      </c>
      <c r="AH89" s="38">
        <f t="shared" si="57"/>
        <v>0</v>
      </c>
      <c r="AI89" s="50" t="s">
        <v>87</v>
      </c>
      <c r="AJ89" s="38">
        <f t="shared" si="58"/>
        <v>0</v>
      </c>
      <c r="AK89" s="38">
        <f t="shared" si="59"/>
        <v>0</v>
      </c>
      <c r="AL89" s="38">
        <f t="shared" si="60"/>
        <v>0</v>
      </c>
      <c r="AN89" s="38">
        <v>21</v>
      </c>
      <c r="AO89" s="38">
        <f t="shared" si="61"/>
        <v>0</v>
      </c>
      <c r="AP89" s="38">
        <f t="shared" si="62"/>
        <v>0</v>
      </c>
      <c r="AQ89" s="72" t="s">
        <v>169</v>
      </c>
      <c r="AV89" s="38">
        <f t="shared" si="63"/>
        <v>0</v>
      </c>
      <c r="AW89" s="38">
        <f t="shared" si="64"/>
        <v>0</v>
      </c>
      <c r="AX89" s="38">
        <f t="shared" si="65"/>
        <v>0</v>
      </c>
      <c r="AY89" s="72" t="s">
        <v>2187</v>
      </c>
      <c r="AZ89" s="72" t="s">
        <v>2050</v>
      </c>
      <c r="BA89" s="50" t="s">
        <v>2006</v>
      </c>
      <c r="BC89" s="38">
        <f t="shared" si="66"/>
        <v>0</v>
      </c>
      <c r="BD89" s="38">
        <f t="shared" si="67"/>
        <v>0</v>
      </c>
      <c r="BE89" s="38">
        <v>0</v>
      </c>
      <c r="BF89" s="38">
        <f t="shared" si="68"/>
        <v>0</v>
      </c>
      <c r="BH89" s="38">
        <f t="shared" si="69"/>
        <v>0</v>
      </c>
      <c r="BI89" s="38">
        <f t="shared" si="70"/>
        <v>0</v>
      </c>
      <c r="BJ89" s="38">
        <f t="shared" si="71"/>
        <v>0</v>
      </c>
      <c r="BK89" s="38"/>
      <c r="BL89" s="38">
        <v>725</v>
      </c>
      <c r="BW89" s="38">
        <v>21</v>
      </c>
    </row>
    <row r="90" spans="1:75" ht="13.5" customHeight="1">
      <c r="A90" s="1" t="s">
        <v>531</v>
      </c>
      <c r="B90" s="2" t="s">
        <v>87</v>
      </c>
      <c r="C90" s="2" t="s">
        <v>2225</v>
      </c>
      <c r="D90" s="108" t="s">
        <v>2226</v>
      </c>
      <c r="E90" s="103"/>
      <c r="F90" s="2" t="s">
        <v>1593</v>
      </c>
      <c r="G90" s="38">
        <f>'Stavební rozpočet'!G1212</f>
        <v>10</v>
      </c>
      <c r="H90" s="38">
        <f>'Stavební rozpočet'!H1212</f>
        <v>0</v>
      </c>
      <c r="I90" s="38">
        <f t="shared" si="48"/>
        <v>0</v>
      </c>
      <c r="J90" s="38">
        <f>'Stavební rozpočet'!J1212</f>
        <v>0</v>
      </c>
      <c r="K90" s="38">
        <f t="shared" si="49"/>
        <v>0</v>
      </c>
      <c r="L90" s="71" t="s">
        <v>207</v>
      </c>
      <c r="Z90" s="38">
        <f t="shared" si="50"/>
        <v>0</v>
      </c>
      <c r="AB90" s="38">
        <f t="shared" si="51"/>
        <v>0</v>
      </c>
      <c r="AC90" s="38">
        <f t="shared" si="52"/>
        <v>0</v>
      </c>
      <c r="AD90" s="38">
        <f t="shared" si="53"/>
        <v>0</v>
      </c>
      <c r="AE90" s="38">
        <f t="shared" si="54"/>
        <v>0</v>
      </c>
      <c r="AF90" s="38">
        <f t="shared" si="55"/>
        <v>0</v>
      </c>
      <c r="AG90" s="38">
        <f t="shared" si="56"/>
        <v>0</v>
      </c>
      <c r="AH90" s="38">
        <f t="shared" si="57"/>
        <v>0</v>
      </c>
      <c r="AI90" s="50" t="s">
        <v>87</v>
      </c>
      <c r="AJ90" s="38">
        <f t="shared" si="58"/>
        <v>0</v>
      </c>
      <c r="AK90" s="38">
        <f t="shared" si="59"/>
        <v>0</v>
      </c>
      <c r="AL90" s="38">
        <f t="shared" si="60"/>
        <v>0</v>
      </c>
      <c r="AN90" s="38">
        <v>21</v>
      </c>
      <c r="AO90" s="38">
        <f t="shared" si="61"/>
        <v>0</v>
      </c>
      <c r="AP90" s="38">
        <f t="shared" si="62"/>
        <v>0</v>
      </c>
      <c r="AQ90" s="72" t="s">
        <v>169</v>
      </c>
      <c r="AV90" s="38">
        <f t="shared" si="63"/>
        <v>0</v>
      </c>
      <c r="AW90" s="38">
        <f t="shared" si="64"/>
        <v>0</v>
      </c>
      <c r="AX90" s="38">
        <f t="shared" si="65"/>
        <v>0</v>
      </c>
      <c r="AY90" s="72" t="s">
        <v>2187</v>
      </c>
      <c r="AZ90" s="72" t="s">
        <v>2050</v>
      </c>
      <c r="BA90" s="50" t="s">
        <v>2006</v>
      </c>
      <c r="BC90" s="38">
        <f t="shared" si="66"/>
        <v>0</v>
      </c>
      <c r="BD90" s="38">
        <f t="shared" si="67"/>
        <v>0</v>
      </c>
      <c r="BE90" s="38">
        <v>0</v>
      </c>
      <c r="BF90" s="38">
        <f t="shared" si="68"/>
        <v>0</v>
      </c>
      <c r="BH90" s="38">
        <f t="shared" si="69"/>
        <v>0</v>
      </c>
      <c r="BI90" s="38">
        <f t="shared" si="70"/>
        <v>0</v>
      </c>
      <c r="BJ90" s="38">
        <f t="shared" si="71"/>
        <v>0</v>
      </c>
      <c r="BK90" s="38"/>
      <c r="BL90" s="38">
        <v>725</v>
      </c>
      <c r="BW90" s="38">
        <v>21</v>
      </c>
    </row>
    <row r="91" spans="1:75" ht="13.5" customHeight="1">
      <c r="A91" s="1" t="s">
        <v>534</v>
      </c>
      <c r="B91" s="2" t="s">
        <v>87</v>
      </c>
      <c r="C91" s="2" t="s">
        <v>2228</v>
      </c>
      <c r="D91" s="108" t="s">
        <v>2229</v>
      </c>
      <c r="E91" s="103"/>
      <c r="F91" s="2" t="s">
        <v>199</v>
      </c>
      <c r="G91" s="38">
        <f>'Stavební rozpočet'!G1213</f>
        <v>1</v>
      </c>
      <c r="H91" s="38">
        <f>'Stavební rozpočet'!H1213</f>
        <v>0</v>
      </c>
      <c r="I91" s="38">
        <f t="shared" si="48"/>
        <v>0</v>
      </c>
      <c r="J91" s="38">
        <f>'Stavební rozpočet'!J1213</f>
        <v>0</v>
      </c>
      <c r="K91" s="38">
        <f t="shared" si="49"/>
        <v>0</v>
      </c>
      <c r="L91" s="71" t="s">
        <v>207</v>
      </c>
      <c r="Z91" s="38">
        <f t="shared" si="50"/>
        <v>0</v>
      </c>
      <c r="AB91" s="38">
        <f t="shared" si="51"/>
        <v>0</v>
      </c>
      <c r="AC91" s="38">
        <f t="shared" si="52"/>
        <v>0</v>
      </c>
      <c r="AD91" s="38">
        <f t="shared" si="53"/>
        <v>0</v>
      </c>
      <c r="AE91" s="38">
        <f t="shared" si="54"/>
        <v>0</v>
      </c>
      <c r="AF91" s="38">
        <f t="shared" si="55"/>
        <v>0</v>
      </c>
      <c r="AG91" s="38">
        <f t="shared" si="56"/>
        <v>0</v>
      </c>
      <c r="AH91" s="38">
        <f t="shared" si="57"/>
        <v>0</v>
      </c>
      <c r="AI91" s="50" t="s">
        <v>87</v>
      </c>
      <c r="AJ91" s="38">
        <f t="shared" si="58"/>
        <v>0</v>
      </c>
      <c r="AK91" s="38">
        <f t="shared" si="59"/>
        <v>0</v>
      </c>
      <c r="AL91" s="38">
        <f t="shared" si="60"/>
        <v>0</v>
      </c>
      <c r="AN91" s="38">
        <v>21</v>
      </c>
      <c r="AO91" s="38">
        <f t="shared" si="61"/>
        <v>0</v>
      </c>
      <c r="AP91" s="38">
        <f t="shared" si="62"/>
        <v>0</v>
      </c>
      <c r="AQ91" s="72" t="s">
        <v>169</v>
      </c>
      <c r="AV91" s="38">
        <f t="shared" si="63"/>
        <v>0</v>
      </c>
      <c r="AW91" s="38">
        <f t="shared" si="64"/>
        <v>0</v>
      </c>
      <c r="AX91" s="38">
        <f t="shared" si="65"/>
        <v>0</v>
      </c>
      <c r="AY91" s="72" t="s">
        <v>2187</v>
      </c>
      <c r="AZ91" s="72" t="s">
        <v>2050</v>
      </c>
      <c r="BA91" s="50" t="s">
        <v>2006</v>
      </c>
      <c r="BC91" s="38">
        <f t="shared" si="66"/>
        <v>0</v>
      </c>
      <c r="BD91" s="38">
        <f t="shared" si="67"/>
        <v>0</v>
      </c>
      <c r="BE91" s="38">
        <v>0</v>
      </c>
      <c r="BF91" s="38">
        <f t="shared" si="68"/>
        <v>0</v>
      </c>
      <c r="BH91" s="38">
        <f t="shared" si="69"/>
        <v>0</v>
      </c>
      <c r="BI91" s="38">
        <f t="shared" si="70"/>
        <v>0</v>
      </c>
      <c r="BJ91" s="38">
        <f t="shared" si="71"/>
        <v>0</v>
      </c>
      <c r="BK91" s="38"/>
      <c r="BL91" s="38">
        <v>725</v>
      </c>
      <c r="BW91" s="38">
        <v>21</v>
      </c>
    </row>
    <row r="92" spans="1:75" ht="13.5" customHeight="1">
      <c r="A92" s="1" t="s">
        <v>546</v>
      </c>
      <c r="B92" s="2" t="s">
        <v>87</v>
      </c>
      <c r="C92" s="2" t="s">
        <v>2231</v>
      </c>
      <c r="D92" s="108" t="s">
        <v>2232</v>
      </c>
      <c r="E92" s="103"/>
      <c r="F92" s="2" t="s">
        <v>199</v>
      </c>
      <c r="G92" s="38">
        <f>'Stavební rozpočet'!G1214</f>
        <v>5</v>
      </c>
      <c r="H92" s="38">
        <f>'Stavební rozpočet'!H1214</f>
        <v>0</v>
      </c>
      <c r="I92" s="38">
        <f t="shared" si="48"/>
        <v>0</v>
      </c>
      <c r="J92" s="38">
        <f>'Stavební rozpočet'!J1214</f>
        <v>0</v>
      </c>
      <c r="K92" s="38">
        <f t="shared" si="49"/>
        <v>0</v>
      </c>
      <c r="L92" s="71" t="s">
        <v>207</v>
      </c>
      <c r="Z92" s="38">
        <f t="shared" si="50"/>
        <v>0</v>
      </c>
      <c r="AB92" s="38">
        <f t="shared" si="51"/>
        <v>0</v>
      </c>
      <c r="AC92" s="38">
        <f t="shared" si="52"/>
        <v>0</v>
      </c>
      <c r="AD92" s="38">
        <f t="shared" si="53"/>
        <v>0</v>
      </c>
      <c r="AE92" s="38">
        <f t="shared" si="54"/>
        <v>0</v>
      </c>
      <c r="AF92" s="38">
        <f t="shared" si="55"/>
        <v>0</v>
      </c>
      <c r="AG92" s="38">
        <f t="shared" si="56"/>
        <v>0</v>
      </c>
      <c r="AH92" s="38">
        <f t="shared" si="57"/>
        <v>0</v>
      </c>
      <c r="AI92" s="50" t="s">
        <v>87</v>
      </c>
      <c r="AJ92" s="38">
        <f t="shared" si="58"/>
        <v>0</v>
      </c>
      <c r="AK92" s="38">
        <f t="shared" si="59"/>
        <v>0</v>
      </c>
      <c r="AL92" s="38">
        <f t="shared" si="60"/>
        <v>0</v>
      </c>
      <c r="AN92" s="38">
        <v>21</v>
      </c>
      <c r="AO92" s="38">
        <f t="shared" si="61"/>
        <v>0</v>
      </c>
      <c r="AP92" s="38">
        <f t="shared" si="62"/>
        <v>0</v>
      </c>
      <c r="AQ92" s="72" t="s">
        <v>169</v>
      </c>
      <c r="AV92" s="38">
        <f t="shared" si="63"/>
        <v>0</v>
      </c>
      <c r="AW92" s="38">
        <f t="shared" si="64"/>
        <v>0</v>
      </c>
      <c r="AX92" s="38">
        <f t="shared" si="65"/>
        <v>0</v>
      </c>
      <c r="AY92" s="72" t="s">
        <v>2187</v>
      </c>
      <c r="AZ92" s="72" t="s">
        <v>2050</v>
      </c>
      <c r="BA92" s="50" t="s">
        <v>2006</v>
      </c>
      <c r="BC92" s="38">
        <f t="shared" si="66"/>
        <v>0</v>
      </c>
      <c r="BD92" s="38">
        <f t="shared" si="67"/>
        <v>0</v>
      </c>
      <c r="BE92" s="38">
        <v>0</v>
      </c>
      <c r="BF92" s="38">
        <f t="shared" si="68"/>
        <v>0</v>
      </c>
      <c r="BH92" s="38">
        <f t="shared" si="69"/>
        <v>0</v>
      </c>
      <c r="BI92" s="38">
        <f t="shared" si="70"/>
        <v>0</v>
      </c>
      <c r="BJ92" s="38">
        <f t="shared" si="71"/>
        <v>0</v>
      </c>
      <c r="BK92" s="38"/>
      <c r="BL92" s="38">
        <v>725</v>
      </c>
      <c r="BW92" s="38">
        <v>21</v>
      </c>
    </row>
    <row r="93" spans="1:75" ht="13.5" customHeight="1">
      <c r="A93" s="1" t="s">
        <v>553</v>
      </c>
      <c r="B93" s="2" t="s">
        <v>87</v>
      </c>
      <c r="C93" s="2" t="s">
        <v>2234</v>
      </c>
      <c r="D93" s="108" t="s">
        <v>2235</v>
      </c>
      <c r="E93" s="103"/>
      <c r="F93" s="2" t="s">
        <v>189</v>
      </c>
      <c r="G93" s="38">
        <f>'Stavební rozpočet'!G1215</f>
        <v>0.46</v>
      </c>
      <c r="H93" s="38">
        <f>'Stavební rozpočet'!H1215</f>
        <v>0</v>
      </c>
      <c r="I93" s="38">
        <f t="shared" si="48"/>
        <v>0</v>
      </c>
      <c r="J93" s="38">
        <f>'Stavební rozpočet'!J1215</f>
        <v>0</v>
      </c>
      <c r="K93" s="38">
        <f t="shared" si="49"/>
        <v>0</v>
      </c>
      <c r="L93" s="71" t="s">
        <v>207</v>
      </c>
      <c r="Z93" s="38">
        <f t="shared" si="50"/>
        <v>0</v>
      </c>
      <c r="AB93" s="38">
        <f t="shared" si="51"/>
        <v>0</v>
      </c>
      <c r="AC93" s="38">
        <f t="shared" si="52"/>
        <v>0</v>
      </c>
      <c r="AD93" s="38">
        <f t="shared" si="53"/>
        <v>0</v>
      </c>
      <c r="AE93" s="38">
        <f t="shared" si="54"/>
        <v>0</v>
      </c>
      <c r="AF93" s="38">
        <f t="shared" si="55"/>
        <v>0</v>
      </c>
      <c r="AG93" s="38">
        <f t="shared" si="56"/>
        <v>0</v>
      </c>
      <c r="AH93" s="38">
        <f t="shared" si="57"/>
        <v>0</v>
      </c>
      <c r="AI93" s="50" t="s">
        <v>87</v>
      </c>
      <c r="AJ93" s="38">
        <f t="shared" si="58"/>
        <v>0</v>
      </c>
      <c r="AK93" s="38">
        <f t="shared" si="59"/>
        <v>0</v>
      </c>
      <c r="AL93" s="38">
        <f t="shared" si="60"/>
        <v>0</v>
      </c>
      <c r="AN93" s="38">
        <v>21</v>
      </c>
      <c r="AO93" s="38">
        <f t="shared" si="61"/>
        <v>0</v>
      </c>
      <c r="AP93" s="38">
        <f t="shared" si="62"/>
        <v>0</v>
      </c>
      <c r="AQ93" s="72" t="s">
        <v>162</v>
      </c>
      <c r="AV93" s="38">
        <f t="shared" si="63"/>
        <v>0</v>
      </c>
      <c r="AW93" s="38">
        <f t="shared" si="64"/>
        <v>0</v>
      </c>
      <c r="AX93" s="38">
        <f t="shared" si="65"/>
        <v>0</v>
      </c>
      <c r="AY93" s="72" t="s">
        <v>2187</v>
      </c>
      <c r="AZ93" s="72" t="s">
        <v>2050</v>
      </c>
      <c r="BA93" s="50" t="s">
        <v>2006</v>
      </c>
      <c r="BC93" s="38">
        <f t="shared" si="66"/>
        <v>0</v>
      </c>
      <c r="BD93" s="38">
        <f t="shared" si="67"/>
        <v>0</v>
      </c>
      <c r="BE93" s="38">
        <v>0</v>
      </c>
      <c r="BF93" s="38">
        <f t="shared" si="68"/>
        <v>0</v>
      </c>
      <c r="BH93" s="38">
        <f t="shared" si="69"/>
        <v>0</v>
      </c>
      <c r="BI93" s="38">
        <f t="shared" si="70"/>
        <v>0</v>
      </c>
      <c r="BJ93" s="38">
        <f t="shared" si="71"/>
        <v>0</v>
      </c>
      <c r="BK93" s="38"/>
      <c r="BL93" s="38">
        <v>725</v>
      </c>
      <c r="BW93" s="38">
        <v>21</v>
      </c>
    </row>
    <row r="94" spans="1:47" ht="15">
      <c r="A94" s="65" t="s">
        <v>4</v>
      </c>
      <c r="B94" s="66" t="s">
        <v>87</v>
      </c>
      <c r="C94" s="66" t="s">
        <v>2236</v>
      </c>
      <c r="D94" s="192" t="s">
        <v>2237</v>
      </c>
      <c r="E94" s="193"/>
      <c r="F94" s="67" t="s">
        <v>78</v>
      </c>
      <c r="G94" s="67" t="s">
        <v>78</v>
      </c>
      <c r="H94" s="67" t="s">
        <v>78</v>
      </c>
      <c r="I94" s="44">
        <f>SUM(I95:I96)</f>
        <v>0</v>
      </c>
      <c r="J94" s="50" t="s">
        <v>4</v>
      </c>
      <c r="K94" s="44">
        <f>SUM(K95:K96)</f>
        <v>0</v>
      </c>
      <c r="L94" s="69" t="s">
        <v>4</v>
      </c>
      <c r="AI94" s="50" t="s">
        <v>87</v>
      </c>
      <c r="AS94" s="44">
        <f>SUM(AJ95:AJ96)</f>
        <v>0</v>
      </c>
      <c r="AT94" s="44">
        <f>SUM(AK95:AK96)</f>
        <v>0</v>
      </c>
      <c r="AU94" s="44">
        <f>SUM(AL95:AL96)</f>
        <v>0</v>
      </c>
    </row>
    <row r="95" spans="1:75" ht="27" customHeight="1">
      <c r="A95" s="1" t="s">
        <v>561</v>
      </c>
      <c r="B95" s="2" t="s">
        <v>87</v>
      </c>
      <c r="C95" s="2" t="s">
        <v>2239</v>
      </c>
      <c r="D95" s="108" t="s">
        <v>2240</v>
      </c>
      <c r="E95" s="103"/>
      <c r="F95" s="2" t="s">
        <v>1593</v>
      </c>
      <c r="G95" s="38">
        <f>'Stavební rozpočet'!G1217</f>
        <v>6</v>
      </c>
      <c r="H95" s="38">
        <f>'Stavební rozpočet'!H1217</f>
        <v>0</v>
      </c>
      <c r="I95" s="38">
        <f>G95*H95</f>
        <v>0</v>
      </c>
      <c r="J95" s="38">
        <f>'Stavební rozpočet'!J1217</f>
        <v>0</v>
      </c>
      <c r="K95" s="38">
        <f>G95*J95</f>
        <v>0</v>
      </c>
      <c r="L95" s="71" t="s">
        <v>207</v>
      </c>
      <c r="Z95" s="38">
        <f>IF(AQ95="5",BJ95,0)</f>
        <v>0</v>
      </c>
      <c r="AB95" s="38">
        <f>IF(AQ95="1",BH95,0)</f>
        <v>0</v>
      </c>
      <c r="AC95" s="38">
        <f>IF(AQ95="1",BI95,0)</f>
        <v>0</v>
      </c>
      <c r="AD95" s="38">
        <f>IF(AQ95="7",BH95,0)</f>
        <v>0</v>
      </c>
      <c r="AE95" s="38">
        <f>IF(AQ95="7",BI95,0)</f>
        <v>0</v>
      </c>
      <c r="AF95" s="38">
        <f>IF(AQ95="2",BH95,0)</f>
        <v>0</v>
      </c>
      <c r="AG95" s="38">
        <f>IF(AQ95="2",BI95,0)</f>
        <v>0</v>
      </c>
      <c r="AH95" s="38">
        <f>IF(AQ95="0",BJ95,0)</f>
        <v>0</v>
      </c>
      <c r="AI95" s="50" t="s">
        <v>87</v>
      </c>
      <c r="AJ95" s="38">
        <f>IF(AN95=0,I95,0)</f>
        <v>0</v>
      </c>
      <c r="AK95" s="38">
        <f>IF(AN95=12,I95,0)</f>
        <v>0</v>
      </c>
      <c r="AL95" s="38">
        <f>IF(AN95=21,I95,0)</f>
        <v>0</v>
      </c>
      <c r="AN95" s="38">
        <v>21</v>
      </c>
      <c r="AO95" s="38">
        <f>H95*0</f>
        <v>0</v>
      </c>
      <c r="AP95" s="38">
        <f>H95*(1-0)</f>
        <v>0</v>
      </c>
      <c r="AQ95" s="72" t="s">
        <v>169</v>
      </c>
      <c r="AV95" s="38">
        <f>AW95+AX95</f>
        <v>0</v>
      </c>
      <c r="AW95" s="38">
        <f>G95*AO95</f>
        <v>0</v>
      </c>
      <c r="AX95" s="38">
        <f>G95*AP95</f>
        <v>0</v>
      </c>
      <c r="AY95" s="72" t="s">
        <v>2241</v>
      </c>
      <c r="AZ95" s="72" t="s">
        <v>2050</v>
      </c>
      <c r="BA95" s="50" t="s">
        <v>2006</v>
      </c>
      <c r="BC95" s="38">
        <f>AW95+AX95</f>
        <v>0</v>
      </c>
      <c r="BD95" s="38">
        <f>H95/(100-BE95)*100</f>
        <v>0</v>
      </c>
      <c r="BE95" s="38">
        <v>0</v>
      </c>
      <c r="BF95" s="38">
        <f>K95</f>
        <v>0</v>
      </c>
      <c r="BH95" s="38">
        <f>G95*AO95</f>
        <v>0</v>
      </c>
      <c r="BI95" s="38">
        <f>G95*AP95</f>
        <v>0</v>
      </c>
      <c r="BJ95" s="38">
        <f>G95*H95</f>
        <v>0</v>
      </c>
      <c r="BK95" s="38"/>
      <c r="BL95" s="38">
        <v>726</v>
      </c>
      <c r="BW95" s="38">
        <v>21</v>
      </c>
    </row>
    <row r="96" spans="1:75" ht="13.5" customHeight="1">
      <c r="A96" s="1" t="s">
        <v>568</v>
      </c>
      <c r="B96" s="2" t="s">
        <v>87</v>
      </c>
      <c r="C96" s="2" t="s">
        <v>2243</v>
      </c>
      <c r="D96" s="108" t="s">
        <v>2244</v>
      </c>
      <c r="E96" s="103"/>
      <c r="F96" s="2" t="s">
        <v>189</v>
      </c>
      <c r="G96" s="38">
        <f>'Stavební rozpočet'!G1218</f>
        <v>0.1</v>
      </c>
      <c r="H96" s="38">
        <f>'Stavební rozpočet'!H1218</f>
        <v>0</v>
      </c>
      <c r="I96" s="38">
        <f>G96*H96</f>
        <v>0</v>
      </c>
      <c r="J96" s="38">
        <f>'Stavební rozpočet'!J1218</f>
        <v>0</v>
      </c>
      <c r="K96" s="38">
        <f>G96*J96</f>
        <v>0</v>
      </c>
      <c r="L96" s="71" t="s">
        <v>207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50" t="s">
        <v>87</v>
      </c>
      <c r="AJ96" s="38">
        <f>IF(AN96=0,I96,0)</f>
        <v>0</v>
      </c>
      <c r="AK96" s="38">
        <f>IF(AN96=12,I96,0)</f>
        <v>0</v>
      </c>
      <c r="AL96" s="38">
        <f>IF(AN96=21,I96,0)</f>
        <v>0</v>
      </c>
      <c r="AN96" s="38">
        <v>21</v>
      </c>
      <c r="AO96" s="38">
        <f>H96*0</f>
        <v>0</v>
      </c>
      <c r="AP96" s="38">
        <f>H96*(1-0)</f>
        <v>0</v>
      </c>
      <c r="AQ96" s="72" t="s">
        <v>162</v>
      </c>
      <c r="AV96" s="38">
        <f>AW96+AX96</f>
        <v>0</v>
      </c>
      <c r="AW96" s="38">
        <f>G96*AO96</f>
        <v>0</v>
      </c>
      <c r="AX96" s="38">
        <f>G96*AP96</f>
        <v>0</v>
      </c>
      <c r="AY96" s="72" t="s">
        <v>2241</v>
      </c>
      <c r="AZ96" s="72" t="s">
        <v>2050</v>
      </c>
      <c r="BA96" s="50" t="s">
        <v>2006</v>
      </c>
      <c r="BC96" s="38">
        <f>AW96+AX96</f>
        <v>0</v>
      </c>
      <c r="BD96" s="38">
        <f>H96/(100-BE96)*100</f>
        <v>0</v>
      </c>
      <c r="BE96" s="38">
        <v>0</v>
      </c>
      <c r="BF96" s="38">
        <f>K96</f>
        <v>0</v>
      </c>
      <c r="BH96" s="38">
        <f>G96*AO96</f>
        <v>0</v>
      </c>
      <c r="BI96" s="38">
        <f>G96*AP96</f>
        <v>0</v>
      </c>
      <c r="BJ96" s="38">
        <f>G96*H96</f>
        <v>0</v>
      </c>
      <c r="BK96" s="38"/>
      <c r="BL96" s="38">
        <v>726</v>
      </c>
      <c r="BW96" s="38">
        <v>21</v>
      </c>
    </row>
    <row r="97" spans="1:47" ht="15">
      <c r="A97" s="65" t="s">
        <v>4</v>
      </c>
      <c r="B97" s="66" t="s">
        <v>87</v>
      </c>
      <c r="C97" s="66" t="s">
        <v>1504</v>
      </c>
      <c r="D97" s="192" t="s">
        <v>1505</v>
      </c>
      <c r="E97" s="193"/>
      <c r="F97" s="67" t="s">
        <v>78</v>
      </c>
      <c r="G97" s="67" t="s">
        <v>78</v>
      </c>
      <c r="H97" s="67" t="s">
        <v>78</v>
      </c>
      <c r="I97" s="44">
        <f>SUM(I98:I101)</f>
        <v>0</v>
      </c>
      <c r="J97" s="50" t="s">
        <v>4</v>
      </c>
      <c r="K97" s="44">
        <f>SUM(K98:K101)</f>
        <v>0</v>
      </c>
      <c r="L97" s="69" t="s">
        <v>4</v>
      </c>
      <c r="AI97" s="50" t="s">
        <v>87</v>
      </c>
      <c r="AS97" s="44">
        <f>SUM(AJ98:AJ101)</f>
        <v>0</v>
      </c>
      <c r="AT97" s="44">
        <f>SUM(AK98:AK101)</f>
        <v>0</v>
      </c>
      <c r="AU97" s="44">
        <f>SUM(AL98:AL101)</f>
        <v>0</v>
      </c>
    </row>
    <row r="98" spans="1:75" ht="13.5" customHeight="1">
      <c r="A98" s="1" t="s">
        <v>572</v>
      </c>
      <c r="B98" s="2" t="s">
        <v>87</v>
      </c>
      <c r="C98" s="2" t="s">
        <v>2246</v>
      </c>
      <c r="D98" s="108" t="s">
        <v>2247</v>
      </c>
      <c r="E98" s="103"/>
      <c r="F98" s="2" t="s">
        <v>214</v>
      </c>
      <c r="G98" s="38">
        <f>'Stavební rozpočet'!G1220</f>
        <v>10</v>
      </c>
      <c r="H98" s="38">
        <f>'Stavební rozpočet'!H1220</f>
        <v>0</v>
      </c>
      <c r="I98" s="38">
        <f>G98*H98</f>
        <v>0</v>
      </c>
      <c r="J98" s="38">
        <f>'Stavební rozpočet'!J1220</f>
        <v>0</v>
      </c>
      <c r="K98" s="38">
        <f>G98*J98</f>
        <v>0</v>
      </c>
      <c r="L98" s="71" t="s">
        <v>207</v>
      </c>
      <c r="Z98" s="38">
        <f>IF(AQ98="5",BJ98,0)</f>
        <v>0</v>
      </c>
      <c r="AB98" s="38">
        <f>IF(AQ98="1",BH98,0)</f>
        <v>0</v>
      </c>
      <c r="AC98" s="38">
        <f>IF(AQ98="1",BI98,0)</f>
        <v>0</v>
      </c>
      <c r="AD98" s="38">
        <f>IF(AQ98="7",BH98,0)</f>
        <v>0</v>
      </c>
      <c r="AE98" s="38">
        <f>IF(AQ98="7",BI98,0)</f>
        <v>0</v>
      </c>
      <c r="AF98" s="38">
        <f>IF(AQ98="2",BH98,0)</f>
        <v>0</v>
      </c>
      <c r="AG98" s="38">
        <f>IF(AQ98="2",BI98,0)</f>
        <v>0</v>
      </c>
      <c r="AH98" s="38">
        <f>IF(AQ98="0",BJ98,0)</f>
        <v>0</v>
      </c>
      <c r="AI98" s="50" t="s">
        <v>87</v>
      </c>
      <c r="AJ98" s="38">
        <f>IF(AN98=0,I98,0)</f>
        <v>0</v>
      </c>
      <c r="AK98" s="38">
        <f>IF(AN98=12,I98,0)</f>
        <v>0</v>
      </c>
      <c r="AL98" s="38">
        <f>IF(AN98=21,I98,0)</f>
        <v>0</v>
      </c>
      <c r="AN98" s="38">
        <v>21</v>
      </c>
      <c r="AO98" s="38">
        <f>H98*0</f>
        <v>0</v>
      </c>
      <c r="AP98" s="38">
        <f>H98*(1-0)</f>
        <v>0</v>
      </c>
      <c r="AQ98" s="72" t="s">
        <v>169</v>
      </c>
      <c r="AV98" s="38">
        <f>AW98+AX98</f>
        <v>0</v>
      </c>
      <c r="AW98" s="38">
        <f>G98*AO98</f>
        <v>0</v>
      </c>
      <c r="AX98" s="38">
        <f>G98*AP98</f>
        <v>0</v>
      </c>
      <c r="AY98" s="72" t="s">
        <v>1509</v>
      </c>
      <c r="AZ98" s="72" t="s">
        <v>2248</v>
      </c>
      <c r="BA98" s="50" t="s">
        <v>2006</v>
      </c>
      <c r="BC98" s="38">
        <f>AW98+AX98</f>
        <v>0</v>
      </c>
      <c r="BD98" s="38">
        <f>H98/(100-BE98)*100</f>
        <v>0</v>
      </c>
      <c r="BE98" s="38">
        <v>0</v>
      </c>
      <c r="BF98" s="38">
        <f>K98</f>
        <v>0</v>
      </c>
      <c r="BH98" s="38">
        <f>G98*AO98</f>
        <v>0</v>
      </c>
      <c r="BI98" s="38">
        <f>G98*AP98</f>
        <v>0</v>
      </c>
      <c r="BJ98" s="38">
        <f>G98*H98</f>
        <v>0</v>
      </c>
      <c r="BK98" s="38"/>
      <c r="BL98" s="38">
        <v>783</v>
      </c>
      <c r="BW98" s="38">
        <v>21</v>
      </c>
    </row>
    <row r="99" spans="1:75" ht="13.5" customHeight="1">
      <c r="A99" s="1" t="s">
        <v>581</v>
      </c>
      <c r="B99" s="2" t="s">
        <v>87</v>
      </c>
      <c r="C99" s="2" t="s">
        <v>2250</v>
      </c>
      <c r="D99" s="108" t="s">
        <v>2251</v>
      </c>
      <c r="E99" s="103"/>
      <c r="F99" s="2" t="s">
        <v>214</v>
      </c>
      <c r="G99" s="38">
        <f>'Stavební rozpočet'!G1221</f>
        <v>10</v>
      </c>
      <c r="H99" s="38">
        <f>'Stavební rozpočet'!H1221</f>
        <v>0</v>
      </c>
      <c r="I99" s="38">
        <f>G99*H99</f>
        <v>0</v>
      </c>
      <c r="J99" s="38">
        <f>'Stavební rozpočet'!J1221</f>
        <v>0</v>
      </c>
      <c r="K99" s="38">
        <f>G99*J99</f>
        <v>0</v>
      </c>
      <c r="L99" s="71" t="s">
        <v>207</v>
      </c>
      <c r="Z99" s="38">
        <f>IF(AQ99="5",BJ99,0)</f>
        <v>0</v>
      </c>
      <c r="AB99" s="38">
        <f>IF(AQ99="1",BH99,0)</f>
        <v>0</v>
      </c>
      <c r="AC99" s="38">
        <f>IF(AQ99="1",BI99,0)</f>
        <v>0</v>
      </c>
      <c r="AD99" s="38">
        <f>IF(AQ99="7",BH99,0)</f>
        <v>0</v>
      </c>
      <c r="AE99" s="38">
        <f>IF(AQ99="7",BI99,0)</f>
        <v>0</v>
      </c>
      <c r="AF99" s="38">
        <f>IF(AQ99="2",BH99,0)</f>
        <v>0</v>
      </c>
      <c r="AG99" s="38">
        <f>IF(AQ99="2",BI99,0)</f>
        <v>0</v>
      </c>
      <c r="AH99" s="38">
        <f>IF(AQ99="0",BJ99,0)</f>
        <v>0</v>
      </c>
      <c r="AI99" s="50" t="s">
        <v>87</v>
      </c>
      <c r="AJ99" s="38">
        <f>IF(AN99=0,I99,0)</f>
        <v>0</v>
      </c>
      <c r="AK99" s="38">
        <f>IF(AN99=12,I99,0)</f>
        <v>0</v>
      </c>
      <c r="AL99" s="38">
        <f>IF(AN99=21,I99,0)</f>
        <v>0</v>
      </c>
      <c r="AN99" s="38">
        <v>21</v>
      </c>
      <c r="AO99" s="38">
        <f>H99*0</f>
        <v>0</v>
      </c>
      <c r="AP99" s="38">
        <f>H99*(1-0)</f>
        <v>0</v>
      </c>
      <c r="AQ99" s="72" t="s">
        <v>169</v>
      </c>
      <c r="AV99" s="38">
        <f>AW99+AX99</f>
        <v>0</v>
      </c>
      <c r="AW99" s="38">
        <f>G99*AO99</f>
        <v>0</v>
      </c>
      <c r="AX99" s="38">
        <f>G99*AP99</f>
        <v>0</v>
      </c>
      <c r="AY99" s="72" t="s">
        <v>1509</v>
      </c>
      <c r="AZ99" s="72" t="s">
        <v>2248</v>
      </c>
      <c r="BA99" s="50" t="s">
        <v>2006</v>
      </c>
      <c r="BC99" s="38">
        <f>AW99+AX99</f>
        <v>0</v>
      </c>
      <c r="BD99" s="38">
        <f>H99/(100-BE99)*100</f>
        <v>0</v>
      </c>
      <c r="BE99" s="38">
        <v>0</v>
      </c>
      <c r="BF99" s="38">
        <f>K99</f>
        <v>0</v>
      </c>
      <c r="BH99" s="38">
        <f>G99*AO99</f>
        <v>0</v>
      </c>
      <c r="BI99" s="38">
        <f>G99*AP99</f>
        <v>0</v>
      </c>
      <c r="BJ99" s="38">
        <f>G99*H99</f>
        <v>0</v>
      </c>
      <c r="BK99" s="38"/>
      <c r="BL99" s="38">
        <v>783</v>
      </c>
      <c r="BW99" s="38">
        <v>21</v>
      </c>
    </row>
    <row r="100" spans="1:75" ht="13.5" customHeight="1">
      <c r="A100" s="1" t="s">
        <v>590</v>
      </c>
      <c r="B100" s="2" t="s">
        <v>87</v>
      </c>
      <c r="C100" s="2" t="s">
        <v>2253</v>
      </c>
      <c r="D100" s="108" t="s">
        <v>2254</v>
      </c>
      <c r="E100" s="103"/>
      <c r="F100" s="2" t="s">
        <v>214</v>
      </c>
      <c r="G100" s="38">
        <f>'Stavební rozpočet'!G1222</f>
        <v>10</v>
      </c>
      <c r="H100" s="38">
        <f>'Stavební rozpočet'!H1222</f>
        <v>0</v>
      </c>
      <c r="I100" s="38">
        <f>G100*H100</f>
        <v>0</v>
      </c>
      <c r="J100" s="38">
        <f>'Stavební rozpočet'!J1222</f>
        <v>0</v>
      </c>
      <c r="K100" s="38">
        <f>G100*J100</f>
        <v>0</v>
      </c>
      <c r="L100" s="71" t="s">
        <v>207</v>
      </c>
      <c r="Z100" s="38">
        <f>IF(AQ100="5",BJ100,0)</f>
        <v>0</v>
      </c>
      <c r="AB100" s="38">
        <f>IF(AQ100="1",BH100,0)</f>
        <v>0</v>
      </c>
      <c r="AC100" s="38">
        <f>IF(AQ100="1",BI100,0)</f>
        <v>0</v>
      </c>
      <c r="AD100" s="38">
        <f>IF(AQ100="7",BH100,0)</f>
        <v>0</v>
      </c>
      <c r="AE100" s="38">
        <f>IF(AQ100="7",BI100,0)</f>
        <v>0</v>
      </c>
      <c r="AF100" s="38">
        <f>IF(AQ100="2",BH100,0)</f>
        <v>0</v>
      </c>
      <c r="AG100" s="38">
        <f>IF(AQ100="2",BI100,0)</f>
        <v>0</v>
      </c>
      <c r="AH100" s="38">
        <f>IF(AQ100="0",BJ100,0)</f>
        <v>0</v>
      </c>
      <c r="AI100" s="50" t="s">
        <v>87</v>
      </c>
      <c r="AJ100" s="38">
        <f>IF(AN100=0,I100,0)</f>
        <v>0</v>
      </c>
      <c r="AK100" s="38">
        <f>IF(AN100=12,I100,0)</f>
        <v>0</v>
      </c>
      <c r="AL100" s="38">
        <f>IF(AN100=21,I100,0)</f>
        <v>0</v>
      </c>
      <c r="AN100" s="38">
        <v>21</v>
      </c>
      <c r="AO100" s="38">
        <f>H100*0</f>
        <v>0</v>
      </c>
      <c r="AP100" s="38">
        <f>H100*(1-0)</f>
        <v>0</v>
      </c>
      <c r="AQ100" s="72" t="s">
        <v>169</v>
      </c>
      <c r="AV100" s="38">
        <f>AW100+AX100</f>
        <v>0</v>
      </c>
      <c r="AW100" s="38">
        <f>G100*AO100</f>
        <v>0</v>
      </c>
      <c r="AX100" s="38">
        <f>G100*AP100</f>
        <v>0</v>
      </c>
      <c r="AY100" s="72" t="s">
        <v>1509</v>
      </c>
      <c r="AZ100" s="72" t="s">
        <v>2248</v>
      </c>
      <c r="BA100" s="50" t="s">
        <v>2006</v>
      </c>
      <c r="BC100" s="38">
        <f>AW100+AX100</f>
        <v>0</v>
      </c>
      <c r="BD100" s="38">
        <f>H100/(100-BE100)*100</f>
        <v>0</v>
      </c>
      <c r="BE100" s="38">
        <v>0</v>
      </c>
      <c r="BF100" s="38">
        <f>K100</f>
        <v>0</v>
      </c>
      <c r="BH100" s="38">
        <f>G100*AO100</f>
        <v>0</v>
      </c>
      <c r="BI100" s="38">
        <f>G100*AP100</f>
        <v>0</v>
      </c>
      <c r="BJ100" s="38">
        <f>G100*H100</f>
        <v>0</v>
      </c>
      <c r="BK100" s="38"/>
      <c r="BL100" s="38">
        <v>783</v>
      </c>
      <c r="BW100" s="38">
        <v>21</v>
      </c>
    </row>
    <row r="101" spans="1:75" ht="13.5" customHeight="1">
      <c r="A101" s="1" t="s">
        <v>603</v>
      </c>
      <c r="B101" s="2" t="s">
        <v>87</v>
      </c>
      <c r="C101" s="2" t="s">
        <v>2256</v>
      </c>
      <c r="D101" s="108" t="s">
        <v>2257</v>
      </c>
      <c r="E101" s="103"/>
      <c r="F101" s="2" t="s">
        <v>214</v>
      </c>
      <c r="G101" s="38">
        <f>'Stavební rozpočet'!G1223</f>
        <v>10</v>
      </c>
      <c r="H101" s="38">
        <f>'Stavební rozpočet'!H1223</f>
        <v>0</v>
      </c>
      <c r="I101" s="38">
        <f>G101*H101</f>
        <v>0</v>
      </c>
      <c r="J101" s="38">
        <f>'Stavební rozpočet'!J1223</f>
        <v>0</v>
      </c>
      <c r="K101" s="38">
        <f>G101*J101</f>
        <v>0</v>
      </c>
      <c r="L101" s="71" t="s">
        <v>207</v>
      </c>
      <c r="Z101" s="38">
        <f>IF(AQ101="5",BJ101,0)</f>
        <v>0</v>
      </c>
      <c r="AB101" s="38">
        <f>IF(AQ101="1",BH101,0)</f>
        <v>0</v>
      </c>
      <c r="AC101" s="38">
        <f>IF(AQ101="1",BI101,0)</f>
        <v>0</v>
      </c>
      <c r="AD101" s="38">
        <f>IF(AQ101="7",BH101,0)</f>
        <v>0</v>
      </c>
      <c r="AE101" s="38">
        <f>IF(AQ101="7",BI101,0)</f>
        <v>0</v>
      </c>
      <c r="AF101" s="38">
        <f>IF(AQ101="2",BH101,0)</f>
        <v>0</v>
      </c>
      <c r="AG101" s="38">
        <f>IF(AQ101="2",BI101,0)</f>
        <v>0</v>
      </c>
      <c r="AH101" s="38">
        <f>IF(AQ101="0",BJ101,0)</f>
        <v>0</v>
      </c>
      <c r="AI101" s="50" t="s">
        <v>87</v>
      </c>
      <c r="AJ101" s="38">
        <f>IF(AN101=0,I101,0)</f>
        <v>0</v>
      </c>
      <c r="AK101" s="38">
        <f>IF(AN101=12,I101,0)</f>
        <v>0</v>
      </c>
      <c r="AL101" s="38">
        <f>IF(AN101=21,I101,0)</f>
        <v>0</v>
      </c>
      <c r="AN101" s="38">
        <v>21</v>
      </c>
      <c r="AO101" s="38">
        <f>H101*0</f>
        <v>0</v>
      </c>
      <c r="AP101" s="38">
        <f>H101*(1-0)</f>
        <v>0</v>
      </c>
      <c r="AQ101" s="72" t="s">
        <v>169</v>
      </c>
      <c r="AV101" s="38">
        <f>AW101+AX101</f>
        <v>0</v>
      </c>
      <c r="AW101" s="38">
        <f>G101*AO101</f>
        <v>0</v>
      </c>
      <c r="AX101" s="38">
        <f>G101*AP101</f>
        <v>0</v>
      </c>
      <c r="AY101" s="72" t="s">
        <v>1509</v>
      </c>
      <c r="AZ101" s="72" t="s">
        <v>2248</v>
      </c>
      <c r="BA101" s="50" t="s">
        <v>2006</v>
      </c>
      <c r="BC101" s="38">
        <f>AW101+AX101</f>
        <v>0</v>
      </c>
      <c r="BD101" s="38">
        <f>H101/(100-BE101)*100</f>
        <v>0</v>
      </c>
      <c r="BE101" s="38">
        <v>0</v>
      </c>
      <c r="BF101" s="38">
        <f>K101</f>
        <v>0</v>
      </c>
      <c r="BH101" s="38">
        <f>G101*AO101</f>
        <v>0</v>
      </c>
      <c r="BI101" s="38">
        <f>G101*AP101</f>
        <v>0</v>
      </c>
      <c r="BJ101" s="38">
        <f>G101*H101</f>
        <v>0</v>
      </c>
      <c r="BK101" s="38"/>
      <c r="BL101" s="38">
        <v>783</v>
      </c>
      <c r="BW101" s="38">
        <v>21</v>
      </c>
    </row>
    <row r="102" spans="1:47" ht="15">
      <c r="A102" s="65" t="s">
        <v>4</v>
      </c>
      <c r="B102" s="66" t="s">
        <v>87</v>
      </c>
      <c r="C102" s="66" t="s">
        <v>691</v>
      </c>
      <c r="D102" s="192" t="s">
        <v>1639</v>
      </c>
      <c r="E102" s="193"/>
      <c r="F102" s="67" t="s">
        <v>78</v>
      </c>
      <c r="G102" s="67" t="s">
        <v>78</v>
      </c>
      <c r="H102" s="67" t="s">
        <v>78</v>
      </c>
      <c r="I102" s="44">
        <f>SUM(I103:I106)</f>
        <v>0</v>
      </c>
      <c r="J102" s="50" t="s">
        <v>4</v>
      </c>
      <c r="K102" s="44">
        <f>SUM(K103:K106)</f>
        <v>0</v>
      </c>
      <c r="L102" s="69" t="s">
        <v>4</v>
      </c>
      <c r="AI102" s="50" t="s">
        <v>87</v>
      </c>
      <c r="AS102" s="44">
        <f>SUM(AJ103:AJ106)</f>
        <v>0</v>
      </c>
      <c r="AT102" s="44">
        <f>SUM(AK103:AK106)</f>
        <v>0</v>
      </c>
      <c r="AU102" s="44">
        <f>SUM(AL103:AL106)</f>
        <v>0</v>
      </c>
    </row>
    <row r="103" spans="1:75" ht="13.5" customHeight="1">
      <c r="A103" s="1" t="s">
        <v>625</v>
      </c>
      <c r="B103" s="2" t="s">
        <v>87</v>
      </c>
      <c r="C103" s="2" t="s">
        <v>2259</v>
      </c>
      <c r="D103" s="108" t="s">
        <v>2260</v>
      </c>
      <c r="E103" s="103"/>
      <c r="F103" s="2" t="s">
        <v>199</v>
      </c>
      <c r="G103" s="38">
        <f>'Stavební rozpočet'!G1225</f>
        <v>2</v>
      </c>
      <c r="H103" s="38">
        <f>'Stavební rozpočet'!H1225</f>
        <v>0</v>
      </c>
      <c r="I103" s="38">
        <f>G103*H103</f>
        <v>0</v>
      </c>
      <c r="J103" s="38">
        <f>'Stavební rozpočet'!J1225</f>
        <v>0</v>
      </c>
      <c r="K103" s="38">
        <f>G103*J103</f>
        <v>0</v>
      </c>
      <c r="L103" s="71" t="s">
        <v>207</v>
      </c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50" t="s">
        <v>87</v>
      </c>
      <c r="AJ103" s="38">
        <f>IF(AN103=0,I103,0)</f>
        <v>0</v>
      </c>
      <c r="AK103" s="38">
        <f>IF(AN103=12,I103,0)</f>
        <v>0</v>
      </c>
      <c r="AL103" s="38">
        <f>IF(AN103=21,I103,0)</f>
        <v>0</v>
      </c>
      <c r="AN103" s="38">
        <v>21</v>
      </c>
      <c r="AO103" s="38">
        <f>H103*0</f>
        <v>0</v>
      </c>
      <c r="AP103" s="38">
        <f>H103*(1-0)</f>
        <v>0</v>
      </c>
      <c r="AQ103" s="72" t="s">
        <v>132</v>
      </c>
      <c r="AV103" s="38">
        <f>AW103+AX103</f>
        <v>0</v>
      </c>
      <c r="AW103" s="38">
        <f>G103*AO103</f>
        <v>0</v>
      </c>
      <c r="AX103" s="38">
        <f>G103*AP103</f>
        <v>0</v>
      </c>
      <c r="AY103" s="72" t="s">
        <v>1643</v>
      </c>
      <c r="AZ103" s="72" t="s">
        <v>2261</v>
      </c>
      <c r="BA103" s="50" t="s">
        <v>2006</v>
      </c>
      <c r="BC103" s="38">
        <f>AW103+AX103</f>
        <v>0</v>
      </c>
      <c r="BD103" s="38">
        <f>H103/(100-BE103)*100</f>
        <v>0</v>
      </c>
      <c r="BE103" s="38">
        <v>0</v>
      </c>
      <c r="BF103" s="38">
        <f>K103</f>
        <v>0</v>
      </c>
      <c r="BH103" s="38">
        <f>G103*AO103</f>
        <v>0</v>
      </c>
      <c r="BI103" s="38">
        <f>G103*AP103</f>
        <v>0</v>
      </c>
      <c r="BJ103" s="38">
        <f>G103*H103</f>
        <v>0</v>
      </c>
      <c r="BK103" s="38"/>
      <c r="BL103" s="38">
        <v>89</v>
      </c>
      <c r="BW103" s="38">
        <v>21</v>
      </c>
    </row>
    <row r="104" spans="1:75" ht="13.5" customHeight="1">
      <c r="A104" s="1" t="s">
        <v>629</v>
      </c>
      <c r="B104" s="2" t="s">
        <v>87</v>
      </c>
      <c r="C104" s="2" t="s">
        <v>2263</v>
      </c>
      <c r="D104" s="108" t="s">
        <v>2264</v>
      </c>
      <c r="E104" s="103"/>
      <c r="F104" s="2" t="s">
        <v>199</v>
      </c>
      <c r="G104" s="38">
        <f>'Stavební rozpočet'!G1226</f>
        <v>4</v>
      </c>
      <c r="H104" s="38">
        <f>'Stavební rozpočet'!H1226</f>
        <v>0</v>
      </c>
      <c r="I104" s="38">
        <f>G104*H104</f>
        <v>0</v>
      </c>
      <c r="J104" s="38">
        <f>'Stavební rozpočet'!J1226</f>
        <v>0</v>
      </c>
      <c r="K104" s="38">
        <f>G104*J104</f>
        <v>0</v>
      </c>
      <c r="L104" s="71" t="s">
        <v>207</v>
      </c>
      <c r="Z104" s="38">
        <f>IF(AQ104="5",BJ104,0)</f>
        <v>0</v>
      </c>
      <c r="AB104" s="38">
        <f>IF(AQ104="1",BH104,0)</f>
        <v>0</v>
      </c>
      <c r="AC104" s="38">
        <f>IF(AQ104="1",BI104,0)</f>
        <v>0</v>
      </c>
      <c r="AD104" s="38">
        <f>IF(AQ104="7",BH104,0)</f>
        <v>0</v>
      </c>
      <c r="AE104" s="38">
        <f>IF(AQ104="7",BI104,0)</f>
        <v>0</v>
      </c>
      <c r="AF104" s="38">
        <f>IF(AQ104="2",BH104,0)</f>
        <v>0</v>
      </c>
      <c r="AG104" s="38">
        <f>IF(AQ104="2",BI104,0)</f>
        <v>0</v>
      </c>
      <c r="AH104" s="38">
        <f>IF(AQ104="0",BJ104,0)</f>
        <v>0</v>
      </c>
      <c r="AI104" s="50" t="s">
        <v>87</v>
      </c>
      <c r="AJ104" s="38">
        <f>IF(AN104=0,I104,0)</f>
        <v>0</v>
      </c>
      <c r="AK104" s="38">
        <f>IF(AN104=12,I104,0)</f>
        <v>0</v>
      </c>
      <c r="AL104" s="38">
        <f>IF(AN104=21,I104,0)</f>
        <v>0</v>
      </c>
      <c r="AN104" s="38">
        <v>21</v>
      </c>
      <c r="AO104" s="38">
        <f>H104*0</f>
        <v>0</v>
      </c>
      <c r="AP104" s="38">
        <f>H104*(1-0)</f>
        <v>0</v>
      </c>
      <c r="AQ104" s="72" t="s">
        <v>132</v>
      </c>
      <c r="AV104" s="38">
        <f>AW104+AX104</f>
        <v>0</v>
      </c>
      <c r="AW104" s="38">
        <f>G104*AO104</f>
        <v>0</v>
      </c>
      <c r="AX104" s="38">
        <f>G104*AP104</f>
        <v>0</v>
      </c>
      <c r="AY104" s="72" t="s">
        <v>1643</v>
      </c>
      <c r="AZ104" s="72" t="s">
        <v>2261</v>
      </c>
      <c r="BA104" s="50" t="s">
        <v>2006</v>
      </c>
      <c r="BC104" s="38">
        <f>AW104+AX104</f>
        <v>0</v>
      </c>
      <c r="BD104" s="38">
        <f>H104/(100-BE104)*100</f>
        <v>0</v>
      </c>
      <c r="BE104" s="38">
        <v>0</v>
      </c>
      <c r="BF104" s="38">
        <f>K104</f>
        <v>0</v>
      </c>
      <c r="BH104" s="38">
        <f>G104*AO104</f>
        <v>0</v>
      </c>
      <c r="BI104" s="38">
        <f>G104*AP104</f>
        <v>0</v>
      </c>
      <c r="BJ104" s="38">
        <f>G104*H104</f>
        <v>0</v>
      </c>
      <c r="BK104" s="38"/>
      <c r="BL104" s="38">
        <v>89</v>
      </c>
      <c r="BW104" s="38">
        <v>21</v>
      </c>
    </row>
    <row r="105" spans="1:75" ht="13.5" customHeight="1">
      <c r="A105" s="1" t="s">
        <v>638</v>
      </c>
      <c r="B105" s="2" t="s">
        <v>87</v>
      </c>
      <c r="C105" s="2" t="s">
        <v>2266</v>
      </c>
      <c r="D105" s="108" t="s">
        <v>2267</v>
      </c>
      <c r="E105" s="103"/>
      <c r="F105" s="2" t="s">
        <v>199</v>
      </c>
      <c r="G105" s="38">
        <f>'Stavební rozpočet'!G1227</f>
        <v>2</v>
      </c>
      <c r="H105" s="38">
        <f>'Stavební rozpočet'!H1227</f>
        <v>0</v>
      </c>
      <c r="I105" s="38">
        <f>G105*H105</f>
        <v>0</v>
      </c>
      <c r="J105" s="38">
        <f>'Stavební rozpočet'!J1227</f>
        <v>0</v>
      </c>
      <c r="K105" s="38">
        <f>G105*J105</f>
        <v>0</v>
      </c>
      <c r="L105" s="71" t="s">
        <v>207</v>
      </c>
      <c r="Z105" s="38">
        <f>IF(AQ105="5",BJ105,0)</f>
        <v>0</v>
      </c>
      <c r="AB105" s="38">
        <f>IF(AQ105="1",BH105,0)</f>
        <v>0</v>
      </c>
      <c r="AC105" s="38">
        <f>IF(AQ105="1",BI105,0)</f>
        <v>0</v>
      </c>
      <c r="AD105" s="38">
        <f>IF(AQ105="7",BH105,0)</f>
        <v>0</v>
      </c>
      <c r="AE105" s="38">
        <f>IF(AQ105="7",BI105,0)</f>
        <v>0</v>
      </c>
      <c r="AF105" s="38">
        <f>IF(AQ105="2",BH105,0)</f>
        <v>0</v>
      </c>
      <c r="AG105" s="38">
        <f>IF(AQ105="2",BI105,0)</f>
        <v>0</v>
      </c>
      <c r="AH105" s="38">
        <f>IF(AQ105="0",BJ105,0)</f>
        <v>0</v>
      </c>
      <c r="AI105" s="50" t="s">
        <v>87</v>
      </c>
      <c r="AJ105" s="38">
        <f>IF(AN105=0,I105,0)</f>
        <v>0</v>
      </c>
      <c r="AK105" s="38">
        <f>IF(AN105=12,I105,0)</f>
        <v>0</v>
      </c>
      <c r="AL105" s="38">
        <f>IF(AN105=21,I105,0)</f>
        <v>0</v>
      </c>
      <c r="AN105" s="38">
        <v>21</v>
      </c>
      <c r="AO105" s="38">
        <f>H105*0</f>
        <v>0</v>
      </c>
      <c r="AP105" s="38">
        <f>H105*(1-0)</f>
        <v>0</v>
      </c>
      <c r="AQ105" s="72" t="s">
        <v>132</v>
      </c>
      <c r="AV105" s="38">
        <f>AW105+AX105</f>
        <v>0</v>
      </c>
      <c r="AW105" s="38">
        <f>G105*AO105</f>
        <v>0</v>
      </c>
      <c r="AX105" s="38">
        <f>G105*AP105</f>
        <v>0</v>
      </c>
      <c r="AY105" s="72" t="s">
        <v>1643</v>
      </c>
      <c r="AZ105" s="72" t="s">
        <v>2261</v>
      </c>
      <c r="BA105" s="50" t="s">
        <v>2006</v>
      </c>
      <c r="BC105" s="38">
        <f>AW105+AX105</f>
        <v>0</v>
      </c>
      <c r="BD105" s="38">
        <f>H105/(100-BE105)*100</f>
        <v>0</v>
      </c>
      <c r="BE105" s="38">
        <v>0</v>
      </c>
      <c r="BF105" s="38">
        <f>K105</f>
        <v>0</v>
      </c>
      <c r="BH105" s="38">
        <f>G105*AO105</f>
        <v>0</v>
      </c>
      <c r="BI105" s="38">
        <f>G105*AP105</f>
        <v>0</v>
      </c>
      <c r="BJ105" s="38">
        <f>G105*H105</f>
        <v>0</v>
      </c>
      <c r="BK105" s="38"/>
      <c r="BL105" s="38">
        <v>89</v>
      </c>
      <c r="BW105" s="38">
        <v>21</v>
      </c>
    </row>
    <row r="106" spans="1:75" ht="27" customHeight="1">
      <c r="A106" s="1" t="s">
        <v>648</v>
      </c>
      <c r="B106" s="2" t="s">
        <v>87</v>
      </c>
      <c r="C106" s="2" t="s">
        <v>2269</v>
      </c>
      <c r="D106" s="108" t="s">
        <v>2270</v>
      </c>
      <c r="E106" s="103"/>
      <c r="F106" s="2" t="s">
        <v>199</v>
      </c>
      <c r="G106" s="38">
        <f>'Stavební rozpočet'!G1228</f>
        <v>2</v>
      </c>
      <c r="H106" s="38">
        <f>'Stavební rozpočet'!H1228</f>
        <v>0</v>
      </c>
      <c r="I106" s="38">
        <f>G106*H106</f>
        <v>0</v>
      </c>
      <c r="J106" s="38">
        <f>'Stavební rozpočet'!J1228</f>
        <v>0</v>
      </c>
      <c r="K106" s="38">
        <f>G106*J106</f>
        <v>0</v>
      </c>
      <c r="L106" s="71" t="s">
        <v>207</v>
      </c>
      <c r="Z106" s="38">
        <f>IF(AQ106="5",BJ106,0)</f>
        <v>0</v>
      </c>
      <c r="AB106" s="38">
        <f>IF(AQ106="1",BH106,0)</f>
        <v>0</v>
      </c>
      <c r="AC106" s="38">
        <f>IF(AQ106="1",BI106,0)</f>
        <v>0</v>
      </c>
      <c r="AD106" s="38">
        <f>IF(AQ106="7",BH106,0)</f>
        <v>0</v>
      </c>
      <c r="AE106" s="38">
        <f>IF(AQ106="7",BI106,0)</f>
        <v>0</v>
      </c>
      <c r="AF106" s="38">
        <f>IF(AQ106="2",BH106,0)</f>
        <v>0</v>
      </c>
      <c r="AG106" s="38">
        <f>IF(AQ106="2",BI106,0)</f>
        <v>0</v>
      </c>
      <c r="AH106" s="38">
        <f>IF(AQ106="0",BJ106,0)</f>
        <v>0</v>
      </c>
      <c r="AI106" s="50" t="s">
        <v>87</v>
      </c>
      <c r="AJ106" s="38">
        <f>IF(AN106=0,I106,0)</f>
        <v>0</v>
      </c>
      <c r="AK106" s="38">
        <f>IF(AN106=12,I106,0)</f>
        <v>0</v>
      </c>
      <c r="AL106" s="38">
        <f>IF(AN106=21,I106,0)</f>
        <v>0</v>
      </c>
      <c r="AN106" s="38">
        <v>21</v>
      </c>
      <c r="AO106" s="38">
        <f>H106*0</f>
        <v>0</v>
      </c>
      <c r="AP106" s="38">
        <f>H106*(1-0)</f>
        <v>0</v>
      </c>
      <c r="AQ106" s="72" t="s">
        <v>132</v>
      </c>
      <c r="AV106" s="38">
        <f>AW106+AX106</f>
        <v>0</v>
      </c>
      <c r="AW106" s="38">
        <f>G106*AO106</f>
        <v>0</v>
      </c>
      <c r="AX106" s="38">
        <f>G106*AP106</f>
        <v>0</v>
      </c>
      <c r="AY106" s="72" t="s">
        <v>1643</v>
      </c>
      <c r="AZ106" s="72" t="s">
        <v>2261</v>
      </c>
      <c r="BA106" s="50" t="s">
        <v>2006</v>
      </c>
      <c r="BC106" s="38">
        <f>AW106+AX106</f>
        <v>0</v>
      </c>
      <c r="BD106" s="38">
        <f>H106/(100-BE106)*100</f>
        <v>0</v>
      </c>
      <c r="BE106" s="38">
        <v>0</v>
      </c>
      <c r="BF106" s="38">
        <f>K106</f>
        <v>0</v>
      </c>
      <c r="BH106" s="38">
        <f>G106*AO106</f>
        <v>0</v>
      </c>
      <c r="BI106" s="38">
        <f>G106*AP106</f>
        <v>0</v>
      </c>
      <c r="BJ106" s="38">
        <f>G106*H106</f>
        <v>0</v>
      </c>
      <c r="BK106" s="38"/>
      <c r="BL106" s="38">
        <v>89</v>
      </c>
      <c r="BW106" s="38">
        <v>21</v>
      </c>
    </row>
    <row r="107" spans="1:47" ht="15">
      <c r="A107" s="65" t="s">
        <v>4</v>
      </c>
      <c r="B107" s="66" t="s">
        <v>87</v>
      </c>
      <c r="C107" s="66" t="s">
        <v>2271</v>
      </c>
      <c r="D107" s="192" t="s">
        <v>2272</v>
      </c>
      <c r="E107" s="193"/>
      <c r="F107" s="67" t="s">
        <v>78</v>
      </c>
      <c r="G107" s="67" t="s">
        <v>78</v>
      </c>
      <c r="H107" s="67" t="s">
        <v>78</v>
      </c>
      <c r="I107" s="44">
        <f>SUM(I108:I109)</f>
        <v>0</v>
      </c>
      <c r="J107" s="50" t="s">
        <v>4</v>
      </c>
      <c r="K107" s="44">
        <f>SUM(K108:K109)</f>
        <v>0</v>
      </c>
      <c r="L107" s="69" t="s">
        <v>4</v>
      </c>
      <c r="AI107" s="50" t="s">
        <v>87</v>
      </c>
      <c r="AS107" s="44">
        <f>SUM(AJ108:AJ109)</f>
        <v>0</v>
      </c>
      <c r="AT107" s="44">
        <f>SUM(AK108:AK109)</f>
        <v>0</v>
      </c>
      <c r="AU107" s="44">
        <f>SUM(AL108:AL109)</f>
        <v>0</v>
      </c>
    </row>
    <row r="108" spans="1:75" ht="13.5" customHeight="1">
      <c r="A108" s="1" t="s">
        <v>654</v>
      </c>
      <c r="B108" s="2" t="s">
        <v>87</v>
      </c>
      <c r="C108" s="2" t="s">
        <v>2274</v>
      </c>
      <c r="D108" s="108" t="s">
        <v>2275</v>
      </c>
      <c r="E108" s="103"/>
      <c r="F108" s="2" t="s">
        <v>1199</v>
      </c>
      <c r="G108" s="38">
        <f>'Stavební rozpočet'!G1230</f>
        <v>48.46</v>
      </c>
      <c r="H108" s="38">
        <f>'Stavební rozpočet'!H1230</f>
        <v>0</v>
      </c>
      <c r="I108" s="38">
        <f>G108*H108</f>
        <v>0</v>
      </c>
      <c r="J108" s="38">
        <f>'Stavební rozpočet'!J1230</f>
        <v>0</v>
      </c>
      <c r="K108" s="38">
        <f>G108*J108</f>
        <v>0</v>
      </c>
      <c r="L108" s="71" t="s">
        <v>207</v>
      </c>
      <c r="Z108" s="38">
        <f>IF(AQ108="5",BJ108,0)</f>
        <v>0</v>
      </c>
      <c r="AB108" s="38">
        <f>IF(AQ108="1",BH108,0)</f>
        <v>0</v>
      </c>
      <c r="AC108" s="38">
        <f>IF(AQ108="1",BI108,0)</f>
        <v>0</v>
      </c>
      <c r="AD108" s="38">
        <f>IF(AQ108="7",BH108,0)</f>
        <v>0</v>
      </c>
      <c r="AE108" s="38">
        <f>IF(AQ108="7",BI108,0)</f>
        <v>0</v>
      </c>
      <c r="AF108" s="38">
        <f>IF(AQ108="2",BH108,0)</f>
        <v>0</v>
      </c>
      <c r="AG108" s="38">
        <f>IF(AQ108="2",BI108,0)</f>
        <v>0</v>
      </c>
      <c r="AH108" s="38">
        <f>IF(AQ108="0",BJ108,0)</f>
        <v>0</v>
      </c>
      <c r="AI108" s="50" t="s">
        <v>87</v>
      </c>
      <c r="AJ108" s="38">
        <f>IF(AN108=0,I108,0)</f>
        <v>0</v>
      </c>
      <c r="AK108" s="38">
        <f>IF(AN108=12,I108,0)</f>
        <v>0</v>
      </c>
      <c r="AL108" s="38">
        <f>IF(AN108=21,I108,0)</f>
        <v>0</v>
      </c>
      <c r="AN108" s="38">
        <v>21</v>
      </c>
      <c r="AO108" s="38">
        <f>H108*0</f>
        <v>0</v>
      </c>
      <c r="AP108" s="38">
        <f>H108*(1-0)</f>
        <v>0</v>
      </c>
      <c r="AQ108" s="72" t="s">
        <v>143</v>
      </c>
      <c r="AV108" s="38">
        <f>AW108+AX108</f>
        <v>0</v>
      </c>
      <c r="AW108" s="38">
        <f>G108*AO108</f>
        <v>0</v>
      </c>
      <c r="AX108" s="38">
        <f>G108*AP108</f>
        <v>0</v>
      </c>
      <c r="AY108" s="72" t="s">
        <v>2276</v>
      </c>
      <c r="AZ108" s="72" t="s">
        <v>2277</v>
      </c>
      <c r="BA108" s="50" t="s">
        <v>2006</v>
      </c>
      <c r="BC108" s="38">
        <f>AW108+AX108</f>
        <v>0</v>
      </c>
      <c r="BD108" s="38">
        <f>H108/(100-BE108)*100</f>
        <v>0</v>
      </c>
      <c r="BE108" s="38">
        <v>0</v>
      </c>
      <c r="BF108" s="38">
        <f>K108</f>
        <v>0</v>
      </c>
      <c r="BH108" s="38">
        <f>G108*AO108</f>
        <v>0</v>
      </c>
      <c r="BI108" s="38">
        <f>G108*AP108</f>
        <v>0</v>
      </c>
      <c r="BJ108" s="38">
        <f>G108*H108</f>
        <v>0</v>
      </c>
      <c r="BK108" s="38"/>
      <c r="BL108" s="38"/>
      <c r="BW108" s="38">
        <v>21</v>
      </c>
    </row>
    <row r="109" spans="1:75" ht="13.5" customHeight="1">
      <c r="A109" s="78" t="s">
        <v>659</v>
      </c>
      <c r="B109" s="79" t="s">
        <v>87</v>
      </c>
      <c r="C109" s="79" t="s">
        <v>2279</v>
      </c>
      <c r="D109" s="198" t="s">
        <v>2280</v>
      </c>
      <c r="E109" s="199"/>
      <c r="F109" s="79" t="s">
        <v>199</v>
      </c>
      <c r="G109" s="80">
        <f>'Stavební rozpočet'!G1231</f>
        <v>18</v>
      </c>
      <c r="H109" s="80">
        <f>'Stavební rozpočet'!H1231</f>
        <v>0</v>
      </c>
      <c r="I109" s="80">
        <f>G109*H109</f>
        <v>0</v>
      </c>
      <c r="J109" s="80">
        <f>'Stavební rozpočet'!J1231</f>
        <v>0</v>
      </c>
      <c r="K109" s="80">
        <f>G109*J109</f>
        <v>0</v>
      </c>
      <c r="L109" s="82" t="s">
        <v>207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87</v>
      </c>
      <c r="AJ109" s="80">
        <f>IF(AN109=0,I109,0)</f>
        <v>0</v>
      </c>
      <c r="AK109" s="80">
        <f>IF(AN109=12,I109,0)</f>
        <v>0</v>
      </c>
      <c r="AL109" s="80">
        <f>IF(AN109=21,I109,0)</f>
        <v>0</v>
      </c>
      <c r="AN109" s="38">
        <v>21</v>
      </c>
      <c r="AO109" s="38">
        <f>H109*1</f>
        <v>0</v>
      </c>
      <c r="AP109" s="38">
        <f>H109*(1-1)</f>
        <v>0</v>
      </c>
      <c r="AQ109" s="83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2276</v>
      </c>
      <c r="AZ109" s="72" t="s">
        <v>2277</v>
      </c>
      <c r="BA109" s="50" t="s">
        <v>2006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0</v>
      </c>
      <c r="BH109" s="80">
        <f>G109*AO109</f>
        <v>0</v>
      </c>
      <c r="BI109" s="80">
        <f>G109*AP109</f>
        <v>0</v>
      </c>
      <c r="BJ109" s="80">
        <f>G109*H109</f>
        <v>0</v>
      </c>
      <c r="BK109" s="80"/>
      <c r="BL109" s="38"/>
      <c r="BW109" s="38">
        <v>21</v>
      </c>
    </row>
    <row r="110" spans="1:47" ht="15">
      <c r="A110" s="65" t="s">
        <v>4</v>
      </c>
      <c r="B110" s="66" t="s">
        <v>87</v>
      </c>
      <c r="C110" s="66" t="s">
        <v>2281</v>
      </c>
      <c r="D110" s="192" t="s">
        <v>2282</v>
      </c>
      <c r="E110" s="193"/>
      <c r="F110" s="67" t="s">
        <v>78</v>
      </c>
      <c r="G110" s="67" t="s">
        <v>78</v>
      </c>
      <c r="H110" s="67" t="s">
        <v>78</v>
      </c>
      <c r="I110" s="44">
        <f>SUM(I111:I114)</f>
        <v>0</v>
      </c>
      <c r="J110" s="50" t="s">
        <v>4</v>
      </c>
      <c r="K110" s="44">
        <f>SUM(K111:K114)</f>
        <v>0</v>
      </c>
      <c r="L110" s="69" t="s">
        <v>4</v>
      </c>
      <c r="AI110" s="50" t="s">
        <v>87</v>
      </c>
      <c r="AS110" s="44">
        <f>SUM(AJ111:AJ114)</f>
        <v>0</v>
      </c>
      <c r="AT110" s="44">
        <f>SUM(AK111:AK114)</f>
        <v>0</v>
      </c>
      <c r="AU110" s="44">
        <f>SUM(AL111:AL114)</f>
        <v>0</v>
      </c>
    </row>
    <row r="111" spans="1:75" ht="27" customHeight="1">
      <c r="A111" s="1" t="s">
        <v>663</v>
      </c>
      <c r="B111" s="2" t="s">
        <v>87</v>
      </c>
      <c r="C111" s="2" t="s">
        <v>2284</v>
      </c>
      <c r="D111" s="108" t="s">
        <v>2285</v>
      </c>
      <c r="E111" s="103"/>
      <c r="F111" s="2" t="s">
        <v>2286</v>
      </c>
      <c r="G111" s="38">
        <f>'Stavební rozpočet'!G1233</f>
        <v>100</v>
      </c>
      <c r="H111" s="38">
        <f>'Stavební rozpočet'!H1233</f>
        <v>0</v>
      </c>
      <c r="I111" s="38">
        <f>G111*H111</f>
        <v>0</v>
      </c>
      <c r="J111" s="38">
        <f>'Stavební rozpočet'!J1233</f>
        <v>0</v>
      </c>
      <c r="K111" s="38">
        <f>G111*J111</f>
        <v>0</v>
      </c>
      <c r="L111" s="71" t="s">
        <v>207</v>
      </c>
      <c r="Z111" s="38">
        <f>IF(AQ111="5",BJ111,0)</f>
        <v>0</v>
      </c>
      <c r="AB111" s="38">
        <f>IF(AQ111="1",BH111,0)</f>
        <v>0</v>
      </c>
      <c r="AC111" s="38">
        <f>IF(AQ111="1",BI111,0)</f>
        <v>0</v>
      </c>
      <c r="AD111" s="38">
        <f>IF(AQ111="7",BH111,0)</f>
        <v>0</v>
      </c>
      <c r="AE111" s="38">
        <f>IF(AQ111="7",BI111,0)</f>
        <v>0</v>
      </c>
      <c r="AF111" s="38">
        <f>IF(AQ111="2",BH111,0)</f>
        <v>0</v>
      </c>
      <c r="AG111" s="38">
        <f>IF(AQ111="2",BI111,0)</f>
        <v>0</v>
      </c>
      <c r="AH111" s="38">
        <f>IF(AQ111="0",BJ111,0)</f>
        <v>0</v>
      </c>
      <c r="AI111" s="50" t="s">
        <v>87</v>
      </c>
      <c r="AJ111" s="38">
        <f>IF(AN111=0,I111,0)</f>
        <v>0</v>
      </c>
      <c r="AK111" s="38">
        <f>IF(AN111=12,I111,0)</f>
        <v>0</v>
      </c>
      <c r="AL111" s="38">
        <f>IF(AN111=21,I111,0)</f>
        <v>0</v>
      </c>
      <c r="AN111" s="38">
        <v>21</v>
      </c>
      <c r="AO111" s="38">
        <f>H111*0</f>
        <v>0</v>
      </c>
      <c r="AP111" s="38">
        <f>H111*(1-0)</f>
        <v>0</v>
      </c>
      <c r="AQ111" s="72" t="s">
        <v>132</v>
      </c>
      <c r="AV111" s="38">
        <f>AW111+AX111</f>
        <v>0</v>
      </c>
      <c r="AW111" s="38">
        <f>G111*AO111</f>
        <v>0</v>
      </c>
      <c r="AX111" s="38">
        <f>G111*AP111</f>
        <v>0</v>
      </c>
      <c r="AY111" s="72" t="s">
        <v>2287</v>
      </c>
      <c r="AZ111" s="72" t="s">
        <v>2277</v>
      </c>
      <c r="BA111" s="50" t="s">
        <v>2006</v>
      </c>
      <c r="BC111" s="38">
        <f>AW111+AX111</f>
        <v>0</v>
      </c>
      <c r="BD111" s="38">
        <f>H111/(100-BE111)*100</f>
        <v>0</v>
      </c>
      <c r="BE111" s="38">
        <v>0</v>
      </c>
      <c r="BF111" s="38">
        <f>K111</f>
        <v>0</v>
      </c>
      <c r="BH111" s="38">
        <f>G111*AO111</f>
        <v>0</v>
      </c>
      <c r="BI111" s="38">
        <f>G111*AP111</f>
        <v>0</v>
      </c>
      <c r="BJ111" s="38">
        <f>G111*H111</f>
        <v>0</v>
      </c>
      <c r="BK111" s="38"/>
      <c r="BL111" s="38"/>
      <c r="BW111" s="38">
        <v>21</v>
      </c>
    </row>
    <row r="112" spans="1:75" ht="13.5" customHeight="1">
      <c r="A112" s="1" t="s">
        <v>670</v>
      </c>
      <c r="B112" s="2" t="s">
        <v>87</v>
      </c>
      <c r="C112" s="2" t="s">
        <v>2289</v>
      </c>
      <c r="D112" s="108" t="s">
        <v>2290</v>
      </c>
      <c r="E112" s="103"/>
      <c r="F112" s="2" t="s">
        <v>2286</v>
      </c>
      <c r="G112" s="38">
        <f>'Stavební rozpočet'!G1234</f>
        <v>8</v>
      </c>
      <c r="H112" s="38">
        <f>'Stavební rozpočet'!H1234</f>
        <v>0</v>
      </c>
      <c r="I112" s="38">
        <f>G112*H112</f>
        <v>0</v>
      </c>
      <c r="J112" s="38">
        <f>'Stavební rozpočet'!J1234</f>
        <v>0</v>
      </c>
      <c r="K112" s="38">
        <f>G112*J112</f>
        <v>0</v>
      </c>
      <c r="L112" s="71" t="s">
        <v>207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50" t="s">
        <v>87</v>
      </c>
      <c r="AJ112" s="38">
        <f>IF(AN112=0,I112,0)</f>
        <v>0</v>
      </c>
      <c r="AK112" s="38">
        <f>IF(AN112=12,I112,0)</f>
        <v>0</v>
      </c>
      <c r="AL112" s="38">
        <f>IF(AN112=21,I112,0)</f>
        <v>0</v>
      </c>
      <c r="AN112" s="38">
        <v>21</v>
      </c>
      <c r="AO112" s="38">
        <f>H112*0</f>
        <v>0</v>
      </c>
      <c r="AP112" s="38">
        <f>H112*(1-0)</f>
        <v>0</v>
      </c>
      <c r="AQ112" s="72" t="s">
        <v>132</v>
      </c>
      <c r="AV112" s="38">
        <f>AW112+AX112</f>
        <v>0</v>
      </c>
      <c r="AW112" s="38">
        <f>G112*AO112</f>
        <v>0</v>
      </c>
      <c r="AX112" s="38">
        <f>G112*AP112</f>
        <v>0</v>
      </c>
      <c r="AY112" s="72" t="s">
        <v>2287</v>
      </c>
      <c r="AZ112" s="72" t="s">
        <v>2277</v>
      </c>
      <c r="BA112" s="50" t="s">
        <v>2006</v>
      </c>
      <c r="BC112" s="38">
        <f>AW112+AX112</f>
        <v>0</v>
      </c>
      <c r="BD112" s="38">
        <f>H112/(100-BE112)*100</f>
        <v>0</v>
      </c>
      <c r="BE112" s="38">
        <v>0</v>
      </c>
      <c r="BF112" s="38">
        <f>K112</f>
        <v>0</v>
      </c>
      <c r="BH112" s="38">
        <f>G112*AO112</f>
        <v>0</v>
      </c>
      <c r="BI112" s="38">
        <f>G112*AP112</f>
        <v>0</v>
      </c>
      <c r="BJ112" s="38">
        <f>G112*H112</f>
        <v>0</v>
      </c>
      <c r="BK112" s="38"/>
      <c r="BL112" s="38"/>
      <c r="BW112" s="38">
        <v>21</v>
      </c>
    </row>
    <row r="113" spans="1:75" ht="27" customHeight="1">
      <c r="A113" s="1" t="s">
        <v>675</v>
      </c>
      <c r="B113" s="2" t="s">
        <v>87</v>
      </c>
      <c r="C113" s="2" t="s">
        <v>2292</v>
      </c>
      <c r="D113" s="108" t="s">
        <v>2293</v>
      </c>
      <c r="E113" s="103"/>
      <c r="F113" s="2" t="s">
        <v>2286</v>
      </c>
      <c r="G113" s="38">
        <f>'Stavební rozpočet'!G1235</f>
        <v>72</v>
      </c>
      <c r="H113" s="38">
        <f>'Stavební rozpočet'!H1235</f>
        <v>0</v>
      </c>
      <c r="I113" s="38">
        <f>G113*H113</f>
        <v>0</v>
      </c>
      <c r="J113" s="38">
        <f>'Stavební rozpočet'!J1235</f>
        <v>0</v>
      </c>
      <c r="K113" s="38">
        <f>G113*J113</f>
        <v>0</v>
      </c>
      <c r="L113" s="71" t="s">
        <v>207</v>
      </c>
      <c r="Z113" s="38">
        <f>IF(AQ113="5",BJ113,0)</f>
        <v>0</v>
      </c>
      <c r="AB113" s="38">
        <f>IF(AQ113="1",BH113,0)</f>
        <v>0</v>
      </c>
      <c r="AC113" s="38">
        <f>IF(AQ113="1",BI113,0)</f>
        <v>0</v>
      </c>
      <c r="AD113" s="38">
        <f>IF(AQ113="7",BH113,0)</f>
        <v>0</v>
      </c>
      <c r="AE113" s="38">
        <f>IF(AQ113="7",BI113,0)</f>
        <v>0</v>
      </c>
      <c r="AF113" s="38">
        <f>IF(AQ113="2",BH113,0)</f>
        <v>0</v>
      </c>
      <c r="AG113" s="38">
        <f>IF(AQ113="2",BI113,0)</f>
        <v>0</v>
      </c>
      <c r="AH113" s="38">
        <f>IF(AQ113="0",BJ113,0)</f>
        <v>0</v>
      </c>
      <c r="AI113" s="50" t="s">
        <v>87</v>
      </c>
      <c r="AJ113" s="38">
        <f>IF(AN113=0,I113,0)</f>
        <v>0</v>
      </c>
      <c r="AK113" s="38">
        <f>IF(AN113=12,I113,0)</f>
        <v>0</v>
      </c>
      <c r="AL113" s="38">
        <f>IF(AN113=21,I113,0)</f>
        <v>0</v>
      </c>
      <c r="AN113" s="38">
        <v>21</v>
      </c>
      <c r="AO113" s="38">
        <f>H113*0</f>
        <v>0</v>
      </c>
      <c r="AP113" s="38">
        <f>H113*(1-0)</f>
        <v>0</v>
      </c>
      <c r="AQ113" s="72" t="s">
        <v>132</v>
      </c>
      <c r="AV113" s="38">
        <f>AW113+AX113</f>
        <v>0</v>
      </c>
      <c r="AW113" s="38">
        <f>G113*AO113</f>
        <v>0</v>
      </c>
      <c r="AX113" s="38">
        <f>G113*AP113</f>
        <v>0</v>
      </c>
      <c r="AY113" s="72" t="s">
        <v>2287</v>
      </c>
      <c r="AZ113" s="72" t="s">
        <v>2277</v>
      </c>
      <c r="BA113" s="50" t="s">
        <v>2006</v>
      </c>
      <c r="BC113" s="38">
        <f>AW113+AX113</f>
        <v>0</v>
      </c>
      <c r="BD113" s="38">
        <f>H113/(100-BE113)*100</f>
        <v>0</v>
      </c>
      <c r="BE113" s="38">
        <v>0</v>
      </c>
      <c r="BF113" s="38">
        <f>K113</f>
        <v>0</v>
      </c>
      <c r="BH113" s="38">
        <f>G113*AO113</f>
        <v>0</v>
      </c>
      <c r="BI113" s="38">
        <f>G113*AP113</f>
        <v>0</v>
      </c>
      <c r="BJ113" s="38">
        <f>G113*H113</f>
        <v>0</v>
      </c>
      <c r="BK113" s="38"/>
      <c r="BL113" s="38"/>
      <c r="BW113" s="38">
        <v>21</v>
      </c>
    </row>
    <row r="114" spans="1:75" ht="13.5" customHeight="1">
      <c r="A114" s="3" t="s">
        <v>680</v>
      </c>
      <c r="B114" s="4" t="s">
        <v>87</v>
      </c>
      <c r="C114" s="4" t="s">
        <v>2295</v>
      </c>
      <c r="D114" s="200" t="s">
        <v>2296</v>
      </c>
      <c r="E114" s="106"/>
      <c r="F114" s="4" t="s">
        <v>2286</v>
      </c>
      <c r="G114" s="40">
        <f>'Stavební rozpočet'!G1236</f>
        <v>12</v>
      </c>
      <c r="H114" s="40">
        <f>'Stavební rozpočet'!H1236</f>
        <v>0</v>
      </c>
      <c r="I114" s="40">
        <f>G114*H114</f>
        <v>0</v>
      </c>
      <c r="J114" s="40">
        <f>'Stavební rozpočet'!J1236</f>
        <v>0</v>
      </c>
      <c r="K114" s="40">
        <f>G114*J114</f>
        <v>0</v>
      </c>
      <c r="L114" s="94" t="s">
        <v>207</v>
      </c>
      <c r="Z114" s="38">
        <f>IF(AQ114="5",BJ114,0)</f>
        <v>0</v>
      </c>
      <c r="AB114" s="38">
        <f>IF(AQ114="1",BH114,0)</f>
        <v>0</v>
      </c>
      <c r="AC114" s="38">
        <f>IF(AQ114="1",BI114,0)</f>
        <v>0</v>
      </c>
      <c r="AD114" s="38">
        <f>IF(AQ114="7",BH114,0)</f>
        <v>0</v>
      </c>
      <c r="AE114" s="38">
        <f>IF(AQ114="7",BI114,0)</f>
        <v>0</v>
      </c>
      <c r="AF114" s="38">
        <f>IF(AQ114="2",BH114,0)</f>
        <v>0</v>
      </c>
      <c r="AG114" s="38">
        <f>IF(AQ114="2",BI114,0)</f>
        <v>0</v>
      </c>
      <c r="AH114" s="38">
        <f>IF(AQ114="0",BJ114,0)</f>
        <v>0</v>
      </c>
      <c r="AI114" s="50" t="s">
        <v>87</v>
      </c>
      <c r="AJ114" s="38">
        <f>IF(AN114=0,I114,0)</f>
        <v>0</v>
      </c>
      <c r="AK114" s="38">
        <f>IF(AN114=12,I114,0)</f>
        <v>0</v>
      </c>
      <c r="AL114" s="38">
        <f>IF(AN114=21,I114,0)</f>
        <v>0</v>
      </c>
      <c r="AN114" s="38">
        <v>21</v>
      </c>
      <c r="AO114" s="38">
        <f>H114*0</f>
        <v>0</v>
      </c>
      <c r="AP114" s="38">
        <f>H114*(1-0)</f>
        <v>0</v>
      </c>
      <c r="AQ114" s="72" t="s">
        <v>132</v>
      </c>
      <c r="AV114" s="38">
        <f>AW114+AX114</f>
        <v>0</v>
      </c>
      <c r="AW114" s="38">
        <f>G114*AO114</f>
        <v>0</v>
      </c>
      <c r="AX114" s="38">
        <f>G114*AP114</f>
        <v>0</v>
      </c>
      <c r="AY114" s="72" t="s">
        <v>2287</v>
      </c>
      <c r="AZ114" s="72" t="s">
        <v>2277</v>
      </c>
      <c r="BA114" s="50" t="s">
        <v>2006</v>
      </c>
      <c r="BC114" s="38">
        <f>AW114+AX114</f>
        <v>0</v>
      </c>
      <c r="BD114" s="38">
        <f>H114/(100-BE114)*100</f>
        <v>0</v>
      </c>
      <c r="BE114" s="38">
        <v>0</v>
      </c>
      <c r="BF114" s="38">
        <f>K114</f>
        <v>0</v>
      </c>
      <c r="BH114" s="38">
        <f>G114*AO114</f>
        <v>0</v>
      </c>
      <c r="BI114" s="38">
        <f>G114*AP114</f>
        <v>0</v>
      </c>
      <c r="BJ114" s="38">
        <f>G114*H114</f>
        <v>0</v>
      </c>
      <c r="BK114" s="38"/>
      <c r="BL114" s="38"/>
      <c r="BW114" s="38">
        <v>21</v>
      </c>
    </row>
    <row r="115" ht="15">
      <c r="I115" s="42">
        <f>ROUND(I13+I17+I19+I24+I30+I47+I72+I76+I94+I97+I102+I107+I110,0)</f>
        <v>0</v>
      </c>
    </row>
    <row r="116" ht="15">
      <c r="A116" s="43" t="s">
        <v>56</v>
      </c>
    </row>
    <row r="117" spans="1:12" ht="12.75" customHeight="1">
      <c r="A117" s="108" t="s">
        <v>4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</sheetData>
  <sheetProtection password="F483" sheet="1"/>
  <mergeCells count="132">
    <mergeCell ref="A117:L117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L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1"/>
  <sheetViews>
    <sheetView workbookViewId="0" topLeftCell="A1">
      <pane ySplit="11" topLeftCell="A12" activePane="bottomLeft" state="frozen"/>
      <selection pane="bottomLeft" activeCell="A71" sqref="A71:L71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4.281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01" t="s">
        <v>76</v>
      </c>
      <c r="G2" s="101"/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>
      <c r="A3" s="102"/>
      <c r="B3" s="103"/>
      <c r="C3" s="103"/>
      <c r="D3" s="111"/>
      <c r="E3" s="111"/>
      <c r="F3" s="103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 t="s">
        <v>9</v>
      </c>
      <c r="G4" s="103"/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 t="s">
        <v>10</v>
      </c>
      <c r="G6" s="103"/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 t="s">
        <v>77</v>
      </c>
      <c r="G8" s="103"/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86" t="s">
        <v>82</v>
      </c>
      <c r="E10" s="187"/>
      <c r="F10" s="46" t="s">
        <v>107</v>
      </c>
      <c r="G10" s="47" t="s">
        <v>108</v>
      </c>
      <c r="H10" s="92" t="s">
        <v>109</v>
      </c>
      <c r="I10" s="28" t="s">
        <v>79</v>
      </c>
      <c r="J10" s="188" t="s">
        <v>80</v>
      </c>
      <c r="K10" s="189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89</v>
      </c>
      <c r="C12" s="59" t="s">
        <v>4</v>
      </c>
      <c r="D12" s="190" t="s">
        <v>90</v>
      </c>
      <c r="E12" s="191"/>
      <c r="F12" s="60" t="s">
        <v>78</v>
      </c>
      <c r="G12" s="60" t="s">
        <v>78</v>
      </c>
      <c r="H12" s="60" t="s">
        <v>78</v>
      </c>
      <c r="I12" s="62">
        <f>I13+I18+I29+I39+I48+I61+I64</f>
        <v>0</v>
      </c>
      <c r="J12" s="63" t="s">
        <v>4</v>
      </c>
      <c r="K12" s="62">
        <f>K13+K18+K29+K39+K48+K61+K64</f>
        <v>0</v>
      </c>
      <c r="L12" s="64" t="s">
        <v>4</v>
      </c>
    </row>
    <row r="13" spans="1:47" ht="15">
      <c r="A13" s="65" t="s">
        <v>4</v>
      </c>
      <c r="B13" s="66" t="s">
        <v>89</v>
      </c>
      <c r="C13" s="66" t="s">
        <v>890</v>
      </c>
      <c r="D13" s="192" t="s">
        <v>891</v>
      </c>
      <c r="E13" s="193"/>
      <c r="F13" s="67" t="s">
        <v>78</v>
      </c>
      <c r="G13" s="67" t="s">
        <v>78</v>
      </c>
      <c r="H13" s="67" t="s">
        <v>78</v>
      </c>
      <c r="I13" s="44">
        <f>SUM(I14:I17)</f>
        <v>0</v>
      </c>
      <c r="J13" s="50" t="s">
        <v>4</v>
      </c>
      <c r="K13" s="44">
        <f>SUM(K14:K17)</f>
        <v>0</v>
      </c>
      <c r="L13" s="69" t="s">
        <v>4</v>
      </c>
      <c r="AI13" s="50" t="s">
        <v>89</v>
      </c>
      <c r="AS13" s="44">
        <f>SUM(AJ14:AJ17)</f>
        <v>0</v>
      </c>
      <c r="AT13" s="44">
        <f>SUM(AK14:AK17)</f>
        <v>0</v>
      </c>
      <c r="AU13" s="44">
        <f>SUM(AL14:AL17)</f>
        <v>0</v>
      </c>
    </row>
    <row r="14" spans="1:75" ht="27" customHeight="1">
      <c r="A14" s="1" t="s">
        <v>132</v>
      </c>
      <c r="B14" s="2" t="s">
        <v>89</v>
      </c>
      <c r="C14" s="2" t="s">
        <v>2298</v>
      </c>
      <c r="D14" s="108" t="s">
        <v>2299</v>
      </c>
      <c r="E14" s="103"/>
      <c r="F14" s="2" t="s">
        <v>214</v>
      </c>
      <c r="G14" s="38">
        <f>'Stavební rozpočet'!G1239</f>
        <v>107.84</v>
      </c>
      <c r="H14" s="38">
        <f>'Stavební rozpočet'!H1239</f>
        <v>0</v>
      </c>
      <c r="I14" s="38">
        <f>G14*H14</f>
        <v>0</v>
      </c>
      <c r="J14" s="38">
        <f>'Stavební rozpočet'!J1239</f>
        <v>0</v>
      </c>
      <c r="K14" s="38">
        <f>G14*J14</f>
        <v>0</v>
      </c>
      <c r="L14" s="71" t="s">
        <v>207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89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169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895</v>
      </c>
      <c r="AZ14" s="72" t="s">
        <v>2300</v>
      </c>
      <c r="BA14" s="50" t="s">
        <v>2301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>
        <v>713</v>
      </c>
      <c r="BW14" s="38">
        <v>21</v>
      </c>
    </row>
    <row r="15" spans="1:75" ht="13.5" customHeight="1">
      <c r="A15" s="78" t="s">
        <v>143</v>
      </c>
      <c r="B15" s="79" t="s">
        <v>89</v>
      </c>
      <c r="C15" s="79" t="s">
        <v>2303</v>
      </c>
      <c r="D15" s="198" t="s">
        <v>2304</v>
      </c>
      <c r="E15" s="199"/>
      <c r="F15" s="79" t="s">
        <v>214</v>
      </c>
      <c r="G15" s="80">
        <f>'Stavební rozpočet'!G1240</f>
        <v>15</v>
      </c>
      <c r="H15" s="80">
        <f>'Stavební rozpočet'!H1240</f>
        <v>0</v>
      </c>
      <c r="I15" s="80">
        <f>G15*H15</f>
        <v>0</v>
      </c>
      <c r="J15" s="80">
        <f>'Stavební rozpočet'!J1240</f>
        <v>0</v>
      </c>
      <c r="K15" s="80">
        <f>G15*J15</f>
        <v>0</v>
      </c>
      <c r="L15" s="82" t="s">
        <v>207</v>
      </c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50" t="s">
        <v>89</v>
      </c>
      <c r="AJ15" s="80">
        <f>IF(AN15=0,I15,0)</f>
        <v>0</v>
      </c>
      <c r="AK15" s="80">
        <f>IF(AN15=12,I15,0)</f>
        <v>0</v>
      </c>
      <c r="AL15" s="80">
        <f>IF(AN15=21,I15,0)</f>
        <v>0</v>
      </c>
      <c r="AN15" s="38">
        <v>21</v>
      </c>
      <c r="AO15" s="38">
        <f>H15*1</f>
        <v>0</v>
      </c>
      <c r="AP15" s="38">
        <f>H15*(1-1)</f>
        <v>0</v>
      </c>
      <c r="AQ15" s="83" t="s">
        <v>169</v>
      </c>
      <c r="AV15" s="38">
        <f>AW15+AX15</f>
        <v>0</v>
      </c>
      <c r="AW15" s="38">
        <f>G15*AO15</f>
        <v>0</v>
      </c>
      <c r="AX15" s="38">
        <f>G15*AP15</f>
        <v>0</v>
      </c>
      <c r="AY15" s="72" t="s">
        <v>895</v>
      </c>
      <c r="AZ15" s="72" t="s">
        <v>2300</v>
      </c>
      <c r="BA15" s="50" t="s">
        <v>2301</v>
      </c>
      <c r="BC15" s="38">
        <f>AW15+AX15</f>
        <v>0</v>
      </c>
      <c r="BD15" s="38">
        <f>H15/(100-BE15)*100</f>
        <v>0</v>
      </c>
      <c r="BE15" s="38">
        <v>0</v>
      </c>
      <c r="BF15" s="38">
        <f>K15</f>
        <v>0</v>
      </c>
      <c r="BH15" s="80">
        <f>G15*AO15</f>
        <v>0</v>
      </c>
      <c r="BI15" s="80">
        <f>G15*AP15</f>
        <v>0</v>
      </c>
      <c r="BJ15" s="80">
        <f>G15*H15</f>
        <v>0</v>
      </c>
      <c r="BK15" s="80"/>
      <c r="BL15" s="38">
        <v>713</v>
      </c>
      <c r="BW15" s="38">
        <v>21</v>
      </c>
    </row>
    <row r="16" spans="1:75" ht="13.5" customHeight="1">
      <c r="A16" s="78" t="s">
        <v>149</v>
      </c>
      <c r="B16" s="79" t="s">
        <v>89</v>
      </c>
      <c r="C16" s="79" t="s">
        <v>2306</v>
      </c>
      <c r="D16" s="198" t="s">
        <v>2307</v>
      </c>
      <c r="E16" s="199"/>
      <c r="F16" s="79" t="s">
        <v>214</v>
      </c>
      <c r="G16" s="80">
        <f>'Stavební rozpočet'!G1241</f>
        <v>20</v>
      </c>
      <c r="H16" s="80">
        <f>'Stavební rozpočet'!H1241</f>
        <v>0</v>
      </c>
      <c r="I16" s="80">
        <f>G16*H16</f>
        <v>0</v>
      </c>
      <c r="J16" s="80">
        <f>'Stavební rozpočet'!J1241</f>
        <v>0</v>
      </c>
      <c r="K16" s="80">
        <f>G16*J16</f>
        <v>0</v>
      </c>
      <c r="L16" s="82" t="s">
        <v>207</v>
      </c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50" t="s">
        <v>89</v>
      </c>
      <c r="AJ16" s="80">
        <f>IF(AN16=0,I16,0)</f>
        <v>0</v>
      </c>
      <c r="AK16" s="80">
        <f>IF(AN16=12,I16,0)</f>
        <v>0</v>
      </c>
      <c r="AL16" s="80">
        <f>IF(AN16=21,I16,0)</f>
        <v>0</v>
      </c>
      <c r="AN16" s="38">
        <v>21</v>
      </c>
      <c r="AO16" s="38">
        <f>H16*1</f>
        <v>0</v>
      </c>
      <c r="AP16" s="38">
        <f>H16*(1-1)</f>
        <v>0</v>
      </c>
      <c r="AQ16" s="83" t="s">
        <v>169</v>
      </c>
      <c r="AV16" s="38">
        <f>AW16+AX16</f>
        <v>0</v>
      </c>
      <c r="AW16" s="38">
        <f>G16*AO16</f>
        <v>0</v>
      </c>
      <c r="AX16" s="38">
        <f>G16*AP16</f>
        <v>0</v>
      </c>
      <c r="AY16" s="72" t="s">
        <v>895</v>
      </c>
      <c r="AZ16" s="72" t="s">
        <v>2300</v>
      </c>
      <c r="BA16" s="50" t="s">
        <v>2301</v>
      </c>
      <c r="BC16" s="38">
        <f>AW16+AX16</f>
        <v>0</v>
      </c>
      <c r="BD16" s="38">
        <f>H16/(100-BE16)*100</f>
        <v>0</v>
      </c>
      <c r="BE16" s="38">
        <v>0</v>
      </c>
      <c r="BF16" s="38">
        <f>K16</f>
        <v>0</v>
      </c>
      <c r="BH16" s="80">
        <f>G16*AO16</f>
        <v>0</v>
      </c>
      <c r="BI16" s="80">
        <f>G16*AP16</f>
        <v>0</v>
      </c>
      <c r="BJ16" s="80">
        <f>G16*H16</f>
        <v>0</v>
      </c>
      <c r="BK16" s="80"/>
      <c r="BL16" s="38">
        <v>713</v>
      </c>
      <c r="BW16" s="38">
        <v>21</v>
      </c>
    </row>
    <row r="17" spans="1:75" ht="13.5" customHeight="1">
      <c r="A17" s="78" t="s">
        <v>157</v>
      </c>
      <c r="B17" s="79" t="s">
        <v>89</v>
      </c>
      <c r="C17" s="79" t="s">
        <v>2309</v>
      </c>
      <c r="D17" s="198" t="s">
        <v>2310</v>
      </c>
      <c r="E17" s="199"/>
      <c r="F17" s="79" t="s">
        <v>214</v>
      </c>
      <c r="G17" s="80">
        <f>'Stavební rozpočet'!G1242</f>
        <v>75</v>
      </c>
      <c r="H17" s="80">
        <f>'Stavební rozpočet'!H1242</f>
        <v>0</v>
      </c>
      <c r="I17" s="80">
        <f>G17*H17</f>
        <v>0</v>
      </c>
      <c r="J17" s="80">
        <f>'Stavební rozpočet'!J1242</f>
        <v>0</v>
      </c>
      <c r="K17" s="80">
        <f>G17*J17</f>
        <v>0</v>
      </c>
      <c r="L17" s="82" t="s">
        <v>207</v>
      </c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50" t="s">
        <v>89</v>
      </c>
      <c r="AJ17" s="80">
        <f>IF(AN17=0,I17,0)</f>
        <v>0</v>
      </c>
      <c r="AK17" s="80">
        <f>IF(AN17=12,I17,0)</f>
        <v>0</v>
      </c>
      <c r="AL17" s="80">
        <f>IF(AN17=21,I17,0)</f>
        <v>0</v>
      </c>
      <c r="AN17" s="38">
        <v>21</v>
      </c>
      <c r="AO17" s="38">
        <f>H17*1</f>
        <v>0</v>
      </c>
      <c r="AP17" s="38">
        <f>H17*(1-1)</f>
        <v>0</v>
      </c>
      <c r="AQ17" s="83" t="s">
        <v>169</v>
      </c>
      <c r="AV17" s="38">
        <f>AW17+AX17</f>
        <v>0</v>
      </c>
      <c r="AW17" s="38">
        <f>G17*AO17</f>
        <v>0</v>
      </c>
      <c r="AX17" s="38">
        <f>G17*AP17</f>
        <v>0</v>
      </c>
      <c r="AY17" s="72" t="s">
        <v>895</v>
      </c>
      <c r="AZ17" s="72" t="s">
        <v>2300</v>
      </c>
      <c r="BA17" s="50" t="s">
        <v>2301</v>
      </c>
      <c r="BC17" s="38">
        <f>AW17+AX17</f>
        <v>0</v>
      </c>
      <c r="BD17" s="38">
        <f>H17/(100-BE17)*100</f>
        <v>0</v>
      </c>
      <c r="BE17" s="38">
        <v>0</v>
      </c>
      <c r="BF17" s="38">
        <f>K17</f>
        <v>0</v>
      </c>
      <c r="BH17" s="80">
        <f>G17*AO17</f>
        <v>0</v>
      </c>
      <c r="BI17" s="80">
        <f>G17*AP17</f>
        <v>0</v>
      </c>
      <c r="BJ17" s="80">
        <f>G17*H17</f>
        <v>0</v>
      </c>
      <c r="BK17" s="80"/>
      <c r="BL17" s="38">
        <v>713</v>
      </c>
      <c r="BW17" s="38">
        <v>21</v>
      </c>
    </row>
    <row r="18" spans="1:47" ht="15">
      <c r="A18" s="65" t="s">
        <v>4</v>
      </c>
      <c r="B18" s="66" t="s">
        <v>89</v>
      </c>
      <c r="C18" s="66" t="s">
        <v>2311</v>
      </c>
      <c r="D18" s="192" t="s">
        <v>2312</v>
      </c>
      <c r="E18" s="193"/>
      <c r="F18" s="67" t="s">
        <v>78</v>
      </c>
      <c r="G18" s="67" t="s">
        <v>78</v>
      </c>
      <c r="H18" s="67" t="s">
        <v>78</v>
      </c>
      <c r="I18" s="44">
        <f>SUM(I19:I28)</f>
        <v>0</v>
      </c>
      <c r="J18" s="50" t="s">
        <v>4</v>
      </c>
      <c r="K18" s="44">
        <f>SUM(K19:K28)</f>
        <v>0</v>
      </c>
      <c r="L18" s="69" t="s">
        <v>4</v>
      </c>
      <c r="AI18" s="50" t="s">
        <v>89</v>
      </c>
      <c r="AS18" s="44">
        <f>SUM(AJ19:AJ28)</f>
        <v>0</v>
      </c>
      <c r="AT18" s="44">
        <f>SUM(AK19:AK28)</f>
        <v>0</v>
      </c>
      <c r="AU18" s="44">
        <f>SUM(AL19:AL28)</f>
        <v>0</v>
      </c>
    </row>
    <row r="19" spans="1:75" ht="13.5" customHeight="1">
      <c r="A19" s="1" t="s">
        <v>162</v>
      </c>
      <c r="B19" s="2" t="s">
        <v>89</v>
      </c>
      <c r="C19" s="2" t="s">
        <v>2314</v>
      </c>
      <c r="D19" s="108" t="s">
        <v>2315</v>
      </c>
      <c r="E19" s="103"/>
      <c r="F19" s="2" t="s">
        <v>214</v>
      </c>
      <c r="G19" s="38">
        <f>'Stavební rozpočet'!G1244</f>
        <v>95</v>
      </c>
      <c r="H19" s="38">
        <f>'Stavební rozpočet'!H1244</f>
        <v>0</v>
      </c>
      <c r="I19" s="38">
        <f aca="true" t="shared" si="0" ref="I19:I28">G19*H19</f>
        <v>0</v>
      </c>
      <c r="J19" s="38">
        <f>'Stavební rozpočet'!J1244</f>
        <v>0</v>
      </c>
      <c r="K19" s="38">
        <f aca="true" t="shared" si="1" ref="K19:K28">G19*J19</f>
        <v>0</v>
      </c>
      <c r="L19" s="71" t="s">
        <v>207</v>
      </c>
      <c r="Z19" s="38">
        <f aca="true" t="shared" si="2" ref="Z19:Z28">IF(AQ19="5",BJ19,0)</f>
        <v>0</v>
      </c>
      <c r="AB19" s="38">
        <f aca="true" t="shared" si="3" ref="AB19:AB28">IF(AQ19="1",BH19,0)</f>
        <v>0</v>
      </c>
      <c r="AC19" s="38">
        <f aca="true" t="shared" si="4" ref="AC19:AC28">IF(AQ19="1",BI19,0)</f>
        <v>0</v>
      </c>
      <c r="AD19" s="38">
        <f aca="true" t="shared" si="5" ref="AD19:AD28">IF(AQ19="7",BH19,0)</f>
        <v>0</v>
      </c>
      <c r="AE19" s="38">
        <f aca="true" t="shared" si="6" ref="AE19:AE28">IF(AQ19="7",BI19,0)</f>
        <v>0</v>
      </c>
      <c r="AF19" s="38">
        <f aca="true" t="shared" si="7" ref="AF19:AF28">IF(AQ19="2",BH19,0)</f>
        <v>0</v>
      </c>
      <c r="AG19" s="38">
        <f aca="true" t="shared" si="8" ref="AG19:AG28">IF(AQ19="2",BI19,0)</f>
        <v>0</v>
      </c>
      <c r="AH19" s="38">
        <f aca="true" t="shared" si="9" ref="AH19:AH28">IF(AQ19="0",BJ19,0)</f>
        <v>0</v>
      </c>
      <c r="AI19" s="50" t="s">
        <v>89</v>
      </c>
      <c r="AJ19" s="38">
        <f aca="true" t="shared" si="10" ref="AJ19:AJ28">IF(AN19=0,I19,0)</f>
        <v>0</v>
      </c>
      <c r="AK19" s="38">
        <f aca="true" t="shared" si="11" ref="AK19:AK28">IF(AN19=12,I19,0)</f>
        <v>0</v>
      </c>
      <c r="AL19" s="38">
        <f aca="true" t="shared" si="12" ref="AL19:AL28">IF(AN19=21,I19,0)</f>
        <v>0</v>
      </c>
      <c r="AN19" s="38">
        <v>21</v>
      </c>
      <c r="AO19" s="38">
        <f aca="true" t="shared" si="13" ref="AO19:AO28">H19*0</f>
        <v>0</v>
      </c>
      <c r="AP19" s="38">
        <f aca="true" t="shared" si="14" ref="AP19:AP28">H19*(1-0)</f>
        <v>0</v>
      </c>
      <c r="AQ19" s="72" t="s">
        <v>169</v>
      </c>
      <c r="AV19" s="38">
        <f aca="true" t="shared" si="15" ref="AV19:AV28">AW19+AX19</f>
        <v>0</v>
      </c>
      <c r="AW19" s="38">
        <f aca="true" t="shared" si="16" ref="AW19:AW28">G19*AO19</f>
        <v>0</v>
      </c>
      <c r="AX19" s="38">
        <f aca="true" t="shared" si="17" ref="AX19:AX28">G19*AP19</f>
        <v>0</v>
      </c>
      <c r="AY19" s="72" t="s">
        <v>2316</v>
      </c>
      <c r="AZ19" s="72" t="s">
        <v>2317</v>
      </c>
      <c r="BA19" s="50" t="s">
        <v>2301</v>
      </c>
      <c r="BC19" s="38">
        <f aca="true" t="shared" si="18" ref="BC19:BC28">AW19+AX19</f>
        <v>0</v>
      </c>
      <c r="BD19" s="38">
        <f aca="true" t="shared" si="19" ref="BD19:BD28">H19/(100-BE19)*100</f>
        <v>0</v>
      </c>
      <c r="BE19" s="38">
        <v>0</v>
      </c>
      <c r="BF19" s="38">
        <f aca="true" t="shared" si="20" ref="BF19:BF28">K19</f>
        <v>0</v>
      </c>
      <c r="BH19" s="38">
        <f aca="true" t="shared" si="21" ref="BH19:BH28">G19*AO19</f>
        <v>0</v>
      </c>
      <c r="BI19" s="38">
        <f aca="true" t="shared" si="22" ref="BI19:BI28">G19*AP19</f>
        <v>0</v>
      </c>
      <c r="BJ19" s="38">
        <f aca="true" t="shared" si="23" ref="BJ19:BJ28">G19*H19</f>
        <v>0</v>
      </c>
      <c r="BK19" s="38"/>
      <c r="BL19" s="38">
        <v>733</v>
      </c>
      <c r="BW19" s="38">
        <v>21</v>
      </c>
    </row>
    <row r="20" spans="1:75" ht="13.5" customHeight="1">
      <c r="A20" s="1" t="s">
        <v>166</v>
      </c>
      <c r="B20" s="2" t="s">
        <v>89</v>
      </c>
      <c r="C20" s="2" t="s">
        <v>2319</v>
      </c>
      <c r="D20" s="108" t="s">
        <v>2320</v>
      </c>
      <c r="E20" s="103"/>
      <c r="F20" s="2" t="s">
        <v>214</v>
      </c>
      <c r="G20" s="38">
        <f>'Stavební rozpočet'!G1245</f>
        <v>75</v>
      </c>
      <c r="H20" s="38">
        <f>'Stavební rozpočet'!H1245</f>
        <v>0</v>
      </c>
      <c r="I20" s="38">
        <f t="shared" si="0"/>
        <v>0</v>
      </c>
      <c r="J20" s="38">
        <f>'Stavební rozpočet'!J1245</f>
        <v>0</v>
      </c>
      <c r="K20" s="38">
        <f t="shared" si="1"/>
        <v>0</v>
      </c>
      <c r="L20" s="71" t="s">
        <v>207</v>
      </c>
      <c r="Z20" s="38">
        <f t="shared" si="2"/>
        <v>0</v>
      </c>
      <c r="AB20" s="38">
        <f t="shared" si="3"/>
        <v>0</v>
      </c>
      <c r="AC20" s="38">
        <f t="shared" si="4"/>
        <v>0</v>
      </c>
      <c r="AD20" s="38">
        <f t="shared" si="5"/>
        <v>0</v>
      </c>
      <c r="AE20" s="38">
        <f t="shared" si="6"/>
        <v>0</v>
      </c>
      <c r="AF20" s="38">
        <f t="shared" si="7"/>
        <v>0</v>
      </c>
      <c r="AG20" s="38">
        <f t="shared" si="8"/>
        <v>0</v>
      </c>
      <c r="AH20" s="38">
        <f t="shared" si="9"/>
        <v>0</v>
      </c>
      <c r="AI20" s="50" t="s">
        <v>89</v>
      </c>
      <c r="AJ20" s="38">
        <f t="shared" si="10"/>
        <v>0</v>
      </c>
      <c r="AK20" s="38">
        <f t="shared" si="11"/>
        <v>0</v>
      </c>
      <c r="AL20" s="38">
        <f t="shared" si="12"/>
        <v>0</v>
      </c>
      <c r="AN20" s="38">
        <v>21</v>
      </c>
      <c r="AO20" s="38">
        <f t="shared" si="13"/>
        <v>0</v>
      </c>
      <c r="AP20" s="38">
        <f t="shared" si="14"/>
        <v>0</v>
      </c>
      <c r="AQ20" s="72" t="s">
        <v>169</v>
      </c>
      <c r="AV20" s="38">
        <f t="shared" si="15"/>
        <v>0</v>
      </c>
      <c r="AW20" s="38">
        <f t="shared" si="16"/>
        <v>0</v>
      </c>
      <c r="AX20" s="38">
        <f t="shared" si="17"/>
        <v>0</v>
      </c>
      <c r="AY20" s="72" t="s">
        <v>2316</v>
      </c>
      <c r="AZ20" s="72" t="s">
        <v>2317</v>
      </c>
      <c r="BA20" s="50" t="s">
        <v>2301</v>
      </c>
      <c r="BC20" s="38">
        <f t="shared" si="18"/>
        <v>0</v>
      </c>
      <c r="BD20" s="38">
        <f t="shared" si="19"/>
        <v>0</v>
      </c>
      <c r="BE20" s="38">
        <v>0</v>
      </c>
      <c r="BF20" s="38">
        <f t="shared" si="20"/>
        <v>0</v>
      </c>
      <c r="BH20" s="38">
        <f t="shared" si="21"/>
        <v>0</v>
      </c>
      <c r="BI20" s="38">
        <f t="shared" si="22"/>
        <v>0</v>
      </c>
      <c r="BJ20" s="38">
        <f t="shared" si="23"/>
        <v>0</v>
      </c>
      <c r="BK20" s="38"/>
      <c r="BL20" s="38">
        <v>733</v>
      </c>
      <c r="BW20" s="38">
        <v>21</v>
      </c>
    </row>
    <row r="21" spans="1:75" ht="13.5" customHeight="1">
      <c r="A21" s="1" t="s">
        <v>169</v>
      </c>
      <c r="B21" s="2" t="s">
        <v>89</v>
      </c>
      <c r="C21" s="2" t="s">
        <v>2322</v>
      </c>
      <c r="D21" s="108" t="s">
        <v>2323</v>
      </c>
      <c r="E21" s="103"/>
      <c r="F21" s="2" t="s">
        <v>214</v>
      </c>
      <c r="G21" s="38">
        <f>'Stavební rozpočet'!G1246</f>
        <v>2</v>
      </c>
      <c r="H21" s="38">
        <f>'Stavební rozpočet'!H1246</f>
        <v>0</v>
      </c>
      <c r="I21" s="38">
        <f t="shared" si="0"/>
        <v>0</v>
      </c>
      <c r="J21" s="38">
        <f>'Stavební rozpočet'!J1246</f>
        <v>0</v>
      </c>
      <c r="K21" s="38">
        <f t="shared" si="1"/>
        <v>0</v>
      </c>
      <c r="L21" s="71" t="s">
        <v>207</v>
      </c>
      <c r="Z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0</v>
      </c>
      <c r="AE21" s="38">
        <f t="shared" si="6"/>
        <v>0</v>
      </c>
      <c r="AF21" s="38">
        <f t="shared" si="7"/>
        <v>0</v>
      </c>
      <c r="AG21" s="38">
        <f t="shared" si="8"/>
        <v>0</v>
      </c>
      <c r="AH21" s="38">
        <f t="shared" si="9"/>
        <v>0</v>
      </c>
      <c r="AI21" s="50" t="s">
        <v>89</v>
      </c>
      <c r="AJ21" s="38">
        <f t="shared" si="10"/>
        <v>0</v>
      </c>
      <c r="AK21" s="38">
        <f t="shared" si="11"/>
        <v>0</v>
      </c>
      <c r="AL21" s="38">
        <f t="shared" si="12"/>
        <v>0</v>
      </c>
      <c r="AN21" s="38">
        <v>21</v>
      </c>
      <c r="AO21" s="38">
        <f t="shared" si="13"/>
        <v>0</v>
      </c>
      <c r="AP21" s="38">
        <f t="shared" si="14"/>
        <v>0</v>
      </c>
      <c r="AQ21" s="72" t="s">
        <v>169</v>
      </c>
      <c r="AV21" s="38">
        <f t="shared" si="15"/>
        <v>0</v>
      </c>
      <c r="AW21" s="38">
        <f t="shared" si="16"/>
        <v>0</v>
      </c>
      <c r="AX21" s="38">
        <f t="shared" si="17"/>
        <v>0</v>
      </c>
      <c r="AY21" s="72" t="s">
        <v>2316</v>
      </c>
      <c r="AZ21" s="72" t="s">
        <v>2317</v>
      </c>
      <c r="BA21" s="50" t="s">
        <v>2301</v>
      </c>
      <c r="BC21" s="38">
        <f t="shared" si="18"/>
        <v>0</v>
      </c>
      <c r="BD21" s="38">
        <f t="shared" si="19"/>
        <v>0</v>
      </c>
      <c r="BE21" s="38">
        <v>0</v>
      </c>
      <c r="BF21" s="38">
        <f t="shared" si="20"/>
        <v>0</v>
      </c>
      <c r="BH21" s="38">
        <f t="shared" si="21"/>
        <v>0</v>
      </c>
      <c r="BI21" s="38">
        <f t="shared" si="22"/>
        <v>0</v>
      </c>
      <c r="BJ21" s="38">
        <f t="shared" si="23"/>
        <v>0</v>
      </c>
      <c r="BK21" s="38"/>
      <c r="BL21" s="38">
        <v>733</v>
      </c>
      <c r="BW21" s="38">
        <v>21</v>
      </c>
    </row>
    <row r="22" spans="1:75" ht="13.5" customHeight="1">
      <c r="A22" s="1" t="s">
        <v>174</v>
      </c>
      <c r="B22" s="2" t="s">
        <v>89</v>
      </c>
      <c r="C22" s="2" t="s">
        <v>2325</v>
      </c>
      <c r="D22" s="108" t="s">
        <v>2326</v>
      </c>
      <c r="E22" s="103"/>
      <c r="F22" s="2" t="s">
        <v>214</v>
      </c>
      <c r="G22" s="38">
        <f>'Stavební rozpočet'!G1247</f>
        <v>100</v>
      </c>
      <c r="H22" s="38">
        <f>'Stavební rozpočet'!H1247</f>
        <v>0</v>
      </c>
      <c r="I22" s="38">
        <f t="shared" si="0"/>
        <v>0</v>
      </c>
      <c r="J22" s="38">
        <f>'Stavební rozpočet'!J1247</f>
        <v>0</v>
      </c>
      <c r="K22" s="38">
        <f t="shared" si="1"/>
        <v>0</v>
      </c>
      <c r="L22" s="71" t="s">
        <v>207</v>
      </c>
      <c r="Z22" s="38">
        <f t="shared" si="2"/>
        <v>0</v>
      </c>
      <c r="AB22" s="38">
        <f t="shared" si="3"/>
        <v>0</v>
      </c>
      <c r="AC22" s="38">
        <f t="shared" si="4"/>
        <v>0</v>
      </c>
      <c r="AD22" s="38">
        <f t="shared" si="5"/>
        <v>0</v>
      </c>
      <c r="AE22" s="38">
        <f t="shared" si="6"/>
        <v>0</v>
      </c>
      <c r="AF22" s="38">
        <f t="shared" si="7"/>
        <v>0</v>
      </c>
      <c r="AG22" s="38">
        <f t="shared" si="8"/>
        <v>0</v>
      </c>
      <c r="AH22" s="38">
        <f t="shared" si="9"/>
        <v>0</v>
      </c>
      <c r="AI22" s="50" t="s">
        <v>89</v>
      </c>
      <c r="AJ22" s="38">
        <f t="shared" si="10"/>
        <v>0</v>
      </c>
      <c r="AK22" s="38">
        <f t="shared" si="11"/>
        <v>0</v>
      </c>
      <c r="AL22" s="38">
        <f t="shared" si="12"/>
        <v>0</v>
      </c>
      <c r="AN22" s="38">
        <v>21</v>
      </c>
      <c r="AO22" s="38">
        <f t="shared" si="13"/>
        <v>0</v>
      </c>
      <c r="AP22" s="38">
        <f t="shared" si="14"/>
        <v>0</v>
      </c>
      <c r="AQ22" s="72" t="s">
        <v>169</v>
      </c>
      <c r="AV22" s="38">
        <f t="shared" si="15"/>
        <v>0</v>
      </c>
      <c r="AW22" s="38">
        <f t="shared" si="16"/>
        <v>0</v>
      </c>
      <c r="AX22" s="38">
        <f t="shared" si="17"/>
        <v>0</v>
      </c>
      <c r="AY22" s="72" t="s">
        <v>2316</v>
      </c>
      <c r="AZ22" s="72" t="s">
        <v>2317</v>
      </c>
      <c r="BA22" s="50" t="s">
        <v>2301</v>
      </c>
      <c r="BC22" s="38">
        <f t="shared" si="18"/>
        <v>0</v>
      </c>
      <c r="BD22" s="38">
        <f t="shared" si="19"/>
        <v>0</v>
      </c>
      <c r="BE22" s="38">
        <v>0</v>
      </c>
      <c r="BF22" s="38">
        <f t="shared" si="20"/>
        <v>0</v>
      </c>
      <c r="BH22" s="38">
        <f t="shared" si="21"/>
        <v>0</v>
      </c>
      <c r="BI22" s="38">
        <f t="shared" si="22"/>
        <v>0</v>
      </c>
      <c r="BJ22" s="38">
        <f t="shared" si="23"/>
        <v>0</v>
      </c>
      <c r="BK22" s="38"/>
      <c r="BL22" s="38">
        <v>733</v>
      </c>
      <c r="BW22" s="38">
        <v>21</v>
      </c>
    </row>
    <row r="23" spans="1:75" ht="13.5" customHeight="1">
      <c r="A23" s="1" t="s">
        <v>180</v>
      </c>
      <c r="B23" s="2" t="s">
        <v>89</v>
      </c>
      <c r="C23" s="2" t="s">
        <v>2328</v>
      </c>
      <c r="D23" s="108" t="s">
        <v>2329</v>
      </c>
      <c r="E23" s="103"/>
      <c r="F23" s="2" t="s">
        <v>214</v>
      </c>
      <c r="G23" s="38">
        <f>'Stavební rozpočet'!G1248</f>
        <v>20</v>
      </c>
      <c r="H23" s="38">
        <f>'Stavební rozpočet'!H1248</f>
        <v>0</v>
      </c>
      <c r="I23" s="38">
        <f t="shared" si="0"/>
        <v>0</v>
      </c>
      <c r="J23" s="38">
        <f>'Stavební rozpočet'!J1248</f>
        <v>0</v>
      </c>
      <c r="K23" s="38">
        <f t="shared" si="1"/>
        <v>0</v>
      </c>
      <c r="L23" s="71" t="s">
        <v>207</v>
      </c>
      <c r="Z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0</v>
      </c>
      <c r="AF23" s="38">
        <f t="shared" si="7"/>
        <v>0</v>
      </c>
      <c r="AG23" s="38">
        <f t="shared" si="8"/>
        <v>0</v>
      </c>
      <c r="AH23" s="38">
        <f t="shared" si="9"/>
        <v>0</v>
      </c>
      <c r="AI23" s="50" t="s">
        <v>89</v>
      </c>
      <c r="AJ23" s="38">
        <f t="shared" si="10"/>
        <v>0</v>
      </c>
      <c r="AK23" s="38">
        <f t="shared" si="11"/>
        <v>0</v>
      </c>
      <c r="AL23" s="38">
        <f t="shared" si="12"/>
        <v>0</v>
      </c>
      <c r="AN23" s="38">
        <v>21</v>
      </c>
      <c r="AO23" s="38">
        <f t="shared" si="13"/>
        <v>0</v>
      </c>
      <c r="AP23" s="38">
        <f t="shared" si="14"/>
        <v>0</v>
      </c>
      <c r="AQ23" s="72" t="s">
        <v>169</v>
      </c>
      <c r="AV23" s="38">
        <f t="shared" si="15"/>
        <v>0</v>
      </c>
      <c r="AW23" s="38">
        <f t="shared" si="16"/>
        <v>0</v>
      </c>
      <c r="AX23" s="38">
        <f t="shared" si="17"/>
        <v>0</v>
      </c>
      <c r="AY23" s="72" t="s">
        <v>2316</v>
      </c>
      <c r="AZ23" s="72" t="s">
        <v>2317</v>
      </c>
      <c r="BA23" s="50" t="s">
        <v>2301</v>
      </c>
      <c r="BC23" s="38">
        <f t="shared" si="18"/>
        <v>0</v>
      </c>
      <c r="BD23" s="38">
        <f t="shared" si="19"/>
        <v>0</v>
      </c>
      <c r="BE23" s="38">
        <v>0</v>
      </c>
      <c r="BF23" s="38">
        <f t="shared" si="20"/>
        <v>0</v>
      </c>
      <c r="BH23" s="38">
        <f t="shared" si="21"/>
        <v>0</v>
      </c>
      <c r="BI23" s="38">
        <f t="shared" si="22"/>
        <v>0</v>
      </c>
      <c r="BJ23" s="38">
        <f t="shared" si="23"/>
        <v>0</v>
      </c>
      <c r="BK23" s="38"/>
      <c r="BL23" s="38">
        <v>733</v>
      </c>
      <c r="BW23" s="38">
        <v>21</v>
      </c>
    </row>
    <row r="24" spans="1:75" ht="13.5" customHeight="1">
      <c r="A24" s="1" t="s">
        <v>186</v>
      </c>
      <c r="B24" s="2" t="s">
        <v>89</v>
      </c>
      <c r="C24" s="2" t="s">
        <v>2331</v>
      </c>
      <c r="D24" s="108" t="s">
        <v>2332</v>
      </c>
      <c r="E24" s="103"/>
      <c r="F24" s="2" t="s">
        <v>214</v>
      </c>
      <c r="G24" s="38">
        <f>'Stavební rozpočet'!G1249</f>
        <v>15</v>
      </c>
      <c r="H24" s="38">
        <f>'Stavební rozpočet'!H1249</f>
        <v>0</v>
      </c>
      <c r="I24" s="38">
        <f t="shared" si="0"/>
        <v>0</v>
      </c>
      <c r="J24" s="38">
        <f>'Stavební rozpočet'!J1249</f>
        <v>0</v>
      </c>
      <c r="K24" s="38">
        <f t="shared" si="1"/>
        <v>0</v>
      </c>
      <c r="L24" s="71" t="s">
        <v>207</v>
      </c>
      <c r="Z24" s="38">
        <f t="shared" si="2"/>
        <v>0</v>
      </c>
      <c r="AB24" s="38">
        <f t="shared" si="3"/>
        <v>0</v>
      </c>
      <c r="AC24" s="38">
        <f t="shared" si="4"/>
        <v>0</v>
      </c>
      <c r="AD24" s="38">
        <f t="shared" si="5"/>
        <v>0</v>
      </c>
      <c r="AE24" s="38">
        <f t="shared" si="6"/>
        <v>0</v>
      </c>
      <c r="AF24" s="38">
        <f t="shared" si="7"/>
        <v>0</v>
      </c>
      <c r="AG24" s="38">
        <f t="shared" si="8"/>
        <v>0</v>
      </c>
      <c r="AH24" s="38">
        <f t="shared" si="9"/>
        <v>0</v>
      </c>
      <c r="AI24" s="50" t="s">
        <v>89</v>
      </c>
      <c r="AJ24" s="38">
        <f t="shared" si="10"/>
        <v>0</v>
      </c>
      <c r="AK24" s="38">
        <f t="shared" si="11"/>
        <v>0</v>
      </c>
      <c r="AL24" s="38">
        <f t="shared" si="12"/>
        <v>0</v>
      </c>
      <c r="AN24" s="38">
        <v>21</v>
      </c>
      <c r="AO24" s="38">
        <f t="shared" si="13"/>
        <v>0</v>
      </c>
      <c r="AP24" s="38">
        <f t="shared" si="14"/>
        <v>0</v>
      </c>
      <c r="AQ24" s="72" t="s">
        <v>169</v>
      </c>
      <c r="AV24" s="38">
        <f t="shared" si="15"/>
        <v>0</v>
      </c>
      <c r="AW24" s="38">
        <f t="shared" si="16"/>
        <v>0</v>
      </c>
      <c r="AX24" s="38">
        <f t="shared" si="17"/>
        <v>0</v>
      </c>
      <c r="AY24" s="72" t="s">
        <v>2316</v>
      </c>
      <c r="AZ24" s="72" t="s">
        <v>2317</v>
      </c>
      <c r="BA24" s="50" t="s">
        <v>2301</v>
      </c>
      <c r="BC24" s="38">
        <f t="shared" si="18"/>
        <v>0</v>
      </c>
      <c r="BD24" s="38">
        <f t="shared" si="19"/>
        <v>0</v>
      </c>
      <c r="BE24" s="38">
        <v>0</v>
      </c>
      <c r="BF24" s="38">
        <f t="shared" si="20"/>
        <v>0</v>
      </c>
      <c r="BH24" s="38">
        <f t="shared" si="21"/>
        <v>0</v>
      </c>
      <c r="BI24" s="38">
        <f t="shared" si="22"/>
        <v>0</v>
      </c>
      <c r="BJ24" s="38">
        <f t="shared" si="23"/>
        <v>0</v>
      </c>
      <c r="BK24" s="38"/>
      <c r="BL24" s="38">
        <v>733</v>
      </c>
      <c r="BW24" s="38">
        <v>21</v>
      </c>
    </row>
    <row r="25" spans="1:75" ht="13.5" customHeight="1">
      <c r="A25" s="1" t="s">
        <v>191</v>
      </c>
      <c r="B25" s="2" t="s">
        <v>89</v>
      </c>
      <c r="C25" s="2" t="s">
        <v>2334</v>
      </c>
      <c r="D25" s="108" t="s">
        <v>2335</v>
      </c>
      <c r="E25" s="103"/>
      <c r="F25" s="2" t="s">
        <v>214</v>
      </c>
      <c r="G25" s="38">
        <f>'Stavební rozpočet'!G1250</f>
        <v>20</v>
      </c>
      <c r="H25" s="38">
        <f>'Stavební rozpočet'!H1250</f>
        <v>0</v>
      </c>
      <c r="I25" s="38">
        <f t="shared" si="0"/>
        <v>0</v>
      </c>
      <c r="J25" s="38">
        <f>'Stavební rozpočet'!J1250</f>
        <v>0</v>
      </c>
      <c r="K25" s="38">
        <f t="shared" si="1"/>
        <v>0</v>
      </c>
      <c r="L25" s="71" t="s">
        <v>207</v>
      </c>
      <c r="Z25" s="38">
        <f t="shared" si="2"/>
        <v>0</v>
      </c>
      <c r="AB25" s="38">
        <f t="shared" si="3"/>
        <v>0</v>
      </c>
      <c r="AC25" s="38">
        <f t="shared" si="4"/>
        <v>0</v>
      </c>
      <c r="AD25" s="38">
        <f t="shared" si="5"/>
        <v>0</v>
      </c>
      <c r="AE25" s="38">
        <f t="shared" si="6"/>
        <v>0</v>
      </c>
      <c r="AF25" s="38">
        <f t="shared" si="7"/>
        <v>0</v>
      </c>
      <c r="AG25" s="38">
        <f t="shared" si="8"/>
        <v>0</v>
      </c>
      <c r="AH25" s="38">
        <f t="shared" si="9"/>
        <v>0</v>
      </c>
      <c r="AI25" s="50" t="s">
        <v>89</v>
      </c>
      <c r="AJ25" s="38">
        <f t="shared" si="10"/>
        <v>0</v>
      </c>
      <c r="AK25" s="38">
        <f t="shared" si="11"/>
        <v>0</v>
      </c>
      <c r="AL25" s="38">
        <f t="shared" si="12"/>
        <v>0</v>
      </c>
      <c r="AN25" s="38">
        <v>21</v>
      </c>
      <c r="AO25" s="38">
        <f t="shared" si="13"/>
        <v>0</v>
      </c>
      <c r="AP25" s="38">
        <f t="shared" si="14"/>
        <v>0</v>
      </c>
      <c r="AQ25" s="72" t="s">
        <v>169</v>
      </c>
      <c r="AV25" s="38">
        <f t="shared" si="15"/>
        <v>0</v>
      </c>
      <c r="AW25" s="38">
        <f t="shared" si="16"/>
        <v>0</v>
      </c>
      <c r="AX25" s="38">
        <f t="shared" si="17"/>
        <v>0</v>
      </c>
      <c r="AY25" s="72" t="s">
        <v>2316</v>
      </c>
      <c r="AZ25" s="72" t="s">
        <v>2317</v>
      </c>
      <c r="BA25" s="50" t="s">
        <v>2301</v>
      </c>
      <c r="BC25" s="38">
        <f t="shared" si="18"/>
        <v>0</v>
      </c>
      <c r="BD25" s="38">
        <f t="shared" si="19"/>
        <v>0</v>
      </c>
      <c r="BE25" s="38">
        <v>0</v>
      </c>
      <c r="BF25" s="38">
        <f t="shared" si="20"/>
        <v>0</v>
      </c>
      <c r="BH25" s="38">
        <f t="shared" si="21"/>
        <v>0</v>
      </c>
      <c r="BI25" s="38">
        <f t="shared" si="22"/>
        <v>0</v>
      </c>
      <c r="BJ25" s="38">
        <f t="shared" si="23"/>
        <v>0</v>
      </c>
      <c r="BK25" s="38"/>
      <c r="BL25" s="38">
        <v>733</v>
      </c>
      <c r="BW25" s="38">
        <v>21</v>
      </c>
    </row>
    <row r="26" spans="1:75" ht="13.5" customHeight="1">
      <c r="A26" s="1" t="s">
        <v>130</v>
      </c>
      <c r="B26" s="2" t="s">
        <v>89</v>
      </c>
      <c r="C26" s="2" t="s">
        <v>2337</v>
      </c>
      <c r="D26" s="108" t="s">
        <v>2338</v>
      </c>
      <c r="E26" s="103"/>
      <c r="F26" s="2" t="s">
        <v>214</v>
      </c>
      <c r="G26" s="38">
        <f>'Stavební rozpočet'!G1251</f>
        <v>75</v>
      </c>
      <c r="H26" s="38">
        <f>'Stavební rozpočet'!H1251</f>
        <v>0</v>
      </c>
      <c r="I26" s="38">
        <f t="shared" si="0"/>
        <v>0</v>
      </c>
      <c r="J26" s="38">
        <f>'Stavební rozpočet'!J1251</f>
        <v>0</v>
      </c>
      <c r="K26" s="38">
        <f t="shared" si="1"/>
        <v>0</v>
      </c>
      <c r="L26" s="71" t="s">
        <v>207</v>
      </c>
      <c r="Z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0</v>
      </c>
      <c r="AF26" s="38">
        <f t="shared" si="7"/>
        <v>0</v>
      </c>
      <c r="AG26" s="38">
        <f t="shared" si="8"/>
        <v>0</v>
      </c>
      <c r="AH26" s="38">
        <f t="shared" si="9"/>
        <v>0</v>
      </c>
      <c r="AI26" s="50" t="s">
        <v>89</v>
      </c>
      <c r="AJ26" s="38">
        <f t="shared" si="10"/>
        <v>0</v>
      </c>
      <c r="AK26" s="38">
        <f t="shared" si="11"/>
        <v>0</v>
      </c>
      <c r="AL26" s="38">
        <f t="shared" si="12"/>
        <v>0</v>
      </c>
      <c r="AN26" s="38">
        <v>21</v>
      </c>
      <c r="AO26" s="38">
        <f t="shared" si="13"/>
        <v>0</v>
      </c>
      <c r="AP26" s="38">
        <f t="shared" si="14"/>
        <v>0</v>
      </c>
      <c r="AQ26" s="72" t="s">
        <v>169</v>
      </c>
      <c r="AV26" s="38">
        <f t="shared" si="15"/>
        <v>0</v>
      </c>
      <c r="AW26" s="38">
        <f t="shared" si="16"/>
        <v>0</v>
      </c>
      <c r="AX26" s="38">
        <f t="shared" si="17"/>
        <v>0</v>
      </c>
      <c r="AY26" s="72" t="s">
        <v>2316</v>
      </c>
      <c r="AZ26" s="72" t="s">
        <v>2317</v>
      </c>
      <c r="BA26" s="50" t="s">
        <v>2301</v>
      </c>
      <c r="BC26" s="38">
        <f t="shared" si="18"/>
        <v>0</v>
      </c>
      <c r="BD26" s="38">
        <f t="shared" si="19"/>
        <v>0</v>
      </c>
      <c r="BE26" s="38">
        <v>0</v>
      </c>
      <c r="BF26" s="38">
        <f t="shared" si="20"/>
        <v>0</v>
      </c>
      <c r="BH26" s="38">
        <f t="shared" si="21"/>
        <v>0</v>
      </c>
      <c r="BI26" s="38">
        <f t="shared" si="22"/>
        <v>0</v>
      </c>
      <c r="BJ26" s="38">
        <f t="shared" si="23"/>
        <v>0</v>
      </c>
      <c r="BK26" s="38"/>
      <c r="BL26" s="38">
        <v>733</v>
      </c>
      <c r="BW26" s="38">
        <v>21</v>
      </c>
    </row>
    <row r="27" spans="1:75" ht="13.5" customHeight="1">
      <c r="A27" s="1" t="s">
        <v>147</v>
      </c>
      <c r="B27" s="2" t="s">
        <v>89</v>
      </c>
      <c r="C27" s="2" t="s">
        <v>2340</v>
      </c>
      <c r="D27" s="108" t="s">
        <v>2341</v>
      </c>
      <c r="E27" s="103"/>
      <c r="F27" s="2" t="s">
        <v>214</v>
      </c>
      <c r="G27" s="38">
        <f>'Stavební rozpočet'!G1252</f>
        <v>232</v>
      </c>
      <c r="H27" s="38">
        <f>'Stavební rozpočet'!H1252</f>
        <v>0</v>
      </c>
      <c r="I27" s="38">
        <f t="shared" si="0"/>
        <v>0</v>
      </c>
      <c r="J27" s="38">
        <f>'Stavební rozpočet'!J1252</f>
        <v>0</v>
      </c>
      <c r="K27" s="38">
        <f t="shared" si="1"/>
        <v>0</v>
      </c>
      <c r="L27" s="71" t="s">
        <v>207</v>
      </c>
      <c r="Z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0</v>
      </c>
      <c r="AE27" s="38">
        <f t="shared" si="6"/>
        <v>0</v>
      </c>
      <c r="AF27" s="38">
        <f t="shared" si="7"/>
        <v>0</v>
      </c>
      <c r="AG27" s="38">
        <f t="shared" si="8"/>
        <v>0</v>
      </c>
      <c r="AH27" s="38">
        <f t="shared" si="9"/>
        <v>0</v>
      </c>
      <c r="AI27" s="50" t="s">
        <v>89</v>
      </c>
      <c r="AJ27" s="38">
        <f t="shared" si="10"/>
        <v>0</v>
      </c>
      <c r="AK27" s="38">
        <f t="shared" si="11"/>
        <v>0</v>
      </c>
      <c r="AL27" s="38">
        <f t="shared" si="12"/>
        <v>0</v>
      </c>
      <c r="AN27" s="38">
        <v>21</v>
      </c>
      <c r="AO27" s="38">
        <f t="shared" si="13"/>
        <v>0</v>
      </c>
      <c r="AP27" s="38">
        <f t="shared" si="14"/>
        <v>0</v>
      </c>
      <c r="AQ27" s="72" t="s">
        <v>169</v>
      </c>
      <c r="AV27" s="38">
        <f t="shared" si="15"/>
        <v>0</v>
      </c>
      <c r="AW27" s="38">
        <f t="shared" si="16"/>
        <v>0</v>
      </c>
      <c r="AX27" s="38">
        <f t="shared" si="17"/>
        <v>0</v>
      </c>
      <c r="AY27" s="72" t="s">
        <v>2316</v>
      </c>
      <c r="AZ27" s="72" t="s">
        <v>2317</v>
      </c>
      <c r="BA27" s="50" t="s">
        <v>2301</v>
      </c>
      <c r="BC27" s="38">
        <f t="shared" si="18"/>
        <v>0</v>
      </c>
      <c r="BD27" s="38">
        <f t="shared" si="19"/>
        <v>0</v>
      </c>
      <c r="BE27" s="38">
        <v>0</v>
      </c>
      <c r="BF27" s="38">
        <f t="shared" si="20"/>
        <v>0</v>
      </c>
      <c r="BH27" s="38">
        <f t="shared" si="21"/>
        <v>0</v>
      </c>
      <c r="BI27" s="38">
        <f t="shared" si="22"/>
        <v>0</v>
      </c>
      <c r="BJ27" s="38">
        <f t="shared" si="23"/>
        <v>0</v>
      </c>
      <c r="BK27" s="38"/>
      <c r="BL27" s="38">
        <v>733</v>
      </c>
      <c r="BW27" s="38">
        <v>21</v>
      </c>
    </row>
    <row r="28" spans="1:75" ht="13.5" customHeight="1">
      <c r="A28" s="1" t="s">
        <v>211</v>
      </c>
      <c r="B28" s="2" t="s">
        <v>89</v>
      </c>
      <c r="C28" s="2" t="s">
        <v>2343</v>
      </c>
      <c r="D28" s="108" t="s">
        <v>2344</v>
      </c>
      <c r="E28" s="103"/>
      <c r="F28" s="2" t="s">
        <v>189</v>
      </c>
      <c r="G28" s="38">
        <f>'Stavební rozpočet'!G1253</f>
        <v>0.63</v>
      </c>
      <c r="H28" s="38">
        <f>'Stavební rozpočet'!H1253</f>
        <v>0</v>
      </c>
      <c r="I28" s="38">
        <f t="shared" si="0"/>
        <v>0</v>
      </c>
      <c r="J28" s="38">
        <f>'Stavební rozpočet'!J1253</f>
        <v>0</v>
      </c>
      <c r="K28" s="38">
        <f t="shared" si="1"/>
        <v>0</v>
      </c>
      <c r="L28" s="71" t="s">
        <v>207</v>
      </c>
      <c r="Z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0</v>
      </c>
      <c r="AF28" s="38">
        <f t="shared" si="7"/>
        <v>0</v>
      </c>
      <c r="AG28" s="38">
        <f t="shared" si="8"/>
        <v>0</v>
      </c>
      <c r="AH28" s="38">
        <f t="shared" si="9"/>
        <v>0</v>
      </c>
      <c r="AI28" s="50" t="s">
        <v>89</v>
      </c>
      <c r="AJ28" s="38">
        <f t="shared" si="10"/>
        <v>0</v>
      </c>
      <c r="AK28" s="38">
        <f t="shared" si="11"/>
        <v>0</v>
      </c>
      <c r="AL28" s="38">
        <f t="shared" si="12"/>
        <v>0</v>
      </c>
      <c r="AN28" s="38">
        <v>21</v>
      </c>
      <c r="AO28" s="38">
        <f t="shared" si="13"/>
        <v>0</v>
      </c>
      <c r="AP28" s="38">
        <f t="shared" si="14"/>
        <v>0</v>
      </c>
      <c r="AQ28" s="72" t="s">
        <v>162</v>
      </c>
      <c r="AV28" s="38">
        <f t="shared" si="15"/>
        <v>0</v>
      </c>
      <c r="AW28" s="38">
        <f t="shared" si="16"/>
        <v>0</v>
      </c>
      <c r="AX28" s="38">
        <f t="shared" si="17"/>
        <v>0</v>
      </c>
      <c r="AY28" s="72" t="s">
        <v>2316</v>
      </c>
      <c r="AZ28" s="72" t="s">
        <v>2317</v>
      </c>
      <c r="BA28" s="50" t="s">
        <v>2301</v>
      </c>
      <c r="BC28" s="38">
        <f t="shared" si="18"/>
        <v>0</v>
      </c>
      <c r="BD28" s="38">
        <f t="shared" si="19"/>
        <v>0</v>
      </c>
      <c r="BE28" s="38">
        <v>0</v>
      </c>
      <c r="BF28" s="38">
        <f t="shared" si="20"/>
        <v>0</v>
      </c>
      <c r="BH28" s="38">
        <f t="shared" si="21"/>
        <v>0</v>
      </c>
      <c r="BI28" s="38">
        <f t="shared" si="22"/>
        <v>0</v>
      </c>
      <c r="BJ28" s="38">
        <f t="shared" si="23"/>
        <v>0</v>
      </c>
      <c r="BK28" s="38"/>
      <c r="BL28" s="38">
        <v>733</v>
      </c>
      <c r="BW28" s="38">
        <v>21</v>
      </c>
    </row>
    <row r="29" spans="1:47" ht="15">
      <c r="A29" s="65" t="s">
        <v>4</v>
      </c>
      <c r="B29" s="66" t="s">
        <v>89</v>
      </c>
      <c r="C29" s="66" t="s">
        <v>2345</v>
      </c>
      <c r="D29" s="192" t="s">
        <v>2346</v>
      </c>
      <c r="E29" s="193"/>
      <c r="F29" s="67" t="s">
        <v>78</v>
      </c>
      <c r="G29" s="67" t="s">
        <v>78</v>
      </c>
      <c r="H29" s="67" t="s">
        <v>78</v>
      </c>
      <c r="I29" s="44">
        <f>SUM(I30:I38)</f>
        <v>0</v>
      </c>
      <c r="J29" s="50" t="s">
        <v>4</v>
      </c>
      <c r="K29" s="44">
        <f>SUM(K30:K38)</f>
        <v>0</v>
      </c>
      <c r="L29" s="69" t="s">
        <v>4</v>
      </c>
      <c r="AI29" s="50" t="s">
        <v>89</v>
      </c>
      <c r="AS29" s="44">
        <f>SUM(AJ30:AJ38)</f>
        <v>0</v>
      </c>
      <c r="AT29" s="44">
        <f>SUM(AK30:AK38)</f>
        <v>0</v>
      </c>
      <c r="AU29" s="44">
        <f>SUM(AL30:AL38)</f>
        <v>0</v>
      </c>
    </row>
    <row r="30" spans="1:75" ht="13.5" customHeight="1">
      <c r="A30" s="1" t="s">
        <v>217</v>
      </c>
      <c r="B30" s="2" t="s">
        <v>89</v>
      </c>
      <c r="C30" s="2" t="s">
        <v>2348</v>
      </c>
      <c r="D30" s="108" t="s">
        <v>2349</v>
      </c>
      <c r="E30" s="103"/>
      <c r="F30" s="2" t="s">
        <v>199</v>
      </c>
      <c r="G30" s="38">
        <f>'Stavební rozpočet'!G1255</f>
        <v>14</v>
      </c>
      <c r="H30" s="38">
        <f>'Stavební rozpočet'!H1255</f>
        <v>0</v>
      </c>
      <c r="I30" s="38">
        <f aca="true" t="shared" si="24" ref="I30:I38">G30*H30</f>
        <v>0</v>
      </c>
      <c r="J30" s="38">
        <f>'Stavební rozpočet'!J1255</f>
        <v>0</v>
      </c>
      <c r="K30" s="38">
        <f aca="true" t="shared" si="25" ref="K30:K38">G30*J30</f>
        <v>0</v>
      </c>
      <c r="L30" s="71" t="s">
        <v>207</v>
      </c>
      <c r="Z30" s="38">
        <f aca="true" t="shared" si="26" ref="Z30:Z38">IF(AQ30="5",BJ30,0)</f>
        <v>0</v>
      </c>
      <c r="AB30" s="38">
        <f aca="true" t="shared" si="27" ref="AB30:AB38">IF(AQ30="1",BH30,0)</f>
        <v>0</v>
      </c>
      <c r="AC30" s="38">
        <f aca="true" t="shared" si="28" ref="AC30:AC38">IF(AQ30="1",BI30,0)</f>
        <v>0</v>
      </c>
      <c r="AD30" s="38">
        <f aca="true" t="shared" si="29" ref="AD30:AD38">IF(AQ30="7",BH30,0)</f>
        <v>0</v>
      </c>
      <c r="AE30" s="38">
        <f aca="true" t="shared" si="30" ref="AE30:AE38">IF(AQ30="7",BI30,0)</f>
        <v>0</v>
      </c>
      <c r="AF30" s="38">
        <f aca="true" t="shared" si="31" ref="AF30:AF38">IF(AQ30="2",BH30,0)</f>
        <v>0</v>
      </c>
      <c r="AG30" s="38">
        <f aca="true" t="shared" si="32" ref="AG30:AG38">IF(AQ30="2",BI30,0)</f>
        <v>0</v>
      </c>
      <c r="AH30" s="38">
        <f aca="true" t="shared" si="33" ref="AH30:AH38">IF(AQ30="0",BJ30,0)</f>
        <v>0</v>
      </c>
      <c r="AI30" s="50" t="s">
        <v>89</v>
      </c>
      <c r="AJ30" s="38">
        <f aca="true" t="shared" si="34" ref="AJ30:AJ38">IF(AN30=0,I30,0)</f>
        <v>0</v>
      </c>
      <c r="AK30" s="38">
        <f aca="true" t="shared" si="35" ref="AK30:AK38">IF(AN30=12,I30,0)</f>
        <v>0</v>
      </c>
      <c r="AL30" s="38">
        <f aca="true" t="shared" si="36" ref="AL30:AL38">IF(AN30=21,I30,0)</f>
        <v>0</v>
      </c>
      <c r="AN30" s="38">
        <v>21</v>
      </c>
      <c r="AO30" s="38">
        <f aca="true" t="shared" si="37" ref="AO30:AO38">H30*0</f>
        <v>0</v>
      </c>
      <c r="AP30" s="38">
        <f aca="true" t="shared" si="38" ref="AP30:AP38">H30*(1-0)</f>
        <v>0</v>
      </c>
      <c r="AQ30" s="72" t="s">
        <v>169</v>
      </c>
      <c r="AV30" s="38">
        <f aca="true" t="shared" si="39" ref="AV30:AV38">AW30+AX30</f>
        <v>0</v>
      </c>
      <c r="AW30" s="38">
        <f aca="true" t="shared" si="40" ref="AW30:AW38">G30*AO30</f>
        <v>0</v>
      </c>
      <c r="AX30" s="38">
        <f aca="true" t="shared" si="41" ref="AX30:AX38">G30*AP30</f>
        <v>0</v>
      </c>
      <c r="AY30" s="72" t="s">
        <v>2350</v>
      </c>
      <c r="AZ30" s="72" t="s">
        <v>2317</v>
      </c>
      <c r="BA30" s="50" t="s">
        <v>2301</v>
      </c>
      <c r="BC30" s="38">
        <f aca="true" t="shared" si="42" ref="BC30:BC38">AW30+AX30</f>
        <v>0</v>
      </c>
      <c r="BD30" s="38">
        <f aca="true" t="shared" si="43" ref="BD30:BD38">H30/(100-BE30)*100</f>
        <v>0</v>
      </c>
      <c r="BE30" s="38">
        <v>0</v>
      </c>
      <c r="BF30" s="38">
        <f aca="true" t="shared" si="44" ref="BF30:BF38">K30</f>
        <v>0</v>
      </c>
      <c r="BH30" s="38">
        <f aca="true" t="shared" si="45" ref="BH30:BH38">G30*AO30</f>
        <v>0</v>
      </c>
      <c r="BI30" s="38">
        <f aca="true" t="shared" si="46" ref="BI30:BI38">G30*AP30</f>
        <v>0</v>
      </c>
      <c r="BJ30" s="38">
        <f aca="true" t="shared" si="47" ref="BJ30:BJ38">G30*H30</f>
        <v>0</v>
      </c>
      <c r="BK30" s="38"/>
      <c r="BL30" s="38">
        <v>734</v>
      </c>
      <c r="BW30" s="38">
        <v>21</v>
      </c>
    </row>
    <row r="31" spans="1:75" ht="27" customHeight="1">
      <c r="A31" s="1" t="s">
        <v>155</v>
      </c>
      <c r="B31" s="2" t="s">
        <v>89</v>
      </c>
      <c r="C31" s="2" t="s">
        <v>2352</v>
      </c>
      <c r="D31" s="108" t="s">
        <v>2353</v>
      </c>
      <c r="E31" s="103"/>
      <c r="F31" s="2" t="s">
        <v>199</v>
      </c>
      <c r="G31" s="38">
        <f>'Stavební rozpočet'!G1256</f>
        <v>7</v>
      </c>
      <c r="H31" s="38">
        <f>'Stavební rozpočet'!H1256</f>
        <v>0</v>
      </c>
      <c r="I31" s="38">
        <f t="shared" si="24"/>
        <v>0</v>
      </c>
      <c r="J31" s="38">
        <f>'Stavební rozpočet'!J1256</f>
        <v>0</v>
      </c>
      <c r="K31" s="38">
        <f t="shared" si="25"/>
        <v>0</v>
      </c>
      <c r="L31" s="71" t="s">
        <v>207</v>
      </c>
      <c r="Z31" s="38">
        <f t="shared" si="26"/>
        <v>0</v>
      </c>
      <c r="AB31" s="38">
        <f t="shared" si="27"/>
        <v>0</v>
      </c>
      <c r="AC31" s="38">
        <f t="shared" si="28"/>
        <v>0</v>
      </c>
      <c r="AD31" s="38">
        <f t="shared" si="29"/>
        <v>0</v>
      </c>
      <c r="AE31" s="38">
        <f t="shared" si="30"/>
        <v>0</v>
      </c>
      <c r="AF31" s="38">
        <f t="shared" si="31"/>
        <v>0</v>
      </c>
      <c r="AG31" s="38">
        <f t="shared" si="32"/>
        <v>0</v>
      </c>
      <c r="AH31" s="38">
        <f t="shared" si="33"/>
        <v>0</v>
      </c>
      <c r="AI31" s="50" t="s">
        <v>89</v>
      </c>
      <c r="AJ31" s="38">
        <f t="shared" si="34"/>
        <v>0</v>
      </c>
      <c r="AK31" s="38">
        <f t="shared" si="35"/>
        <v>0</v>
      </c>
      <c r="AL31" s="38">
        <f t="shared" si="36"/>
        <v>0</v>
      </c>
      <c r="AN31" s="38">
        <v>21</v>
      </c>
      <c r="AO31" s="38">
        <f t="shared" si="37"/>
        <v>0</v>
      </c>
      <c r="AP31" s="38">
        <f t="shared" si="38"/>
        <v>0</v>
      </c>
      <c r="AQ31" s="72" t="s">
        <v>169</v>
      </c>
      <c r="AV31" s="38">
        <f t="shared" si="39"/>
        <v>0</v>
      </c>
      <c r="AW31" s="38">
        <f t="shared" si="40"/>
        <v>0</v>
      </c>
      <c r="AX31" s="38">
        <f t="shared" si="41"/>
        <v>0</v>
      </c>
      <c r="AY31" s="72" t="s">
        <v>2350</v>
      </c>
      <c r="AZ31" s="72" t="s">
        <v>2317</v>
      </c>
      <c r="BA31" s="50" t="s">
        <v>2301</v>
      </c>
      <c r="BC31" s="38">
        <f t="shared" si="42"/>
        <v>0</v>
      </c>
      <c r="BD31" s="38">
        <f t="shared" si="43"/>
        <v>0</v>
      </c>
      <c r="BE31" s="38">
        <v>0</v>
      </c>
      <c r="BF31" s="38">
        <f t="shared" si="44"/>
        <v>0</v>
      </c>
      <c r="BH31" s="38">
        <f t="shared" si="45"/>
        <v>0</v>
      </c>
      <c r="BI31" s="38">
        <f t="shared" si="46"/>
        <v>0</v>
      </c>
      <c r="BJ31" s="38">
        <f t="shared" si="47"/>
        <v>0</v>
      </c>
      <c r="BK31" s="38"/>
      <c r="BL31" s="38">
        <v>734</v>
      </c>
      <c r="BW31" s="38">
        <v>21</v>
      </c>
    </row>
    <row r="32" spans="1:75" ht="27" customHeight="1">
      <c r="A32" s="1" t="s">
        <v>178</v>
      </c>
      <c r="B32" s="2" t="s">
        <v>89</v>
      </c>
      <c r="C32" s="2" t="s">
        <v>2355</v>
      </c>
      <c r="D32" s="108" t="s">
        <v>2356</v>
      </c>
      <c r="E32" s="103"/>
      <c r="F32" s="2" t="s">
        <v>199</v>
      </c>
      <c r="G32" s="38">
        <f>'Stavební rozpočet'!G1257</f>
        <v>7</v>
      </c>
      <c r="H32" s="38">
        <f>'Stavební rozpočet'!H1257</f>
        <v>0</v>
      </c>
      <c r="I32" s="38">
        <f t="shared" si="24"/>
        <v>0</v>
      </c>
      <c r="J32" s="38">
        <f>'Stavební rozpočet'!J1257</f>
        <v>0</v>
      </c>
      <c r="K32" s="38">
        <f t="shared" si="25"/>
        <v>0</v>
      </c>
      <c r="L32" s="71" t="s">
        <v>207</v>
      </c>
      <c r="Z32" s="38">
        <f t="shared" si="26"/>
        <v>0</v>
      </c>
      <c r="AB32" s="38">
        <f t="shared" si="27"/>
        <v>0</v>
      </c>
      <c r="AC32" s="38">
        <f t="shared" si="28"/>
        <v>0</v>
      </c>
      <c r="AD32" s="38">
        <f t="shared" si="29"/>
        <v>0</v>
      </c>
      <c r="AE32" s="38">
        <f t="shared" si="30"/>
        <v>0</v>
      </c>
      <c r="AF32" s="38">
        <f t="shared" si="31"/>
        <v>0</v>
      </c>
      <c r="AG32" s="38">
        <f t="shared" si="32"/>
        <v>0</v>
      </c>
      <c r="AH32" s="38">
        <f t="shared" si="33"/>
        <v>0</v>
      </c>
      <c r="AI32" s="50" t="s">
        <v>89</v>
      </c>
      <c r="AJ32" s="38">
        <f t="shared" si="34"/>
        <v>0</v>
      </c>
      <c r="AK32" s="38">
        <f t="shared" si="35"/>
        <v>0</v>
      </c>
      <c r="AL32" s="38">
        <f t="shared" si="36"/>
        <v>0</v>
      </c>
      <c r="AN32" s="38">
        <v>21</v>
      </c>
      <c r="AO32" s="38">
        <f t="shared" si="37"/>
        <v>0</v>
      </c>
      <c r="AP32" s="38">
        <f t="shared" si="38"/>
        <v>0</v>
      </c>
      <c r="AQ32" s="72" t="s">
        <v>169</v>
      </c>
      <c r="AV32" s="38">
        <f t="shared" si="39"/>
        <v>0</v>
      </c>
      <c r="AW32" s="38">
        <f t="shared" si="40"/>
        <v>0</v>
      </c>
      <c r="AX32" s="38">
        <f t="shared" si="41"/>
        <v>0</v>
      </c>
      <c r="AY32" s="72" t="s">
        <v>2350</v>
      </c>
      <c r="AZ32" s="72" t="s">
        <v>2317</v>
      </c>
      <c r="BA32" s="50" t="s">
        <v>2301</v>
      </c>
      <c r="BC32" s="38">
        <f t="shared" si="42"/>
        <v>0</v>
      </c>
      <c r="BD32" s="38">
        <f t="shared" si="43"/>
        <v>0</v>
      </c>
      <c r="BE32" s="38">
        <v>0</v>
      </c>
      <c r="BF32" s="38">
        <f t="shared" si="44"/>
        <v>0</v>
      </c>
      <c r="BH32" s="38">
        <f t="shared" si="45"/>
        <v>0</v>
      </c>
      <c r="BI32" s="38">
        <f t="shared" si="46"/>
        <v>0</v>
      </c>
      <c r="BJ32" s="38">
        <f t="shared" si="47"/>
        <v>0</v>
      </c>
      <c r="BK32" s="38"/>
      <c r="BL32" s="38">
        <v>734</v>
      </c>
      <c r="BW32" s="38">
        <v>21</v>
      </c>
    </row>
    <row r="33" spans="1:75" ht="13.5" customHeight="1">
      <c r="A33" s="1" t="s">
        <v>241</v>
      </c>
      <c r="B33" s="2" t="s">
        <v>89</v>
      </c>
      <c r="C33" s="2" t="s">
        <v>2358</v>
      </c>
      <c r="D33" s="108" t="s">
        <v>2359</v>
      </c>
      <c r="E33" s="103"/>
      <c r="F33" s="2" t="s">
        <v>199</v>
      </c>
      <c r="G33" s="38">
        <f>'Stavební rozpočet'!G1258</f>
        <v>7</v>
      </c>
      <c r="H33" s="38">
        <f>'Stavební rozpočet'!H1258</f>
        <v>0</v>
      </c>
      <c r="I33" s="38">
        <f t="shared" si="24"/>
        <v>0</v>
      </c>
      <c r="J33" s="38">
        <f>'Stavební rozpočet'!J1258</f>
        <v>0</v>
      </c>
      <c r="K33" s="38">
        <f t="shared" si="25"/>
        <v>0</v>
      </c>
      <c r="L33" s="71" t="s">
        <v>207</v>
      </c>
      <c r="Z33" s="38">
        <f t="shared" si="26"/>
        <v>0</v>
      </c>
      <c r="AB33" s="38">
        <f t="shared" si="27"/>
        <v>0</v>
      </c>
      <c r="AC33" s="38">
        <f t="shared" si="28"/>
        <v>0</v>
      </c>
      <c r="AD33" s="38">
        <f t="shared" si="29"/>
        <v>0</v>
      </c>
      <c r="AE33" s="38">
        <f t="shared" si="30"/>
        <v>0</v>
      </c>
      <c r="AF33" s="38">
        <f t="shared" si="31"/>
        <v>0</v>
      </c>
      <c r="AG33" s="38">
        <f t="shared" si="32"/>
        <v>0</v>
      </c>
      <c r="AH33" s="38">
        <f t="shared" si="33"/>
        <v>0</v>
      </c>
      <c r="AI33" s="50" t="s">
        <v>89</v>
      </c>
      <c r="AJ33" s="38">
        <f t="shared" si="34"/>
        <v>0</v>
      </c>
      <c r="AK33" s="38">
        <f t="shared" si="35"/>
        <v>0</v>
      </c>
      <c r="AL33" s="38">
        <f t="shared" si="36"/>
        <v>0</v>
      </c>
      <c r="AN33" s="38">
        <v>21</v>
      </c>
      <c r="AO33" s="38">
        <f t="shared" si="37"/>
        <v>0</v>
      </c>
      <c r="AP33" s="38">
        <f t="shared" si="38"/>
        <v>0</v>
      </c>
      <c r="AQ33" s="72" t="s">
        <v>169</v>
      </c>
      <c r="AV33" s="38">
        <f t="shared" si="39"/>
        <v>0</v>
      </c>
      <c r="AW33" s="38">
        <f t="shared" si="40"/>
        <v>0</v>
      </c>
      <c r="AX33" s="38">
        <f t="shared" si="41"/>
        <v>0</v>
      </c>
      <c r="AY33" s="72" t="s">
        <v>2350</v>
      </c>
      <c r="AZ33" s="72" t="s">
        <v>2317</v>
      </c>
      <c r="BA33" s="50" t="s">
        <v>2301</v>
      </c>
      <c r="BC33" s="38">
        <f t="shared" si="42"/>
        <v>0</v>
      </c>
      <c r="BD33" s="38">
        <f t="shared" si="43"/>
        <v>0</v>
      </c>
      <c r="BE33" s="38">
        <v>0</v>
      </c>
      <c r="BF33" s="38">
        <f t="shared" si="44"/>
        <v>0</v>
      </c>
      <c r="BH33" s="38">
        <f t="shared" si="45"/>
        <v>0</v>
      </c>
      <c r="BI33" s="38">
        <f t="shared" si="46"/>
        <v>0</v>
      </c>
      <c r="BJ33" s="38">
        <f t="shared" si="47"/>
        <v>0</v>
      </c>
      <c r="BK33" s="38"/>
      <c r="BL33" s="38">
        <v>734</v>
      </c>
      <c r="BW33" s="38">
        <v>21</v>
      </c>
    </row>
    <row r="34" spans="1:75" ht="13.5" customHeight="1">
      <c r="A34" s="1" t="s">
        <v>246</v>
      </c>
      <c r="B34" s="2" t="s">
        <v>89</v>
      </c>
      <c r="C34" s="2" t="s">
        <v>2361</v>
      </c>
      <c r="D34" s="108" t="s">
        <v>2362</v>
      </c>
      <c r="E34" s="103"/>
      <c r="F34" s="2" t="s">
        <v>199</v>
      </c>
      <c r="G34" s="38">
        <f>'Stavební rozpočet'!G1259</f>
        <v>7</v>
      </c>
      <c r="H34" s="38">
        <f>'Stavební rozpočet'!H1259</f>
        <v>0</v>
      </c>
      <c r="I34" s="38">
        <f t="shared" si="24"/>
        <v>0</v>
      </c>
      <c r="J34" s="38">
        <f>'Stavební rozpočet'!J1259</f>
        <v>0</v>
      </c>
      <c r="K34" s="38">
        <f t="shared" si="25"/>
        <v>0</v>
      </c>
      <c r="L34" s="71" t="s">
        <v>207</v>
      </c>
      <c r="Z34" s="38">
        <f t="shared" si="26"/>
        <v>0</v>
      </c>
      <c r="AB34" s="38">
        <f t="shared" si="27"/>
        <v>0</v>
      </c>
      <c r="AC34" s="38">
        <f t="shared" si="28"/>
        <v>0</v>
      </c>
      <c r="AD34" s="38">
        <f t="shared" si="29"/>
        <v>0</v>
      </c>
      <c r="AE34" s="38">
        <f t="shared" si="30"/>
        <v>0</v>
      </c>
      <c r="AF34" s="38">
        <f t="shared" si="31"/>
        <v>0</v>
      </c>
      <c r="AG34" s="38">
        <f t="shared" si="32"/>
        <v>0</v>
      </c>
      <c r="AH34" s="38">
        <f t="shared" si="33"/>
        <v>0</v>
      </c>
      <c r="AI34" s="50" t="s">
        <v>89</v>
      </c>
      <c r="AJ34" s="38">
        <f t="shared" si="34"/>
        <v>0</v>
      </c>
      <c r="AK34" s="38">
        <f t="shared" si="35"/>
        <v>0</v>
      </c>
      <c r="AL34" s="38">
        <f t="shared" si="36"/>
        <v>0</v>
      </c>
      <c r="AN34" s="38">
        <v>21</v>
      </c>
      <c r="AO34" s="38">
        <f t="shared" si="37"/>
        <v>0</v>
      </c>
      <c r="AP34" s="38">
        <f t="shared" si="38"/>
        <v>0</v>
      </c>
      <c r="AQ34" s="72" t="s">
        <v>169</v>
      </c>
      <c r="AV34" s="38">
        <f t="shared" si="39"/>
        <v>0</v>
      </c>
      <c r="AW34" s="38">
        <f t="shared" si="40"/>
        <v>0</v>
      </c>
      <c r="AX34" s="38">
        <f t="shared" si="41"/>
        <v>0</v>
      </c>
      <c r="AY34" s="72" t="s">
        <v>2350</v>
      </c>
      <c r="AZ34" s="72" t="s">
        <v>2317</v>
      </c>
      <c r="BA34" s="50" t="s">
        <v>2301</v>
      </c>
      <c r="BC34" s="38">
        <f t="shared" si="42"/>
        <v>0</v>
      </c>
      <c r="BD34" s="38">
        <f t="shared" si="43"/>
        <v>0</v>
      </c>
      <c r="BE34" s="38">
        <v>0</v>
      </c>
      <c r="BF34" s="38">
        <f t="shared" si="44"/>
        <v>0</v>
      </c>
      <c r="BH34" s="38">
        <f t="shared" si="45"/>
        <v>0</v>
      </c>
      <c r="BI34" s="38">
        <f t="shared" si="46"/>
        <v>0</v>
      </c>
      <c r="BJ34" s="38">
        <f t="shared" si="47"/>
        <v>0</v>
      </c>
      <c r="BK34" s="38"/>
      <c r="BL34" s="38">
        <v>734</v>
      </c>
      <c r="BW34" s="38">
        <v>21</v>
      </c>
    </row>
    <row r="35" spans="1:75" ht="13.5" customHeight="1">
      <c r="A35" s="1" t="s">
        <v>255</v>
      </c>
      <c r="B35" s="2" t="s">
        <v>89</v>
      </c>
      <c r="C35" s="2" t="s">
        <v>2364</v>
      </c>
      <c r="D35" s="108" t="s">
        <v>2365</v>
      </c>
      <c r="E35" s="103"/>
      <c r="F35" s="2" t="s">
        <v>199</v>
      </c>
      <c r="G35" s="38">
        <f>'Stavební rozpočet'!G1260</f>
        <v>12</v>
      </c>
      <c r="H35" s="38">
        <f>'Stavební rozpočet'!H1260</f>
        <v>0</v>
      </c>
      <c r="I35" s="38">
        <f t="shared" si="24"/>
        <v>0</v>
      </c>
      <c r="J35" s="38">
        <f>'Stavební rozpočet'!J1260</f>
        <v>0</v>
      </c>
      <c r="K35" s="38">
        <f t="shared" si="25"/>
        <v>0</v>
      </c>
      <c r="L35" s="71" t="s">
        <v>207</v>
      </c>
      <c r="Z35" s="38">
        <f t="shared" si="26"/>
        <v>0</v>
      </c>
      <c r="AB35" s="38">
        <f t="shared" si="27"/>
        <v>0</v>
      </c>
      <c r="AC35" s="38">
        <f t="shared" si="28"/>
        <v>0</v>
      </c>
      <c r="AD35" s="38">
        <f t="shared" si="29"/>
        <v>0</v>
      </c>
      <c r="AE35" s="38">
        <f t="shared" si="30"/>
        <v>0</v>
      </c>
      <c r="AF35" s="38">
        <f t="shared" si="31"/>
        <v>0</v>
      </c>
      <c r="AG35" s="38">
        <f t="shared" si="32"/>
        <v>0</v>
      </c>
      <c r="AH35" s="38">
        <f t="shared" si="33"/>
        <v>0</v>
      </c>
      <c r="AI35" s="50" t="s">
        <v>89</v>
      </c>
      <c r="AJ35" s="38">
        <f t="shared" si="34"/>
        <v>0</v>
      </c>
      <c r="AK35" s="38">
        <f t="shared" si="35"/>
        <v>0</v>
      </c>
      <c r="AL35" s="38">
        <f t="shared" si="36"/>
        <v>0</v>
      </c>
      <c r="AN35" s="38">
        <v>21</v>
      </c>
      <c r="AO35" s="38">
        <f t="shared" si="37"/>
        <v>0</v>
      </c>
      <c r="AP35" s="38">
        <f t="shared" si="38"/>
        <v>0</v>
      </c>
      <c r="AQ35" s="72" t="s">
        <v>169</v>
      </c>
      <c r="AV35" s="38">
        <f t="shared" si="39"/>
        <v>0</v>
      </c>
      <c r="AW35" s="38">
        <f t="shared" si="40"/>
        <v>0</v>
      </c>
      <c r="AX35" s="38">
        <f t="shared" si="41"/>
        <v>0</v>
      </c>
      <c r="AY35" s="72" t="s">
        <v>2350</v>
      </c>
      <c r="AZ35" s="72" t="s">
        <v>2317</v>
      </c>
      <c r="BA35" s="50" t="s">
        <v>2301</v>
      </c>
      <c r="BC35" s="38">
        <f t="shared" si="42"/>
        <v>0</v>
      </c>
      <c r="BD35" s="38">
        <f t="shared" si="43"/>
        <v>0</v>
      </c>
      <c r="BE35" s="38">
        <v>0</v>
      </c>
      <c r="BF35" s="38">
        <f t="shared" si="44"/>
        <v>0</v>
      </c>
      <c r="BH35" s="38">
        <f t="shared" si="45"/>
        <v>0</v>
      </c>
      <c r="BI35" s="38">
        <f t="shared" si="46"/>
        <v>0</v>
      </c>
      <c r="BJ35" s="38">
        <f t="shared" si="47"/>
        <v>0</v>
      </c>
      <c r="BK35" s="38"/>
      <c r="BL35" s="38">
        <v>734</v>
      </c>
      <c r="BW35" s="38">
        <v>21</v>
      </c>
    </row>
    <row r="36" spans="1:75" ht="13.5" customHeight="1">
      <c r="A36" s="1" t="s">
        <v>260</v>
      </c>
      <c r="B36" s="2" t="s">
        <v>89</v>
      </c>
      <c r="C36" s="2" t="s">
        <v>2367</v>
      </c>
      <c r="D36" s="108" t="s">
        <v>2368</v>
      </c>
      <c r="E36" s="103"/>
      <c r="F36" s="2" t="s">
        <v>199</v>
      </c>
      <c r="G36" s="38">
        <f>'Stavební rozpočet'!G1261</f>
        <v>4</v>
      </c>
      <c r="H36" s="38">
        <f>'Stavební rozpočet'!H1261</f>
        <v>0</v>
      </c>
      <c r="I36" s="38">
        <f t="shared" si="24"/>
        <v>0</v>
      </c>
      <c r="J36" s="38">
        <f>'Stavební rozpočet'!J1261</f>
        <v>0</v>
      </c>
      <c r="K36" s="38">
        <f t="shared" si="25"/>
        <v>0</v>
      </c>
      <c r="L36" s="71" t="s">
        <v>207</v>
      </c>
      <c r="Z36" s="38">
        <f t="shared" si="26"/>
        <v>0</v>
      </c>
      <c r="AB36" s="38">
        <f t="shared" si="27"/>
        <v>0</v>
      </c>
      <c r="AC36" s="38">
        <f t="shared" si="28"/>
        <v>0</v>
      </c>
      <c r="AD36" s="38">
        <f t="shared" si="29"/>
        <v>0</v>
      </c>
      <c r="AE36" s="38">
        <f t="shared" si="30"/>
        <v>0</v>
      </c>
      <c r="AF36" s="38">
        <f t="shared" si="31"/>
        <v>0</v>
      </c>
      <c r="AG36" s="38">
        <f t="shared" si="32"/>
        <v>0</v>
      </c>
      <c r="AH36" s="38">
        <f t="shared" si="33"/>
        <v>0</v>
      </c>
      <c r="AI36" s="50" t="s">
        <v>89</v>
      </c>
      <c r="AJ36" s="38">
        <f t="shared" si="34"/>
        <v>0</v>
      </c>
      <c r="AK36" s="38">
        <f t="shared" si="35"/>
        <v>0</v>
      </c>
      <c r="AL36" s="38">
        <f t="shared" si="36"/>
        <v>0</v>
      </c>
      <c r="AN36" s="38">
        <v>21</v>
      </c>
      <c r="AO36" s="38">
        <f t="shared" si="37"/>
        <v>0</v>
      </c>
      <c r="AP36" s="38">
        <f t="shared" si="38"/>
        <v>0</v>
      </c>
      <c r="AQ36" s="72" t="s">
        <v>169</v>
      </c>
      <c r="AV36" s="38">
        <f t="shared" si="39"/>
        <v>0</v>
      </c>
      <c r="AW36" s="38">
        <f t="shared" si="40"/>
        <v>0</v>
      </c>
      <c r="AX36" s="38">
        <f t="shared" si="41"/>
        <v>0</v>
      </c>
      <c r="AY36" s="72" t="s">
        <v>2350</v>
      </c>
      <c r="AZ36" s="72" t="s">
        <v>2317</v>
      </c>
      <c r="BA36" s="50" t="s">
        <v>2301</v>
      </c>
      <c r="BC36" s="38">
        <f t="shared" si="42"/>
        <v>0</v>
      </c>
      <c r="BD36" s="38">
        <f t="shared" si="43"/>
        <v>0</v>
      </c>
      <c r="BE36" s="38">
        <v>0</v>
      </c>
      <c r="BF36" s="38">
        <f t="shared" si="44"/>
        <v>0</v>
      </c>
      <c r="BH36" s="38">
        <f t="shared" si="45"/>
        <v>0</v>
      </c>
      <c r="BI36" s="38">
        <f t="shared" si="46"/>
        <v>0</v>
      </c>
      <c r="BJ36" s="38">
        <f t="shared" si="47"/>
        <v>0</v>
      </c>
      <c r="BK36" s="38"/>
      <c r="BL36" s="38">
        <v>734</v>
      </c>
      <c r="BW36" s="38">
        <v>21</v>
      </c>
    </row>
    <row r="37" spans="1:75" ht="13.5" customHeight="1">
      <c r="A37" s="1" t="s">
        <v>267</v>
      </c>
      <c r="B37" s="2" t="s">
        <v>89</v>
      </c>
      <c r="C37" s="2" t="s">
        <v>2370</v>
      </c>
      <c r="D37" s="108" t="s">
        <v>2371</v>
      </c>
      <c r="E37" s="103"/>
      <c r="F37" s="2" t="s">
        <v>199</v>
      </c>
      <c r="G37" s="38">
        <f>'Stavební rozpočet'!G1262</f>
        <v>6</v>
      </c>
      <c r="H37" s="38">
        <f>'Stavební rozpočet'!H1262</f>
        <v>0</v>
      </c>
      <c r="I37" s="38">
        <f t="shared" si="24"/>
        <v>0</v>
      </c>
      <c r="J37" s="38">
        <f>'Stavební rozpočet'!J1262</f>
        <v>0</v>
      </c>
      <c r="K37" s="38">
        <f t="shared" si="25"/>
        <v>0</v>
      </c>
      <c r="L37" s="71" t="s">
        <v>207</v>
      </c>
      <c r="Z37" s="38">
        <f t="shared" si="26"/>
        <v>0</v>
      </c>
      <c r="AB37" s="38">
        <f t="shared" si="27"/>
        <v>0</v>
      </c>
      <c r="AC37" s="38">
        <f t="shared" si="28"/>
        <v>0</v>
      </c>
      <c r="AD37" s="38">
        <f t="shared" si="29"/>
        <v>0</v>
      </c>
      <c r="AE37" s="38">
        <f t="shared" si="30"/>
        <v>0</v>
      </c>
      <c r="AF37" s="38">
        <f t="shared" si="31"/>
        <v>0</v>
      </c>
      <c r="AG37" s="38">
        <f t="shared" si="32"/>
        <v>0</v>
      </c>
      <c r="AH37" s="38">
        <f t="shared" si="33"/>
        <v>0</v>
      </c>
      <c r="AI37" s="50" t="s">
        <v>89</v>
      </c>
      <c r="AJ37" s="38">
        <f t="shared" si="34"/>
        <v>0</v>
      </c>
      <c r="AK37" s="38">
        <f t="shared" si="35"/>
        <v>0</v>
      </c>
      <c r="AL37" s="38">
        <f t="shared" si="36"/>
        <v>0</v>
      </c>
      <c r="AN37" s="38">
        <v>21</v>
      </c>
      <c r="AO37" s="38">
        <f t="shared" si="37"/>
        <v>0</v>
      </c>
      <c r="AP37" s="38">
        <f t="shared" si="38"/>
        <v>0</v>
      </c>
      <c r="AQ37" s="72" t="s">
        <v>169</v>
      </c>
      <c r="AV37" s="38">
        <f t="shared" si="39"/>
        <v>0</v>
      </c>
      <c r="AW37" s="38">
        <f t="shared" si="40"/>
        <v>0</v>
      </c>
      <c r="AX37" s="38">
        <f t="shared" si="41"/>
        <v>0</v>
      </c>
      <c r="AY37" s="72" t="s">
        <v>2350</v>
      </c>
      <c r="AZ37" s="72" t="s">
        <v>2317</v>
      </c>
      <c r="BA37" s="50" t="s">
        <v>2301</v>
      </c>
      <c r="BC37" s="38">
        <f t="shared" si="42"/>
        <v>0</v>
      </c>
      <c r="BD37" s="38">
        <f t="shared" si="43"/>
        <v>0</v>
      </c>
      <c r="BE37" s="38">
        <v>0</v>
      </c>
      <c r="BF37" s="38">
        <f t="shared" si="44"/>
        <v>0</v>
      </c>
      <c r="BH37" s="38">
        <f t="shared" si="45"/>
        <v>0</v>
      </c>
      <c r="BI37" s="38">
        <f t="shared" si="46"/>
        <v>0</v>
      </c>
      <c r="BJ37" s="38">
        <f t="shared" si="47"/>
        <v>0</v>
      </c>
      <c r="BK37" s="38"/>
      <c r="BL37" s="38">
        <v>734</v>
      </c>
      <c r="BW37" s="38">
        <v>21</v>
      </c>
    </row>
    <row r="38" spans="1:75" ht="13.5" customHeight="1">
      <c r="A38" s="1" t="s">
        <v>272</v>
      </c>
      <c r="B38" s="2" t="s">
        <v>89</v>
      </c>
      <c r="C38" s="2" t="s">
        <v>2373</v>
      </c>
      <c r="D38" s="108" t="s">
        <v>2374</v>
      </c>
      <c r="E38" s="103"/>
      <c r="F38" s="2" t="s">
        <v>199</v>
      </c>
      <c r="G38" s="38">
        <f>'Stavební rozpočet'!G1263</f>
        <v>2</v>
      </c>
      <c r="H38" s="38">
        <f>'Stavební rozpočet'!H1263</f>
        <v>0</v>
      </c>
      <c r="I38" s="38">
        <f t="shared" si="24"/>
        <v>0</v>
      </c>
      <c r="J38" s="38">
        <f>'Stavební rozpočet'!J1263</f>
        <v>0</v>
      </c>
      <c r="K38" s="38">
        <f t="shared" si="25"/>
        <v>0</v>
      </c>
      <c r="L38" s="71" t="s">
        <v>207</v>
      </c>
      <c r="Z38" s="38">
        <f t="shared" si="26"/>
        <v>0</v>
      </c>
      <c r="AB38" s="38">
        <f t="shared" si="27"/>
        <v>0</v>
      </c>
      <c r="AC38" s="38">
        <f t="shared" si="28"/>
        <v>0</v>
      </c>
      <c r="AD38" s="38">
        <f t="shared" si="29"/>
        <v>0</v>
      </c>
      <c r="AE38" s="38">
        <f t="shared" si="30"/>
        <v>0</v>
      </c>
      <c r="AF38" s="38">
        <f t="shared" si="31"/>
        <v>0</v>
      </c>
      <c r="AG38" s="38">
        <f t="shared" si="32"/>
        <v>0</v>
      </c>
      <c r="AH38" s="38">
        <f t="shared" si="33"/>
        <v>0</v>
      </c>
      <c r="AI38" s="50" t="s">
        <v>89</v>
      </c>
      <c r="AJ38" s="38">
        <f t="shared" si="34"/>
        <v>0</v>
      </c>
      <c r="AK38" s="38">
        <f t="shared" si="35"/>
        <v>0</v>
      </c>
      <c r="AL38" s="38">
        <f t="shared" si="36"/>
        <v>0</v>
      </c>
      <c r="AN38" s="38">
        <v>21</v>
      </c>
      <c r="AO38" s="38">
        <f t="shared" si="37"/>
        <v>0</v>
      </c>
      <c r="AP38" s="38">
        <f t="shared" si="38"/>
        <v>0</v>
      </c>
      <c r="AQ38" s="72" t="s">
        <v>169</v>
      </c>
      <c r="AV38" s="38">
        <f t="shared" si="39"/>
        <v>0</v>
      </c>
      <c r="AW38" s="38">
        <f t="shared" si="40"/>
        <v>0</v>
      </c>
      <c r="AX38" s="38">
        <f t="shared" si="41"/>
        <v>0</v>
      </c>
      <c r="AY38" s="72" t="s">
        <v>2350</v>
      </c>
      <c r="AZ38" s="72" t="s">
        <v>2317</v>
      </c>
      <c r="BA38" s="50" t="s">
        <v>2301</v>
      </c>
      <c r="BC38" s="38">
        <f t="shared" si="42"/>
        <v>0</v>
      </c>
      <c r="BD38" s="38">
        <f t="shared" si="43"/>
        <v>0</v>
      </c>
      <c r="BE38" s="38">
        <v>0</v>
      </c>
      <c r="BF38" s="38">
        <f t="shared" si="44"/>
        <v>0</v>
      </c>
      <c r="BH38" s="38">
        <f t="shared" si="45"/>
        <v>0</v>
      </c>
      <c r="BI38" s="38">
        <f t="shared" si="46"/>
        <v>0</v>
      </c>
      <c r="BJ38" s="38">
        <f t="shared" si="47"/>
        <v>0</v>
      </c>
      <c r="BK38" s="38"/>
      <c r="BL38" s="38">
        <v>734</v>
      </c>
      <c r="BW38" s="38">
        <v>21</v>
      </c>
    </row>
    <row r="39" spans="1:47" ht="15">
      <c r="A39" s="65" t="s">
        <v>4</v>
      </c>
      <c r="B39" s="66" t="s">
        <v>89</v>
      </c>
      <c r="C39" s="66" t="s">
        <v>2375</v>
      </c>
      <c r="D39" s="192" t="s">
        <v>2376</v>
      </c>
      <c r="E39" s="193"/>
      <c r="F39" s="67" t="s">
        <v>78</v>
      </c>
      <c r="G39" s="67" t="s">
        <v>78</v>
      </c>
      <c r="H39" s="67" t="s">
        <v>78</v>
      </c>
      <c r="I39" s="44">
        <f>SUM(I40:I47)</f>
        <v>0</v>
      </c>
      <c r="J39" s="50" t="s">
        <v>4</v>
      </c>
      <c r="K39" s="44">
        <f>SUM(K40:K47)</f>
        <v>0</v>
      </c>
      <c r="L39" s="69" t="s">
        <v>4</v>
      </c>
      <c r="AI39" s="50" t="s">
        <v>89</v>
      </c>
      <c r="AS39" s="44">
        <f>SUM(AJ40:AJ47)</f>
        <v>0</v>
      </c>
      <c r="AT39" s="44">
        <f>SUM(AK40:AK47)</f>
        <v>0</v>
      </c>
      <c r="AU39" s="44">
        <f>SUM(AL40:AL47)</f>
        <v>0</v>
      </c>
    </row>
    <row r="40" spans="1:75" ht="13.5" customHeight="1">
      <c r="A40" s="1" t="s">
        <v>276</v>
      </c>
      <c r="B40" s="2" t="s">
        <v>89</v>
      </c>
      <c r="C40" s="2" t="s">
        <v>2378</v>
      </c>
      <c r="D40" s="108" t="s">
        <v>2379</v>
      </c>
      <c r="E40" s="103"/>
      <c r="F40" s="2" t="s">
        <v>263</v>
      </c>
      <c r="G40" s="38">
        <f>'Stavební rozpočet'!G1265</f>
        <v>60</v>
      </c>
      <c r="H40" s="38">
        <f>'Stavební rozpočet'!H1265</f>
        <v>0</v>
      </c>
      <c r="I40" s="38">
        <f aca="true" t="shared" si="48" ref="I40:I47">G40*H40</f>
        <v>0</v>
      </c>
      <c r="J40" s="38">
        <f>'Stavební rozpočet'!J1265</f>
        <v>0</v>
      </c>
      <c r="K40" s="38">
        <f aca="true" t="shared" si="49" ref="K40:K47">G40*J40</f>
        <v>0</v>
      </c>
      <c r="L40" s="71" t="s">
        <v>207</v>
      </c>
      <c r="Z40" s="38">
        <f aca="true" t="shared" si="50" ref="Z40:Z47">IF(AQ40="5",BJ40,0)</f>
        <v>0</v>
      </c>
      <c r="AB40" s="38">
        <f aca="true" t="shared" si="51" ref="AB40:AB47">IF(AQ40="1",BH40,0)</f>
        <v>0</v>
      </c>
      <c r="AC40" s="38">
        <f aca="true" t="shared" si="52" ref="AC40:AC47">IF(AQ40="1",BI40,0)</f>
        <v>0</v>
      </c>
      <c r="AD40" s="38">
        <f aca="true" t="shared" si="53" ref="AD40:AD47">IF(AQ40="7",BH40,0)</f>
        <v>0</v>
      </c>
      <c r="AE40" s="38">
        <f aca="true" t="shared" si="54" ref="AE40:AE47">IF(AQ40="7",BI40,0)</f>
        <v>0</v>
      </c>
      <c r="AF40" s="38">
        <f aca="true" t="shared" si="55" ref="AF40:AF47">IF(AQ40="2",BH40,0)</f>
        <v>0</v>
      </c>
      <c r="AG40" s="38">
        <f aca="true" t="shared" si="56" ref="AG40:AG47">IF(AQ40="2",BI40,0)</f>
        <v>0</v>
      </c>
      <c r="AH40" s="38">
        <f aca="true" t="shared" si="57" ref="AH40:AH47">IF(AQ40="0",BJ40,0)</f>
        <v>0</v>
      </c>
      <c r="AI40" s="50" t="s">
        <v>89</v>
      </c>
      <c r="AJ40" s="38">
        <f aca="true" t="shared" si="58" ref="AJ40:AJ47">IF(AN40=0,I40,0)</f>
        <v>0</v>
      </c>
      <c r="AK40" s="38">
        <f aca="true" t="shared" si="59" ref="AK40:AK47">IF(AN40=12,I40,0)</f>
        <v>0</v>
      </c>
      <c r="AL40" s="38">
        <f aca="true" t="shared" si="60" ref="AL40:AL47">IF(AN40=21,I40,0)</f>
        <v>0</v>
      </c>
      <c r="AN40" s="38">
        <v>21</v>
      </c>
      <c r="AO40" s="38">
        <f aca="true" t="shared" si="61" ref="AO40:AO47">H40*0</f>
        <v>0</v>
      </c>
      <c r="AP40" s="38">
        <f aca="true" t="shared" si="62" ref="AP40:AP47">H40*(1-0)</f>
        <v>0</v>
      </c>
      <c r="AQ40" s="72" t="s">
        <v>169</v>
      </c>
      <c r="AV40" s="38">
        <f aca="true" t="shared" si="63" ref="AV40:AV47">AW40+AX40</f>
        <v>0</v>
      </c>
      <c r="AW40" s="38">
        <f aca="true" t="shared" si="64" ref="AW40:AW47">G40*AO40</f>
        <v>0</v>
      </c>
      <c r="AX40" s="38">
        <f aca="true" t="shared" si="65" ref="AX40:AX47">G40*AP40</f>
        <v>0</v>
      </c>
      <c r="AY40" s="72" t="s">
        <v>2380</v>
      </c>
      <c r="AZ40" s="72" t="s">
        <v>2317</v>
      </c>
      <c r="BA40" s="50" t="s">
        <v>2301</v>
      </c>
      <c r="BC40" s="38">
        <f aca="true" t="shared" si="66" ref="BC40:BC47">AW40+AX40</f>
        <v>0</v>
      </c>
      <c r="BD40" s="38">
        <f aca="true" t="shared" si="67" ref="BD40:BD47">H40/(100-BE40)*100</f>
        <v>0</v>
      </c>
      <c r="BE40" s="38">
        <v>0</v>
      </c>
      <c r="BF40" s="38">
        <f aca="true" t="shared" si="68" ref="BF40:BF47">K40</f>
        <v>0</v>
      </c>
      <c r="BH40" s="38">
        <f aca="true" t="shared" si="69" ref="BH40:BH47">G40*AO40</f>
        <v>0</v>
      </c>
      <c r="BI40" s="38">
        <f aca="true" t="shared" si="70" ref="BI40:BI47">G40*AP40</f>
        <v>0</v>
      </c>
      <c r="BJ40" s="38">
        <f aca="true" t="shared" si="71" ref="BJ40:BJ47">G40*H40</f>
        <v>0</v>
      </c>
      <c r="BK40" s="38"/>
      <c r="BL40" s="38">
        <v>735</v>
      </c>
      <c r="BW40" s="38">
        <v>21</v>
      </c>
    </row>
    <row r="41" spans="1:75" ht="13.5" customHeight="1">
      <c r="A41" s="1" t="s">
        <v>280</v>
      </c>
      <c r="B41" s="2" t="s">
        <v>89</v>
      </c>
      <c r="C41" s="2" t="s">
        <v>2382</v>
      </c>
      <c r="D41" s="108" t="s">
        <v>2383</v>
      </c>
      <c r="E41" s="103"/>
      <c r="F41" s="2" t="s">
        <v>263</v>
      </c>
      <c r="G41" s="38">
        <f>'Stavební rozpočet'!G1266</f>
        <v>30</v>
      </c>
      <c r="H41" s="38">
        <f>'Stavební rozpočet'!H1266</f>
        <v>0</v>
      </c>
      <c r="I41" s="38">
        <f t="shared" si="48"/>
        <v>0</v>
      </c>
      <c r="J41" s="38">
        <f>'Stavební rozpočet'!J1266</f>
        <v>0</v>
      </c>
      <c r="K41" s="38">
        <f t="shared" si="49"/>
        <v>0</v>
      </c>
      <c r="L41" s="71" t="s">
        <v>207</v>
      </c>
      <c r="Z41" s="38">
        <f t="shared" si="50"/>
        <v>0</v>
      </c>
      <c r="AB41" s="38">
        <f t="shared" si="51"/>
        <v>0</v>
      </c>
      <c r="AC41" s="38">
        <f t="shared" si="52"/>
        <v>0</v>
      </c>
      <c r="AD41" s="38">
        <f t="shared" si="53"/>
        <v>0</v>
      </c>
      <c r="AE41" s="38">
        <f t="shared" si="54"/>
        <v>0</v>
      </c>
      <c r="AF41" s="38">
        <f t="shared" si="55"/>
        <v>0</v>
      </c>
      <c r="AG41" s="38">
        <f t="shared" si="56"/>
        <v>0</v>
      </c>
      <c r="AH41" s="38">
        <f t="shared" si="57"/>
        <v>0</v>
      </c>
      <c r="AI41" s="50" t="s">
        <v>89</v>
      </c>
      <c r="AJ41" s="38">
        <f t="shared" si="58"/>
        <v>0</v>
      </c>
      <c r="AK41" s="38">
        <f t="shared" si="59"/>
        <v>0</v>
      </c>
      <c r="AL41" s="38">
        <f t="shared" si="60"/>
        <v>0</v>
      </c>
      <c r="AN41" s="38">
        <v>21</v>
      </c>
      <c r="AO41" s="38">
        <f t="shared" si="61"/>
        <v>0</v>
      </c>
      <c r="AP41" s="38">
        <f t="shared" si="62"/>
        <v>0</v>
      </c>
      <c r="AQ41" s="72" t="s">
        <v>169</v>
      </c>
      <c r="AV41" s="38">
        <f t="shared" si="63"/>
        <v>0</v>
      </c>
      <c r="AW41" s="38">
        <f t="shared" si="64"/>
        <v>0</v>
      </c>
      <c r="AX41" s="38">
        <f t="shared" si="65"/>
        <v>0</v>
      </c>
      <c r="AY41" s="72" t="s">
        <v>2380</v>
      </c>
      <c r="AZ41" s="72" t="s">
        <v>2317</v>
      </c>
      <c r="BA41" s="50" t="s">
        <v>2301</v>
      </c>
      <c r="BC41" s="38">
        <f t="shared" si="66"/>
        <v>0</v>
      </c>
      <c r="BD41" s="38">
        <f t="shared" si="67"/>
        <v>0</v>
      </c>
      <c r="BE41" s="38">
        <v>0</v>
      </c>
      <c r="BF41" s="38">
        <f t="shared" si="68"/>
        <v>0</v>
      </c>
      <c r="BH41" s="38">
        <f t="shared" si="69"/>
        <v>0</v>
      </c>
      <c r="BI41" s="38">
        <f t="shared" si="70"/>
        <v>0</v>
      </c>
      <c r="BJ41" s="38">
        <f t="shared" si="71"/>
        <v>0</v>
      </c>
      <c r="BK41" s="38"/>
      <c r="BL41" s="38">
        <v>735</v>
      </c>
      <c r="BW41" s="38">
        <v>21</v>
      </c>
    </row>
    <row r="42" spans="1:75" ht="27" customHeight="1">
      <c r="A42" s="1" t="s">
        <v>285</v>
      </c>
      <c r="B42" s="2" t="s">
        <v>89</v>
      </c>
      <c r="C42" s="2" t="s">
        <v>2385</v>
      </c>
      <c r="D42" s="108" t="s">
        <v>2386</v>
      </c>
      <c r="E42" s="103"/>
      <c r="F42" s="2" t="s">
        <v>199</v>
      </c>
      <c r="G42" s="38">
        <f>'Stavební rozpočet'!G1267</f>
        <v>1</v>
      </c>
      <c r="H42" s="38">
        <f>'Stavební rozpočet'!H1267</f>
        <v>0</v>
      </c>
      <c r="I42" s="38">
        <f t="shared" si="48"/>
        <v>0</v>
      </c>
      <c r="J42" s="38">
        <f>'Stavební rozpočet'!J1267</f>
        <v>0</v>
      </c>
      <c r="K42" s="38">
        <f t="shared" si="49"/>
        <v>0</v>
      </c>
      <c r="L42" s="71" t="s">
        <v>207</v>
      </c>
      <c r="Z42" s="38">
        <f t="shared" si="50"/>
        <v>0</v>
      </c>
      <c r="AB42" s="38">
        <f t="shared" si="51"/>
        <v>0</v>
      </c>
      <c r="AC42" s="38">
        <f t="shared" si="52"/>
        <v>0</v>
      </c>
      <c r="AD42" s="38">
        <f t="shared" si="53"/>
        <v>0</v>
      </c>
      <c r="AE42" s="38">
        <f t="shared" si="54"/>
        <v>0</v>
      </c>
      <c r="AF42" s="38">
        <f t="shared" si="55"/>
        <v>0</v>
      </c>
      <c r="AG42" s="38">
        <f t="shared" si="56"/>
        <v>0</v>
      </c>
      <c r="AH42" s="38">
        <f t="shared" si="57"/>
        <v>0</v>
      </c>
      <c r="AI42" s="50" t="s">
        <v>89</v>
      </c>
      <c r="AJ42" s="38">
        <f t="shared" si="58"/>
        <v>0</v>
      </c>
      <c r="AK42" s="38">
        <f t="shared" si="59"/>
        <v>0</v>
      </c>
      <c r="AL42" s="38">
        <f t="shared" si="60"/>
        <v>0</v>
      </c>
      <c r="AN42" s="38">
        <v>21</v>
      </c>
      <c r="AO42" s="38">
        <f t="shared" si="61"/>
        <v>0</v>
      </c>
      <c r="AP42" s="38">
        <f t="shared" si="62"/>
        <v>0</v>
      </c>
      <c r="AQ42" s="72" t="s">
        <v>169</v>
      </c>
      <c r="AV42" s="38">
        <f t="shared" si="63"/>
        <v>0</v>
      </c>
      <c r="AW42" s="38">
        <f t="shared" si="64"/>
        <v>0</v>
      </c>
      <c r="AX42" s="38">
        <f t="shared" si="65"/>
        <v>0</v>
      </c>
      <c r="AY42" s="72" t="s">
        <v>2380</v>
      </c>
      <c r="AZ42" s="72" t="s">
        <v>2317</v>
      </c>
      <c r="BA42" s="50" t="s">
        <v>2301</v>
      </c>
      <c r="BC42" s="38">
        <f t="shared" si="66"/>
        <v>0</v>
      </c>
      <c r="BD42" s="38">
        <f t="shared" si="67"/>
        <v>0</v>
      </c>
      <c r="BE42" s="38">
        <v>0</v>
      </c>
      <c r="BF42" s="38">
        <f t="shared" si="68"/>
        <v>0</v>
      </c>
      <c r="BH42" s="38">
        <f t="shared" si="69"/>
        <v>0</v>
      </c>
      <c r="BI42" s="38">
        <f t="shared" si="70"/>
        <v>0</v>
      </c>
      <c r="BJ42" s="38">
        <f t="shared" si="71"/>
        <v>0</v>
      </c>
      <c r="BK42" s="38"/>
      <c r="BL42" s="38">
        <v>735</v>
      </c>
      <c r="BW42" s="38">
        <v>21</v>
      </c>
    </row>
    <row r="43" spans="1:75" ht="27" customHeight="1">
      <c r="A43" s="1" t="s">
        <v>291</v>
      </c>
      <c r="B43" s="2" t="s">
        <v>89</v>
      </c>
      <c r="C43" s="2" t="s">
        <v>2388</v>
      </c>
      <c r="D43" s="108" t="s">
        <v>2389</v>
      </c>
      <c r="E43" s="103"/>
      <c r="F43" s="2" t="s">
        <v>199</v>
      </c>
      <c r="G43" s="38">
        <f>'Stavební rozpočet'!G1268</f>
        <v>4</v>
      </c>
      <c r="H43" s="38">
        <f>'Stavební rozpočet'!H1268</f>
        <v>0</v>
      </c>
      <c r="I43" s="38">
        <f t="shared" si="48"/>
        <v>0</v>
      </c>
      <c r="J43" s="38">
        <f>'Stavební rozpočet'!J1268</f>
        <v>0</v>
      </c>
      <c r="K43" s="38">
        <f t="shared" si="49"/>
        <v>0</v>
      </c>
      <c r="L43" s="71" t="s">
        <v>207</v>
      </c>
      <c r="Z43" s="38">
        <f t="shared" si="50"/>
        <v>0</v>
      </c>
      <c r="AB43" s="38">
        <f t="shared" si="51"/>
        <v>0</v>
      </c>
      <c r="AC43" s="38">
        <f t="shared" si="52"/>
        <v>0</v>
      </c>
      <c r="AD43" s="38">
        <f t="shared" si="53"/>
        <v>0</v>
      </c>
      <c r="AE43" s="38">
        <f t="shared" si="54"/>
        <v>0</v>
      </c>
      <c r="AF43" s="38">
        <f t="shared" si="55"/>
        <v>0</v>
      </c>
      <c r="AG43" s="38">
        <f t="shared" si="56"/>
        <v>0</v>
      </c>
      <c r="AH43" s="38">
        <f t="shared" si="57"/>
        <v>0</v>
      </c>
      <c r="AI43" s="50" t="s">
        <v>89</v>
      </c>
      <c r="AJ43" s="38">
        <f t="shared" si="58"/>
        <v>0</v>
      </c>
      <c r="AK43" s="38">
        <f t="shared" si="59"/>
        <v>0</v>
      </c>
      <c r="AL43" s="38">
        <f t="shared" si="60"/>
        <v>0</v>
      </c>
      <c r="AN43" s="38">
        <v>21</v>
      </c>
      <c r="AO43" s="38">
        <f t="shared" si="61"/>
        <v>0</v>
      </c>
      <c r="AP43" s="38">
        <f t="shared" si="62"/>
        <v>0</v>
      </c>
      <c r="AQ43" s="72" t="s">
        <v>169</v>
      </c>
      <c r="AV43" s="38">
        <f t="shared" si="63"/>
        <v>0</v>
      </c>
      <c r="AW43" s="38">
        <f t="shared" si="64"/>
        <v>0</v>
      </c>
      <c r="AX43" s="38">
        <f t="shared" si="65"/>
        <v>0</v>
      </c>
      <c r="AY43" s="72" t="s">
        <v>2380</v>
      </c>
      <c r="AZ43" s="72" t="s">
        <v>2317</v>
      </c>
      <c r="BA43" s="50" t="s">
        <v>2301</v>
      </c>
      <c r="BC43" s="38">
        <f t="shared" si="66"/>
        <v>0</v>
      </c>
      <c r="BD43" s="38">
        <f t="shared" si="67"/>
        <v>0</v>
      </c>
      <c r="BE43" s="38">
        <v>0</v>
      </c>
      <c r="BF43" s="38">
        <f t="shared" si="68"/>
        <v>0</v>
      </c>
      <c r="BH43" s="38">
        <f t="shared" si="69"/>
        <v>0</v>
      </c>
      <c r="BI43" s="38">
        <f t="shared" si="70"/>
        <v>0</v>
      </c>
      <c r="BJ43" s="38">
        <f t="shared" si="71"/>
        <v>0</v>
      </c>
      <c r="BK43" s="38"/>
      <c r="BL43" s="38">
        <v>735</v>
      </c>
      <c r="BW43" s="38">
        <v>21</v>
      </c>
    </row>
    <row r="44" spans="1:75" ht="27" customHeight="1">
      <c r="A44" s="1" t="s">
        <v>296</v>
      </c>
      <c r="B44" s="2" t="s">
        <v>89</v>
      </c>
      <c r="C44" s="2" t="s">
        <v>2391</v>
      </c>
      <c r="D44" s="108" t="s">
        <v>2392</v>
      </c>
      <c r="E44" s="103"/>
      <c r="F44" s="2" t="s">
        <v>199</v>
      </c>
      <c r="G44" s="38">
        <f>'Stavební rozpočet'!G1269</f>
        <v>1</v>
      </c>
      <c r="H44" s="38">
        <f>'Stavební rozpočet'!H1269</f>
        <v>0</v>
      </c>
      <c r="I44" s="38">
        <f t="shared" si="48"/>
        <v>0</v>
      </c>
      <c r="J44" s="38">
        <f>'Stavební rozpočet'!J1269</f>
        <v>0</v>
      </c>
      <c r="K44" s="38">
        <f t="shared" si="49"/>
        <v>0</v>
      </c>
      <c r="L44" s="71" t="s">
        <v>207</v>
      </c>
      <c r="Z44" s="38">
        <f t="shared" si="50"/>
        <v>0</v>
      </c>
      <c r="AB44" s="38">
        <f t="shared" si="51"/>
        <v>0</v>
      </c>
      <c r="AC44" s="38">
        <f t="shared" si="52"/>
        <v>0</v>
      </c>
      <c r="AD44" s="38">
        <f t="shared" si="53"/>
        <v>0</v>
      </c>
      <c r="AE44" s="38">
        <f t="shared" si="54"/>
        <v>0</v>
      </c>
      <c r="AF44" s="38">
        <f t="shared" si="55"/>
        <v>0</v>
      </c>
      <c r="AG44" s="38">
        <f t="shared" si="56"/>
        <v>0</v>
      </c>
      <c r="AH44" s="38">
        <f t="shared" si="57"/>
        <v>0</v>
      </c>
      <c r="AI44" s="50" t="s">
        <v>89</v>
      </c>
      <c r="AJ44" s="38">
        <f t="shared" si="58"/>
        <v>0</v>
      </c>
      <c r="AK44" s="38">
        <f t="shared" si="59"/>
        <v>0</v>
      </c>
      <c r="AL44" s="38">
        <f t="shared" si="60"/>
        <v>0</v>
      </c>
      <c r="AN44" s="38">
        <v>21</v>
      </c>
      <c r="AO44" s="38">
        <f t="shared" si="61"/>
        <v>0</v>
      </c>
      <c r="AP44" s="38">
        <f t="shared" si="62"/>
        <v>0</v>
      </c>
      <c r="AQ44" s="72" t="s">
        <v>169</v>
      </c>
      <c r="AV44" s="38">
        <f t="shared" si="63"/>
        <v>0</v>
      </c>
      <c r="AW44" s="38">
        <f t="shared" si="64"/>
        <v>0</v>
      </c>
      <c r="AX44" s="38">
        <f t="shared" si="65"/>
        <v>0</v>
      </c>
      <c r="AY44" s="72" t="s">
        <v>2380</v>
      </c>
      <c r="AZ44" s="72" t="s">
        <v>2317</v>
      </c>
      <c r="BA44" s="50" t="s">
        <v>2301</v>
      </c>
      <c r="BC44" s="38">
        <f t="shared" si="66"/>
        <v>0</v>
      </c>
      <c r="BD44" s="38">
        <f t="shared" si="67"/>
        <v>0</v>
      </c>
      <c r="BE44" s="38">
        <v>0</v>
      </c>
      <c r="BF44" s="38">
        <f t="shared" si="68"/>
        <v>0</v>
      </c>
      <c r="BH44" s="38">
        <f t="shared" si="69"/>
        <v>0</v>
      </c>
      <c r="BI44" s="38">
        <f t="shared" si="70"/>
        <v>0</v>
      </c>
      <c r="BJ44" s="38">
        <f t="shared" si="71"/>
        <v>0</v>
      </c>
      <c r="BK44" s="38"/>
      <c r="BL44" s="38">
        <v>735</v>
      </c>
      <c r="BW44" s="38">
        <v>21</v>
      </c>
    </row>
    <row r="45" spans="1:75" ht="27" customHeight="1">
      <c r="A45" s="1" t="s">
        <v>304</v>
      </c>
      <c r="B45" s="2" t="s">
        <v>89</v>
      </c>
      <c r="C45" s="2" t="s">
        <v>2394</v>
      </c>
      <c r="D45" s="108" t="s">
        <v>2395</v>
      </c>
      <c r="E45" s="103"/>
      <c r="F45" s="2" t="s">
        <v>199</v>
      </c>
      <c r="G45" s="38">
        <f>'Stavební rozpočet'!G1270</f>
        <v>1</v>
      </c>
      <c r="H45" s="38">
        <f>'Stavební rozpočet'!H1270</f>
        <v>0</v>
      </c>
      <c r="I45" s="38">
        <f t="shared" si="48"/>
        <v>0</v>
      </c>
      <c r="J45" s="38">
        <f>'Stavební rozpočet'!J1270</f>
        <v>0</v>
      </c>
      <c r="K45" s="38">
        <f t="shared" si="49"/>
        <v>0</v>
      </c>
      <c r="L45" s="71" t="s">
        <v>207</v>
      </c>
      <c r="Z45" s="38">
        <f t="shared" si="50"/>
        <v>0</v>
      </c>
      <c r="AB45" s="38">
        <f t="shared" si="51"/>
        <v>0</v>
      </c>
      <c r="AC45" s="38">
        <f t="shared" si="52"/>
        <v>0</v>
      </c>
      <c r="AD45" s="38">
        <f t="shared" si="53"/>
        <v>0</v>
      </c>
      <c r="AE45" s="38">
        <f t="shared" si="54"/>
        <v>0</v>
      </c>
      <c r="AF45" s="38">
        <f t="shared" si="55"/>
        <v>0</v>
      </c>
      <c r="AG45" s="38">
        <f t="shared" si="56"/>
        <v>0</v>
      </c>
      <c r="AH45" s="38">
        <f t="shared" si="57"/>
        <v>0</v>
      </c>
      <c r="AI45" s="50" t="s">
        <v>89</v>
      </c>
      <c r="AJ45" s="38">
        <f t="shared" si="58"/>
        <v>0</v>
      </c>
      <c r="AK45" s="38">
        <f t="shared" si="59"/>
        <v>0</v>
      </c>
      <c r="AL45" s="38">
        <f t="shared" si="60"/>
        <v>0</v>
      </c>
      <c r="AN45" s="38">
        <v>21</v>
      </c>
      <c r="AO45" s="38">
        <f t="shared" si="61"/>
        <v>0</v>
      </c>
      <c r="AP45" s="38">
        <f t="shared" si="62"/>
        <v>0</v>
      </c>
      <c r="AQ45" s="72" t="s">
        <v>169</v>
      </c>
      <c r="AV45" s="38">
        <f t="shared" si="63"/>
        <v>0</v>
      </c>
      <c r="AW45" s="38">
        <f t="shared" si="64"/>
        <v>0</v>
      </c>
      <c r="AX45" s="38">
        <f t="shared" si="65"/>
        <v>0</v>
      </c>
      <c r="AY45" s="72" t="s">
        <v>2380</v>
      </c>
      <c r="AZ45" s="72" t="s">
        <v>2317</v>
      </c>
      <c r="BA45" s="50" t="s">
        <v>2301</v>
      </c>
      <c r="BC45" s="38">
        <f t="shared" si="66"/>
        <v>0</v>
      </c>
      <c r="BD45" s="38">
        <f t="shared" si="67"/>
        <v>0</v>
      </c>
      <c r="BE45" s="38">
        <v>0</v>
      </c>
      <c r="BF45" s="38">
        <f t="shared" si="68"/>
        <v>0</v>
      </c>
      <c r="BH45" s="38">
        <f t="shared" si="69"/>
        <v>0</v>
      </c>
      <c r="BI45" s="38">
        <f t="shared" si="70"/>
        <v>0</v>
      </c>
      <c r="BJ45" s="38">
        <f t="shared" si="71"/>
        <v>0</v>
      </c>
      <c r="BK45" s="38"/>
      <c r="BL45" s="38">
        <v>735</v>
      </c>
      <c r="BW45" s="38">
        <v>21</v>
      </c>
    </row>
    <row r="46" spans="1:75" ht="27" customHeight="1">
      <c r="A46" s="1" t="s">
        <v>311</v>
      </c>
      <c r="B46" s="2" t="s">
        <v>89</v>
      </c>
      <c r="C46" s="2" t="s">
        <v>2397</v>
      </c>
      <c r="D46" s="108" t="s">
        <v>2398</v>
      </c>
      <c r="E46" s="103"/>
      <c r="F46" s="2" t="s">
        <v>199</v>
      </c>
      <c r="G46" s="38">
        <f>'Stavební rozpočet'!G1271</f>
        <v>2</v>
      </c>
      <c r="H46" s="38">
        <f>'Stavební rozpočet'!H1271</f>
        <v>0</v>
      </c>
      <c r="I46" s="38">
        <f t="shared" si="48"/>
        <v>0</v>
      </c>
      <c r="J46" s="38">
        <f>'Stavební rozpočet'!J1271</f>
        <v>0</v>
      </c>
      <c r="K46" s="38">
        <f t="shared" si="49"/>
        <v>0</v>
      </c>
      <c r="L46" s="71" t="s">
        <v>207</v>
      </c>
      <c r="Z46" s="38">
        <f t="shared" si="50"/>
        <v>0</v>
      </c>
      <c r="AB46" s="38">
        <f t="shared" si="51"/>
        <v>0</v>
      </c>
      <c r="AC46" s="38">
        <f t="shared" si="52"/>
        <v>0</v>
      </c>
      <c r="AD46" s="38">
        <f t="shared" si="53"/>
        <v>0</v>
      </c>
      <c r="AE46" s="38">
        <f t="shared" si="54"/>
        <v>0</v>
      </c>
      <c r="AF46" s="38">
        <f t="shared" si="55"/>
        <v>0</v>
      </c>
      <c r="AG46" s="38">
        <f t="shared" si="56"/>
        <v>0</v>
      </c>
      <c r="AH46" s="38">
        <f t="shared" si="57"/>
        <v>0</v>
      </c>
      <c r="AI46" s="50" t="s">
        <v>89</v>
      </c>
      <c r="AJ46" s="38">
        <f t="shared" si="58"/>
        <v>0</v>
      </c>
      <c r="AK46" s="38">
        <f t="shared" si="59"/>
        <v>0</v>
      </c>
      <c r="AL46" s="38">
        <f t="shared" si="60"/>
        <v>0</v>
      </c>
      <c r="AN46" s="38">
        <v>21</v>
      </c>
      <c r="AO46" s="38">
        <f t="shared" si="61"/>
        <v>0</v>
      </c>
      <c r="AP46" s="38">
        <f t="shared" si="62"/>
        <v>0</v>
      </c>
      <c r="AQ46" s="72" t="s">
        <v>169</v>
      </c>
      <c r="AV46" s="38">
        <f t="shared" si="63"/>
        <v>0</v>
      </c>
      <c r="AW46" s="38">
        <f t="shared" si="64"/>
        <v>0</v>
      </c>
      <c r="AX46" s="38">
        <f t="shared" si="65"/>
        <v>0</v>
      </c>
      <c r="AY46" s="72" t="s">
        <v>2380</v>
      </c>
      <c r="AZ46" s="72" t="s">
        <v>2317</v>
      </c>
      <c r="BA46" s="50" t="s">
        <v>2301</v>
      </c>
      <c r="BC46" s="38">
        <f t="shared" si="66"/>
        <v>0</v>
      </c>
      <c r="BD46" s="38">
        <f t="shared" si="67"/>
        <v>0</v>
      </c>
      <c r="BE46" s="38">
        <v>0</v>
      </c>
      <c r="BF46" s="38">
        <f t="shared" si="68"/>
        <v>0</v>
      </c>
      <c r="BH46" s="38">
        <f t="shared" si="69"/>
        <v>0</v>
      </c>
      <c r="BI46" s="38">
        <f t="shared" si="70"/>
        <v>0</v>
      </c>
      <c r="BJ46" s="38">
        <f t="shared" si="71"/>
        <v>0</v>
      </c>
      <c r="BK46" s="38"/>
      <c r="BL46" s="38">
        <v>735</v>
      </c>
      <c r="BW46" s="38">
        <v>21</v>
      </c>
    </row>
    <row r="47" spans="1:75" ht="27" customHeight="1">
      <c r="A47" s="1" t="s">
        <v>195</v>
      </c>
      <c r="B47" s="2" t="s">
        <v>89</v>
      </c>
      <c r="C47" s="2" t="s">
        <v>2400</v>
      </c>
      <c r="D47" s="108" t="s">
        <v>2401</v>
      </c>
      <c r="E47" s="103"/>
      <c r="F47" s="2" t="s">
        <v>199</v>
      </c>
      <c r="G47" s="38">
        <f>'Stavební rozpočet'!G1272</f>
        <v>5</v>
      </c>
      <c r="H47" s="38">
        <f>'Stavební rozpočet'!H1272</f>
        <v>0</v>
      </c>
      <c r="I47" s="38">
        <f t="shared" si="48"/>
        <v>0</v>
      </c>
      <c r="J47" s="38">
        <f>'Stavební rozpočet'!J1272</f>
        <v>0</v>
      </c>
      <c r="K47" s="38">
        <f t="shared" si="49"/>
        <v>0</v>
      </c>
      <c r="L47" s="71" t="s">
        <v>207</v>
      </c>
      <c r="Z47" s="38">
        <f t="shared" si="50"/>
        <v>0</v>
      </c>
      <c r="AB47" s="38">
        <f t="shared" si="51"/>
        <v>0</v>
      </c>
      <c r="AC47" s="38">
        <f t="shared" si="52"/>
        <v>0</v>
      </c>
      <c r="AD47" s="38">
        <f t="shared" si="53"/>
        <v>0</v>
      </c>
      <c r="AE47" s="38">
        <f t="shared" si="54"/>
        <v>0</v>
      </c>
      <c r="AF47" s="38">
        <f t="shared" si="55"/>
        <v>0</v>
      </c>
      <c r="AG47" s="38">
        <f t="shared" si="56"/>
        <v>0</v>
      </c>
      <c r="AH47" s="38">
        <f t="shared" si="57"/>
        <v>0</v>
      </c>
      <c r="AI47" s="50" t="s">
        <v>89</v>
      </c>
      <c r="AJ47" s="38">
        <f t="shared" si="58"/>
        <v>0</v>
      </c>
      <c r="AK47" s="38">
        <f t="shared" si="59"/>
        <v>0</v>
      </c>
      <c r="AL47" s="38">
        <f t="shared" si="60"/>
        <v>0</v>
      </c>
      <c r="AN47" s="38">
        <v>21</v>
      </c>
      <c r="AO47" s="38">
        <f t="shared" si="61"/>
        <v>0</v>
      </c>
      <c r="AP47" s="38">
        <f t="shared" si="62"/>
        <v>0</v>
      </c>
      <c r="AQ47" s="72" t="s">
        <v>169</v>
      </c>
      <c r="AV47" s="38">
        <f t="shared" si="63"/>
        <v>0</v>
      </c>
      <c r="AW47" s="38">
        <f t="shared" si="64"/>
        <v>0</v>
      </c>
      <c r="AX47" s="38">
        <f t="shared" si="65"/>
        <v>0</v>
      </c>
      <c r="AY47" s="72" t="s">
        <v>2380</v>
      </c>
      <c r="AZ47" s="72" t="s">
        <v>2317</v>
      </c>
      <c r="BA47" s="50" t="s">
        <v>2301</v>
      </c>
      <c r="BC47" s="38">
        <f t="shared" si="66"/>
        <v>0</v>
      </c>
      <c r="BD47" s="38">
        <f t="shared" si="67"/>
        <v>0</v>
      </c>
      <c r="BE47" s="38">
        <v>0</v>
      </c>
      <c r="BF47" s="38">
        <f t="shared" si="68"/>
        <v>0</v>
      </c>
      <c r="BH47" s="38">
        <f t="shared" si="69"/>
        <v>0</v>
      </c>
      <c r="BI47" s="38">
        <f t="shared" si="70"/>
        <v>0</v>
      </c>
      <c r="BJ47" s="38">
        <f t="shared" si="71"/>
        <v>0</v>
      </c>
      <c r="BK47" s="38"/>
      <c r="BL47" s="38">
        <v>735</v>
      </c>
      <c r="BW47" s="38">
        <v>21</v>
      </c>
    </row>
    <row r="48" spans="1:47" ht="15">
      <c r="A48" s="65" t="s">
        <v>4</v>
      </c>
      <c r="B48" s="66" t="s">
        <v>89</v>
      </c>
      <c r="C48" s="66" t="s">
        <v>1504</v>
      </c>
      <c r="D48" s="192" t="s">
        <v>1505</v>
      </c>
      <c r="E48" s="193"/>
      <c r="F48" s="67" t="s">
        <v>78</v>
      </c>
      <c r="G48" s="67" t="s">
        <v>78</v>
      </c>
      <c r="H48" s="67" t="s">
        <v>78</v>
      </c>
      <c r="I48" s="44">
        <f>SUM(I49:I60)</f>
        <v>0</v>
      </c>
      <c r="J48" s="50" t="s">
        <v>4</v>
      </c>
      <c r="K48" s="44">
        <f>SUM(K49:K60)</f>
        <v>0</v>
      </c>
      <c r="L48" s="69" t="s">
        <v>4</v>
      </c>
      <c r="AI48" s="50" t="s">
        <v>89</v>
      </c>
      <c r="AS48" s="44">
        <f>SUM(AJ49:AJ60)</f>
        <v>0</v>
      </c>
      <c r="AT48" s="44">
        <f>SUM(AK49:AK60)</f>
        <v>0</v>
      </c>
      <c r="AU48" s="44">
        <f>SUM(AL49:AL60)</f>
        <v>0</v>
      </c>
    </row>
    <row r="49" spans="1:75" ht="27" customHeight="1">
      <c r="A49" s="1" t="s">
        <v>322</v>
      </c>
      <c r="B49" s="2" t="s">
        <v>89</v>
      </c>
      <c r="C49" s="2" t="s">
        <v>2403</v>
      </c>
      <c r="D49" s="108" t="s">
        <v>2404</v>
      </c>
      <c r="E49" s="103"/>
      <c r="F49" s="2" t="s">
        <v>263</v>
      </c>
      <c r="G49" s="38">
        <f>'Stavební rozpočet'!G1274</f>
        <v>3</v>
      </c>
      <c r="H49" s="38">
        <f>'Stavební rozpočet'!H1274</f>
        <v>0</v>
      </c>
      <c r="I49" s="38">
        <f aca="true" t="shared" si="72" ref="I49:I60">G49*H49</f>
        <v>0</v>
      </c>
      <c r="J49" s="38">
        <f>'Stavební rozpočet'!J1274</f>
        <v>0</v>
      </c>
      <c r="K49" s="38">
        <f aca="true" t="shared" si="73" ref="K49:K60">G49*J49</f>
        <v>0</v>
      </c>
      <c r="L49" s="71" t="s">
        <v>207</v>
      </c>
      <c r="Z49" s="38">
        <f aca="true" t="shared" si="74" ref="Z49:Z60">IF(AQ49="5",BJ49,0)</f>
        <v>0</v>
      </c>
      <c r="AB49" s="38">
        <f aca="true" t="shared" si="75" ref="AB49:AB60">IF(AQ49="1",BH49,0)</f>
        <v>0</v>
      </c>
      <c r="AC49" s="38">
        <f aca="true" t="shared" si="76" ref="AC49:AC60">IF(AQ49="1",BI49,0)</f>
        <v>0</v>
      </c>
      <c r="AD49" s="38">
        <f aca="true" t="shared" si="77" ref="AD49:AD60">IF(AQ49="7",BH49,0)</f>
        <v>0</v>
      </c>
      <c r="AE49" s="38">
        <f aca="true" t="shared" si="78" ref="AE49:AE60">IF(AQ49="7",BI49,0)</f>
        <v>0</v>
      </c>
      <c r="AF49" s="38">
        <f aca="true" t="shared" si="79" ref="AF49:AF60">IF(AQ49="2",BH49,0)</f>
        <v>0</v>
      </c>
      <c r="AG49" s="38">
        <f aca="true" t="shared" si="80" ref="AG49:AG60">IF(AQ49="2",BI49,0)</f>
        <v>0</v>
      </c>
      <c r="AH49" s="38">
        <f aca="true" t="shared" si="81" ref="AH49:AH60">IF(AQ49="0",BJ49,0)</f>
        <v>0</v>
      </c>
      <c r="AI49" s="50" t="s">
        <v>89</v>
      </c>
      <c r="AJ49" s="38">
        <f aca="true" t="shared" si="82" ref="AJ49:AJ60">IF(AN49=0,I49,0)</f>
        <v>0</v>
      </c>
      <c r="AK49" s="38">
        <f aca="true" t="shared" si="83" ref="AK49:AK60">IF(AN49=12,I49,0)</f>
        <v>0</v>
      </c>
      <c r="AL49" s="38">
        <f aca="true" t="shared" si="84" ref="AL49:AL60">IF(AN49=21,I49,0)</f>
        <v>0</v>
      </c>
      <c r="AN49" s="38">
        <v>21</v>
      </c>
      <c r="AO49" s="38">
        <f aca="true" t="shared" si="85" ref="AO49:AO60">H49*0</f>
        <v>0</v>
      </c>
      <c r="AP49" s="38">
        <f aca="true" t="shared" si="86" ref="AP49:AP60">H49*(1-0)</f>
        <v>0</v>
      </c>
      <c r="AQ49" s="72" t="s">
        <v>169</v>
      </c>
      <c r="AV49" s="38">
        <f aca="true" t="shared" si="87" ref="AV49:AV60">AW49+AX49</f>
        <v>0</v>
      </c>
      <c r="AW49" s="38">
        <f aca="true" t="shared" si="88" ref="AW49:AW60">G49*AO49</f>
        <v>0</v>
      </c>
      <c r="AX49" s="38">
        <f aca="true" t="shared" si="89" ref="AX49:AX60">G49*AP49</f>
        <v>0</v>
      </c>
      <c r="AY49" s="72" t="s">
        <v>1509</v>
      </c>
      <c r="AZ49" s="72" t="s">
        <v>2405</v>
      </c>
      <c r="BA49" s="50" t="s">
        <v>2301</v>
      </c>
      <c r="BC49" s="38">
        <f aca="true" t="shared" si="90" ref="BC49:BC60">AW49+AX49</f>
        <v>0</v>
      </c>
      <c r="BD49" s="38">
        <f aca="true" t="shared" si="91" ref="BD49:BD60">H49/(100-BE49)*100</f>
        <v>0</v>
      </c>
      <c r="BE49" s="38">
        <v>0</v>
      </c>
      <c r="BF49" s="38">
        <f aca="true" t="shared" si="92" ref="BF49:BF60">K49</f>
        <v>0</v>
      </c>
      <c r="BH49" s="38">
        <f aca="true" t="shared" si="93" ref="BH49:BH60">G49*AO49</f>
        <v>0</v>
      </c>
      <c r="BI49" s="38">
        <f aca="true" t="shared" si="94" ref="BI49:BI60">G49*AP49</f>
        <v>0</v>
      </c>
      <c r="BJ49" s="38">
        <f aca="true" t="shared" si="95" ref="BJ49:BJ60">G49*H49</f>
        <v>0</v>
      </c>
      <c r="BK49" s="38"/>
      <c r="BL49" s="38">
        <v>783</v>
      </c>
      <c r="BW49" s="38">
        <v>21</v>
      </c>
    </row>
    <row r="50" spans="1:75" ht="13.5" customHeight="1">
      <c r="A50" s="1" t="s">
        <v>328</v>
      </c>
      <c r="B50" s="2" t="s">
        <v>89</v>
      </c>
      <c r="C50" s="2" t="s">
        <v>2407</v>
      </c>
      <c r="D50" s="108" t="s">
        <v>2408</v>
      </c>
      <c r="E50" s="103"/>
      <c r="F50" s="2" t="s">
        <v>263</v>
      </c>
      <c r="G50" s="38">
        <f>'Stavební rozpočet'!G1275</f>
        <v>30</v>
      </c>
      <c r="H50" s="38">
        <f>'Stavební rozpočet'!H1275</f>
        <v>0</v>
      </c>
      <c r="I50" s="38">
        <f t="shared" si="72"/>
        <v>0</v>
      </c>
      <c r="J50" s="38">
        <f>'Stavební rozpočet'!J1275</f>
        <v>0</v>
      </c>
      <c r="K50" s="38">
        <f t="shared" si="73"/>
        <v>0</v>
      </c>
      <c r="L50" s="71" t="s">
        <v>207</v>
      </c>
      <c r="Z50" s="38">
        <f t="shared" si="74"/>
        <v>0</v>
      </c>
      <c r="AB50" s="38">
        <f t="shared" si="75"/>
        <v>0</v>
      </c>
      <c r="AC50" s="38">
        <f t="shared" si="76"/>
        <v>0</v>
      </c>
      <c r="AD50" s="38">
        <f t="shared" si="77"/>
        <v>0</v>
      </c>
      <c r="AE50" s="38">
        <f t="shared" si="78"/>
        <v>0</v>
      </c>
      <c r="AF50" s="38">
        <f t="shared" si="79"/>
        <v>0</v>
      </c>
      <c r="AG50" s="38">
        <f t="shared" si="80"/>
        <v>0</v>
      </c>
      <c r="AH50" s="38">
        <f t="shared" si="81"/>
        <v>0</v>
      </c>
      <c r="AI50" s="50" t="s">
        <v>89</v>
      </c>
      <c r="AJ50" s="38">
        <f t="shared" si="82"/>
        <v>0</v>
      </c>
      <c r="AK50" s="38">
        <f t="shared" si="83"/>
        <v>0</v>
      </c>
      <c r="AL50" s="38">
        <f t="shared" si="84"/>
        <v>0</v>
      </c>
      <c r="AN50" s="38">
        <v>21</v>
      </c>
      <c r="AO50" s="38">
        <f t="shared" si="85"/>
        <v>0</v>
      </c>
      <c r="AP50" s="38">
        <f t="shared" si="86"/>
        <v>0</v>
      </c>
      <c r="AQ50" s="72" t="s">
        <v>169</v>
      </c>
      <c r="AV50" s="38">
        <f t="shared" si="87"/>
        <v>0</v>
      </c>
      <c r="AW50" s="38">
        <f t="shared" si="88"/>
        <v>0</v>
      </c>
      <c r="AX50" s="38">
        <f t="shared" si="89"/>
        <v>0</v>
      </c>
      <c r="AY50" s="72" t="s">
        <v>1509</v>
      </c>
      <c r="AZ50" s="72" t="s">
        <v>2405</v>
      </c>
      <c r="BA50" s="50" t="s">
        <v>2301</v>
      </c>
      <c r="BC50" s="38">
        <f t="shared" si="90"/>
        <v>0</v>
      </c>
      <c r="BD50" s="38">
        <f t="shared" si="91"/>
        <v>0</v>
      </c>
      <c r="BE50" s="38">
        <v>0</v>
      </c>
      <c r="BF50" s="38">
        <f t="shared" si="92"/>
        <v>0</v>
      </c>
      <c r="BH50" s="38">
        <f t="shared" si="93"/>
        <v>0</v>
      </c>
      <c r="BI50" s="38">
        <f t="shared" si="94"/>
        <v>0</v>
      </c>
      <c r="BJ50" s="38">
        <f t="shared" si="95"/>
        <v>0</v>
      </c>
      <c r="BK50" s="38"/>
      <c r="BL50" s="38">
        <v>783</v>
      </c>
      <c r="BW50" s="38">
        <v>21</v>
      </c>
    </row>
    <row r="51" spans="1:75" ht="13.5" customHeight="1">
      <c r="A51" s="1" t="s">
        <v>289</v>
      </c>
      <c r="B51" s="2" t="s">
        <v>89</v>
      </c>
      <c r="C51" s="2" t="s">
        <v>2410</v>
      </c>
      <c r="D51" s="108" t="s">
        <v>2411</v>
      </c>
      <c r="E51" s="103"/>
      <c r="F51" s="2" t="s">
        <v>263</v>
      </c>
      <c r="G51" s="38">
        <f>'Stavební rozpočet'!G1276</f>
        <v>3</v>
      </c>
      <c r="H51" s="38">
        <f>'Stavební rozpočet'!H1276</f>
        <v>0</v>
      </c>
      <c r="I51" s="38">
        <f t="shared" si="72"/>
        <v>0</v>
      </c>
      <c r="J51" s="38">
        <f>'Stavební rozpočet'!J1276</f>
        <v>0</v>
      </c>
      <c r="K51" s="38">
        <f t="shared" si="73"/>
        <v>0</v>
      </c>
      <c r="L51" s="71" t="s">
        <v>207</v>
      </c>
      <c r="Z51" s="38">
        <f t="shared" si="74"/>
        <v>0</v>
      </c>
      <c r="AB51" s="38">
        <f t="shared" si="75"/>
        <v>0</v>
      </c>
      <c r="AC51" s="38">
        <f t="shared" si="76"/>
        <v>0</v>
      </c>
      <c r="AD51" s="38">
        <f t="shared" si="77"/>
        <v>0</v>
      </c>
      <c r="AE51" s="38">
        <f t="shared" si="78"/>
        <v>0</v>
      </c>
      <c r="AF51" s="38">
        <f t="shared" si="79"/>
        <v>0</v>
      </c>
      <c r="AG51" s="38">
        <f t="shared" si="80"/>
        <v>0</v>
      </c>
      <c r="AH51" s="38">
        <f t="shared" si="81"/>
        <v>0</v>
      </c>
      <c r="AI51" s="50" t="s">
        <v>89</v>
      </c>
      <c r="AJ51" s="38">
        <f t="shared" si="82"/>
        <v>0</v>
      </c>
      <c r="AK51" s="38">
        <f t="shared" si="83"/>
        <v>0</v>
      </c>
      <c r="AL51" s="38">
        <f t="shared" si="84"/>
        <v>0</v>
      </c>
      <c r="AN51" s="38">
        <v>21</v>
      </c>
      <c r="AO51" s="38">
        <f t="shared" si="85"/>
        <v>0</v>
      </c>
      <c r="AP51" s="38">
        <f t="shared" si="86"/>
        <v>0</v>
      </c>
      <c r="AQ51" s="72" t="s">
        <v>169</v>
      </c>
      <c r="AV51" s="38">
        <f t="shared" si="87"/>
        <v>0</v>
      </c>
      <c r="AW51" s="38">
        <f t="shared" si="88"/>
        <v>0</v>
      </c>
      <c r="AX51" s="38">
        <f t="shared" si="89"/>
        <v>0</v>
      </c>
      <c r="AY51" s="72" t="s">
        <v>1509</v>
      </c>
      <c r="AZ51" s="72" t="s">
        <v>2405</v>
      </c>
      <c r="BA51" s="50" t="s">
        <v>2301</v>
      </c>
      <c r="BC51" s="38">
        <f t="shared" si="90"/>
        <v>0</v>
      </c>
      <c r="BD51" s="38">
        <f t="shared" si="91"/>
        <v>0</v>
      </c>
      <c r="BE51" s="38">
        <v>0</v>
      </c>
      <c r="BF51" s="38">
        <f t="shared" si="92"/>
        <v>0</v>
      </c>
      <c r="BH51" s="38">
        <f t="shared" si="93"/>
        <v>0</v>
      </c>
      <c r="BI51" s="38">
        <f t="shared" si="94"/>
        <v>0</v>
      </c>
      <c r="BJ51" s="38">
        <f t="shared" si="95"/>
        <v>0</v>
      </c>
      <c r="BK51" s="38"/>
      <c r="BL51" s="38">
        <v>783</v>
      </c>
      <c r="BW51" s="38">
        <v>21</v>
      </c>
    </row>
    <row r="52" spans="1:75" ht="13.5" customHeight="1">
      <c r="A52" s="1" t="s">
        <v>336</v>
      </c>
      <c r="B52" s="2" t="s">
        <v>89</v>
      </c>
      <c r="C52" s="2" t="s">
        <v>2246</v>
      </c>
      <c r="D52" s="108" t="s">
        <v>2247</v>
      </c>
      <c r="E52" s="103"/>
      <c r="F52" s="2" t="s">
        <v>214</v>
      </c>
      <c r="G52" s="38">
        <f>'Stavební rozpočet'!G1277</f>
        <v>232</v>
      </c>
      <c r="H52" s="38">
        <f>'Stavební rozpočet'!H1277</f>
        <v>0</v>
      </c>
      <c r="I52" s="38">
        <f t="shared" si="72"/>
        <v>0</v>
      </c>
      <c r="J52" s="38">
        <f>'Stavební rozpočet'!J1277</f>
        <v>0</v>
      </c>
      <c r="K52" s="38">
        <f t="shared" si="73"/>
        <v>0</v>
      </c>
      <c r="L52" s="71" t="s">
        <v>207</v>
      </c>
      <c r="Z52" s="38">
        <f t="shared" si="74"/>
        <v>0</v>
      </c>
      <c r="AB52" s="38">
        <f t="shared" si="75"/>
        <v>0</v>
      </c>
      <c r="AC52" s="38">
        <f t="shared" si="76"/>
        <v>0</v>
      </c>
      <c r="AD52" s="38">
        <f t="shared" si="77"/>
        <v>0</v>
      </c>
      <c r="AE52" s="38">
        <f t="shared" si="78"/>
        <v>0</v>
      </c>
      <c r="AF52" s="38">
        <f t="shared" si="79"/>
        <v>0</v>
      </c>
      <c r="AG52" s="38">
        <f t="shared" si="80"/>
        <v>0</v>
      </c>
      <c r="AH52" s="38">
        <f t="shared" si="81"/>
        <v>0</v>
      </c>
      <c r="AI52" s="50" t="s">
        <v>89</v>
      </c>
      <c r="AJ52" s="38">
        <f t="shared" si="82"/>
        <v>0</v>
      </c>
      <c r="AK52" s="38">
        <f t="shared" si="83"/>
        <v>0</v>
      </c>
      <c r="AL52" s="38">
        <f t="shared" si="84"/>
        <v>0</v>
      </c>
      <c r="AN52" s="38">
        <v>21</v>
      </c>
      <c r="AO52" s="38">
        <f t="shared" si="85"/>
        <v>0</v>
      </c>
      <c r="AP52" s="38">
        <f t="shared" si="86"/>
        <v>0</v>
      </c>
      <c r="AQ52" s="72" t="s">
        <v>169</v>
      </c>
      <c r="AV52" s="38">
        <f t="shared" si="87"/>
        <v>0</v>
      </c>
      <c r="AW52" s="38">
        <f t="shared" si="88"/>
        <v>0</v>
      </c>
      <c r="AX52" s="38">
        <f t="shared" si="89"/>
        <v>0</v>
      </c>
      <c r="AY52" s="72" t="s">
        <v>1509</v>
      </c>
      <c r="AZ52" s="72" t="s">
        <v>2405</v>
      </c>
      <c r="BA52" s="50" t="s">
        <v>2301</v>
      </c>
      <c r="BC52" s="38">
        <f t="shared" si="90"/>
        <v>0</v>
      </c>
      <c r="BD52" s="38">
        <f t="shared" si="91"/>
        <v>0</v>
      </c>
      <c r="BE52" s="38">
        <v>0</v>
      </c>
      <c r="BF52" s="38">
        <f t="shared" si="92"/>
        <v>0</v>
      </c>
      <c r="BH52" s="38">
        <f t="shared" si="93"/>
        <v>0</v>
      </c>
      <c r="BI52" s="38">
        <f t="shared" si="94"/>
        <v>0</v>
      </c>
      <c r="BJ52" s="38">
        <f t="shared" si="95"/>
        <v>0</v>
      </c>
      <c r="BK52" s="38"/>
      <c r="BL52" s="38">
        <v>783</v>
      </c>
      <c r="BW52" s="38">
        <v>21</v>
      </c>
    </row>
    <row r="53" spans="1:75" ht="13.5" customHeight="1">
      <c r="A53" s="1" t="s">
        <v>342</v>
      </c>
      <c r="B53" s="2" t="s">
        <v>89</v>
      </c>
      <c r="C53" s="2" t="s">
        <v>2414</v>
      </c>
      <c r="D53" s="108" t="s">
        <v>2415</v>
      </c>
      <c r="E53" s="103"/>
      <c r="F53" s="2" t="s">
        <v>263</v>
      </c>
      <c r="G53" s="38">
        <f>'Stavební rozpočet'!G1278</f>
        <v>3</v>
      </c>
      <c r="H53" s="38">
        <f>'Stavební rozpočet'!H1278</f>
        <v>0</v>
      </c>
      <c r="I53" s="38">
        <f t="shared" si="72"/>
        <v>0</v>
      </c>
      <c r="J53" s="38">
        <f>'Stavební rozpočet'!J1278</f>
        <v>0</v>
      </c>
      <c r="K53" s="38">
        <f t="shared" si="73"/>
        <v>0</v>
      </c>
      <c r="L53" s="71" t="s">
        <v>207</v>
      </c>
      <c r="Z53" s="38">
        <f t="shared" si="74"/>
        <v>0</v>
      </c>
      <c r="AB53" s="38">
        <f t="shared" si="75"/>
        <v>0</v>
      </c>
      <c r="AC53" s="38">
        <f t="shared" si="76"/>
        <v>0</v>
      </c>
      <c r="AD53" s="38">
        <f t="shared" si="77"/>
        <v>0</v>
      </c>
      <c r="AE53" s="38">
        <f t="shared" si="78"/>
        <v>0</v>
      </c>
      <c r="AF53" s="38">
        <f t="shared" si="79"/>
        <v>0</v>
      </c>
      <c r="AG53" s="38">
        <f t="shared" si="80"/>
        <v>0</v>
      </c>
      <c r="AH53" s="38">
        <f t="shared" si="81"/>
        <v>0</v>
      </c>
      <c r="AI53" s="50" t="s">
        <v>89</v>
      </c>
      <c r="AJ53" s="38">
        <f t="shared" si="82"/>
        <v>0</v>
      </c>
      <c r="AK53" s="38">
        <f t="shared" si="83"/>
        <v>0</v>
      </c>
      <c r="AL53" s="38">
        <f t="shared" si="84"/>
        <v>0</v>
      </c>
      <c r="AN53" s="38">
        <v>21</v>
      </c>
      <c r="AO53" s="38">
        <f t="shared" si="85"/>
        <v>0</v>
      </c>
      <c r="AP53" s="38">
        <f t="shared" si="86"/>
        <v>0</v>
      </c>
      <c r="AQ53" s="72" t="s">
        <v>169</v>
      </c>
      <c r="AV53" s="38">
        <f t="shared" si="87"/>
        <v>0</v>
      </c>
      <c r="AW53" s="38">
        <f t="shared" si="88"/>
        <v>0</v>
      </c>
      <c r="AX53" s="38">
        <f t="shared" si="89"/>
        <v>0</v>
      </c>
      <c r="AY53" s="72" t="s">
        <v>1509</v>
      </c>
      <c r="AZ53" s="72" t="s">
        <v>2405</v>
      </c>
      <c r="BA53" s="50" t="s">
        <v>2301</v>
      </c>
      <c r="BC53" s="38">
        <f t="shared" si="90"/>
        <v>0</v>
      </c>
      <c r="BD53" s="38">
        <f t="shared" si="91"/>
        <v>0</v>
      </c>
      <c r="BE53" s="38">
        <v>0</v>
      </c>
      <c r="BF53" s="38">
        <f t="shared" si="92"/>
        <v>0</v>
      </c>
      <c r="BH53" s="38">
        <f t="shared" si="93"/>
        <v>0</v>
      </c>
      <c r="BI53" s="38">
        <f t="shared" si="94"/>
        <v>0</v>
      </c>
      <c r="BJ53" s="38">
        <f t="shared" si="95"/>
        <v>0</v>
      </c>
      <c r="BK53" s="38"/>
      <c r="BL53" s="38">
        <v>783</v>
      </c>
      <c r="BW53" s="38">
        <v>21</v>
      </c>
    </row>
    <row r="54" spans="1:75" ht="13.5" customHeight="1">
      <c r="A54" s="1" t="s">
        <v>346</v>
      </c>
      <c r="B54" s="2" t="s">
        <v>89</v>
      </c>
      <c r="C54" s="2" t="s">
        <v>2250</v>
      </c>
      <c r="D54" s="108" t="s">
        <v>2251</v>
      </c>
      <c r="E54" s="103"/>
      <c r="F54" s="2" t="s">
        <v>214</v>
      </c>
      <c r="G54" s="38">
        <f>'Stavební rozpočet'!G1279</f>
        <v>232</v>
      </c>
      <c r="H54" s="38">
        <f>'Stavební rozpočet'!H1279</f>
        <v>0</v>
      </c>
      <c r="I54" s="38">
        <f t="shared" si="72"/>
        <v>0</v>
      </c>
      <c r="J54" s="38">
        <f>'Stavební rozpočet'!J1279</f>
        <v>0</v>
      </c>
      <c r="K54" s="38">
        <f t="shared" si="73"/>
        <v>0</v>
      </c>
      <c r="L54" s="71" t="s">
        <v>207</v>
      </c>
      <c r="Z54" s="38">
        <f t="shared" si="74"/>
        <v>0</v>
      </c>
      <c r="AB54" s="38">
        <f t="shared" si="75"/>
        <v>0</v>
      </c>
      <c r="AC54" s="38">
        <f t="shared" si="76"/>
        <v>0</v>
      </c>
      <c r="AD54" s="38">
        <f t="shared" si="77"/>
        <v>0</v>
      </c>
      <c r="AE54" s="38">
        <f t="shared" si="78"/>
        <v>0</v>
      </c>
      <c r="AF54" s="38">
        <f t="shared" si="79"/>
        <v>0</v>
      </c>
      <c r="AG54" s="38">
        <f t="shared" si="80"/>
        <v>0</v>
      </c>
      <c r="AH54" s="38">
        <f t="shared" si="81"/>
        <v>0</v>
      </c>
      <c r="AI54" s="50" t="s">
        <v>89</v>
      </c>
      <c r="AJ54" s="38">
        <f t="shared" si="82"/>
        <v>0</v>
      </c>
      <c r="AK54" s="38">
        <f t="shared" si="83"/>
        <v>0</v>
      </c>
      <c r="AL54" s="38">
        <f t="shared" si="84"/>
        <v>0</v>
      </c>
      <c r="AN54" s="38">
        <v>21</v>
      </c>
      <c r="AO54" s="38">
        <f t="shared" si="85"/>
        <v>0</v>
      </c>
      <c r="AP54" s="38">
        <f t="shared" si="86"/>
        <v>0</v>
      </c>
      <c r="AQ54" s="72" t="s">
        <v>169</v>
      </c>
      <c r="AV54" s="38">
        <f t="shared" si="87"/>
        <v>0</v>
      </c>
      <c r="AW54" s="38">
        <f t="shared" si="88"/>
        <v>0</v>
      </c>
      <c r="AX54" s="38">
        <f t="shared" si="89"/>
        <v>0</v>
      </c>
      <c r="AY54" s="72" t="s">
        <v>1509</v>
      </c>
      <c r="AZ54" s="72" t="s">
        <v>2405</v>
      </c>
      <c r="BA54" s="50" t="s">
        <v>2301</v>
      </c>
      <c r="BC54" s="38">
        <f t="shared" si="90"/>
        <v>0</v>
      </c>
      <c r="BD54" s="38">
        <f t="shared" si="91"/>
        <v>0</v>
      </c>
      <c r="BE54" s="38">
        <v>0</v>
      </c>
      <c r="BF54" s="38">
        <f t="shared" si="92"/>
        <v>0</v>
      </c>
      <c r="BH54" s="38">
        <f t="shared" si="93"/>
        <v>0</v>
      </c>
      <c r="BI54" s="38">
        <f t="shared" si="94"/>
        <v>0</v>
      </c>
      <c r="BJ54" s="38">
        <f t="shared" si="95"/>
        <v>0</v>
      </c>
      <c r="BK54" s="38"/>
      <c r="BL54" s="38">
        <v>783</v>
      </c>
      <c r="BW54" s="38">
        <v>21</v>
      </c>
    </row>
    <row r="55" spans="1:75" ht="13.5" customHeight="1">
      <c r="A55" s="1" t="s">
        <v>351</v>
      </c>
      <c r="B55" s="2" t="s">
        <v>89</v>
      </c>
      <c r="C55" s="2" t="s">
        <v>2253</v>
      </c>
      <c r="D55" s="108" t="s">
        <v>2254</v>
      </c>
      <c r="E55" s="103"/>
      <c r="F55" s="2" t="s">
        <v>214</v>
      </c>
      <c r="G55" s="38">
        <f>'Stavební rozpočet'!G1280</f>
        <v>232</v>
      </c>
      <c r="H55" s="38">
        <f>'Stavební rozpočet'!H1280</f>
        <v>0</v>
      </c>
      <c r="I55" s="38">
        <f t="shared" si="72"/>
        <v>0</v>
      </c>
      <c r="J55" s="38">
        <f>'Stavební rozpočet'!J1280</f>
        <v>0</v>
      </c>
      <c r="K55" s="38">
        <f t="shared" si="73"/>
        <v>0</v>
      </c>
      <c r="L55" s="71" t="s">
        <v>207</v>
      </c>
      <c r="Z55" s="38">
        <f t="shared" si="74"/>
        <v>0</v>
      </c>
      <c r="AB55" s="38">
        <f t="shared" si="75"/>
        <v>0</v>
      </c>
      <c r="AC55" s="38">
        <f t="shared" si="76"/>
        <v>0</v>
      </c>
      <c r="AD55" s="38">
        <f t="shared" si="77"/>
        <v>0</v>
      </c>
      <c r="AE55" s="38">
        <f t="shared" si="78"/>
        <v>0</v>
      </c>
      <c r="AF55" s="38">
        <f t="shared" si="79"/>
        <v>0</v>
      </c>
      <c r="AG55" s="38">
        <f t="shared" si="80"/>
        <v>0</v>
      </c>
      <c r="AH55" s="38">
        <f t="shared" si="81"/>
        <v>0</v>
      </c>
      <c r="AI55" s="50" t="s">
        <v>89</v>
      </c>
      <c r="AJ55" s="38">
        <f t="shared" si="82"/>
        <v>0</v>
      </c>
      <c r="AK55" s="38">
        <f t="shared" si="83"/>
        <v>0</v>
      </c>
      <c r="AL55" s="38">
        <f t="shared" si="84"/>
        <v>0</v>
      </c>
      <c r="AN55" s="38">
        <v>21</v>
      </c>
      <c r="AO55" s="38">
        <f t="shared" si="85"/>
        <v>0</v>
      </c>
      <c r="AP55" s="38">
        <f t="shared" si="86"/>
        <v>0</v>
      </c>
      <c r="AQ55" s="72" t="s">
        <v>169</v>
      </c>
      <c r="AV55" s="38">
        <f t="shared" si="87"/>
        <v>0</v>
      </c>
      <c r="AW55" s="38">
        <f t="shared" si="88"/>
        <v>0</v>
      </c>
      <c r="AX55" s="38">
        <f t="shared" si="89"/>
        <v>0</v>
      </c>
      <c r="AY55" s="72" t="s">
        <v>1509</v>
      </c>
      <c r="AZ55" s="72" t="s">
        <v>2405</v>
      </c>
      <c r="BA55" s="50" t="s">
        <v>2301</v>
      </c>
      <c r="BC55" s="38">
        <f t="shared" si="90"/>
        <v>0</v>
      </c>
      <c r="BD55" s="38">
        <f t="shared" si="91"/>
        <v>0</v>
      </c>
      <c r="BE55" s="38">
        <v>0</v>
      </c>
      <c r="BF55" s="38">
        <f t="shared" si="92"/>
        <v>0</v>
      </c>
      <c r="BH55" s="38">
        <f t="shared" si="93"/>
        <v>0</v>
      </c>
      <c r="BI55" s="38">
        <f t="shared" si="94"/>
        <v>0</v>
      </c>
      <c r="BJ55" s="38">
        <f t="shared" si="95"/>
        <v>0</v>
      </c>
      <c r="BK55" s="38"/>
      <c r="BL55" s="38">
        <v>783</v>
      </c>
      <c r="BW55" s="38">
        <v>21</v>
      </c>
    </row>
    <row r="56" spans="1:75" ht="13.5" customHeight="1">
      <c r="A56" s="1" t="s">
        <v>356</v>
      </c>
      <c r="B56" s="2" t="s">
        <v>89</v>
      </c>
      <c r="C56" s="2" t="s">
        <v>2419</v>
      </c>
      <c r="D56" s="108" t="s">
        <v>2420</v>
      </c>
      <c r="E56" s="103"/>
      <c r="F56" s="2" t="s">
        <v>263</v>
      </c>
      <c r="G56" s="38">
        <f>'Stavební rozpočet'!G1281</f>
        <v>3</v>
      </c>
      <c r="H56" s="38">
        <f>'Stavební rozpočet'!H1281</f>
        <v>0</v>
      </c>
      <c r="I56" s="38">
        <f t="shared" si="72"/>
        <v>0</v>
      </c>
      <c r="J56" s="38">
        <f>'Stavební rozpočet'!J1281</f>
        <v>0</v>
      </c>
      <c r="K56" s="38">
        <f t="shared" si="73"/>
        <v>0</v>
      </c>
      <c r="L56" s="71" t="s">
        <v>207</v>
      </c>
      <c r="Z56" s="38">
        <f t="shared" si="74"/>
        <v>0</v>
      </c>
      <c r="AB56" s="38">
        <f t="shared" si="75"/>
        <v>0</v>
      </c>
      <c r="AC56" s="38">
        <f t="shared" si="76"/>
        <v>0</v>
      </c>
      <c r="AD56" s="38">
        <f t="shared" si="77"/>
        <v>0</v>
      </c>
      <c r="AE56" s="38">
        <f t="shared" si="78"/>
        <v>0</v>
      </c>
      <c r="AF56" s="38">
        <f t="shared" si="79"/>
        <v>0</v>
      </c>
      <c r="AG56" s="38">
        <f t="shared" si="80"/>
        <v>0</v>
      </c>
      <c r="AH56" s="38">
        <f t="shared" si="81"/>
        <v>0</v>
      </c>
      <c r="AI56" s="50" t="s">
        <v>89</v>
      </c>
      <c r="AJ56" s="38">
        <f t="shared" si="82"/>
        <v>0</v>
      </c>
      <c r="AK56" s="38">
        <f t="shared" si="83"/>
        <v>0</v>
      </c>
      <c r="AL56" s="38">
        <f t="shared" si="84"/>
        <v>0</v>
      </c>
      <c r="AN56" s="38">
        <v>21</v>
      </c>
      <c r="AO56" s="38">
        <f t="shared" si="85"/>
        <v>0</v>
      </c>
      <c r="AP56" s="38">
        <f t="shared" si="86"/>
        <v>0</v>
      </c>
      <c r="AQ56" s="72" t="s">
        <v>169</v>
      </c>
      <c r="AV56" s="38">
        <f t="shared" si="87"/>
        <v>0</v>
      </c>
      <c r="AW56" s="38">
        <f t="shared" si="88"/>
        <v>0</v>
      </c>
      <c r="AX56" s="38">
        <f t="shared" si="89"/>
        <v>0</v>
      </c>
      <c r="AY56" s="72" t="s">
        <v>1509</v>
      </c>
      <c r="AZ56" s="72" t="s">
        <v>2405</v>
      </c>
      <c r="BA56" s="50" t="s">
        <v>2301</v>
      </c>
      <c r="BC56" s="38">
        <f t="shared" si="90"/>
        <v>0</v>
      </c>
      <c r="BD56" s="38">
        <f t="shared" si="91"/>
        <v>0</v>
      </c>
      <c r="BE56" s="38">
        <v>0</v>
      </c>
      <c r="BF56" s="38">
        <f t="shared" si="92"/>
        <v>0</v>
      </c>
      <c r="BH56" s="38">
        <f t="shared" si="93"/>
        <v>0</v>
      </c>
      <c r="BI56" s="38">
        <f t="shared" si="94"/>
        <v>0</v>
      </c>
      <c r="BJ56" s="38">
        <f t="shared" si="95"/>
        <v>0</v>
      </c>
      <c r="BK56" s="38"/>
      <c r="BL56" s="38">
        <v>783</v>
      </c>
      <c r="BW56" s="38">
        <v>21</v>
      </c>
    </row>
    <row r="57" spans="1:75" ht="13.5" customHeight="1">
      <c r="A57" s="1" t="s">
        <v>362</v>
      </c>
      <c r="B57" s="2" t="s">
        <v>89</v>
      </c>
      <c r="C57" s="2" t="s">
        <v>2256</v>
      </c>
      <c r="D57" s="108" t="s">
        <v>2257</v>
      </c>
      <c r="E57" s="103"/>
      <c r="F57" s="2" t="s">
        <v>214</v>
      </c>
      <c r="G57" s="38">
        <f>'Stavební rozpočet'!G1282</f>
        <v>232</v>
      </c>
      <c r="H57" s="38">
        <f>'Stavební rozpočet'!H1282</f>
        <v>0</v>
      </c>
      <c r="I57" s="38">
        <f t="shared" si="72"/>
        <v>0</v>
      </c>
      <c r="J57" s="38">
        <f>'Stavební rozpočet'!J1282</f>
        <v>0</v>
      </c>
      <c r="K57" s="38">
        <f t="shared" si="73"/>
        <v>0</v>
      </c>
      <c r="L57" s="71" t="s">
        <v>207</v>
      </c>
      <c r="Z57" s="38">
        <f t="shared" si="74"/>
        <v>0</v>
      </c>
      <c r="AB57" s="38">
        <f t="shared" si="75"/>
        <v>0</v>
      </c>
      <c r="AC57" s="38">
        <f t="shared" si="76"/>
        <v>0</v>
      </c>
      <c r="AD57" s="38">
        <f t="shared" si="77"/>
        <v>0</v>
      </c>
      <c r="AE57" s="38">
        <f t="shared" si="78"/>
        <v>0</v>
      </c>
      <c r="AF57" s="38">
        <f t="shared" si="79"/>
        <v>0</v>
      </c>
      <c r="AG57" s="38">
        <f t="shared" si="80"/>
        <v>0</v>
      </c>
      <c r="AH57" s="38">
        <f t="shared" si="81"/>
        <v>0</v>
      </c>
      <c r="AI57" s="50" t="s">
        <v>89</v>
      </c>
      <c r="AJ57" s="38">
        <f t="shared" si="82"/>
        <v>0</v>
      </c>
      <c r="AK57" s="38">
        <f t="shared" si="83"/>
        <v>0</v>
      </c>
      <c r="AL57" s="38">
        <f t="shared" si="84"/>
        <v>0</v>
      </c>
      <c r="AN57" s="38">
        <v>21</v>
      </c>
      <c r="AO57" s="38">
        <f t="shared" si="85"/>
        <v>0</v>
      </c>
      <c r="AP57" s="38">
        <f t="shared" si="86"/>
        <v>0</v>
      </c>
      <c r="AQ57" s="72" t="s">
        <v>169</v>
      </c>
      <c r="AV57" s="38">
        <f t="shared" si="87"/>
        <v>0</v>
      </c>
      <c r="AW57" s="38">
        <f t="shared" si="88"/>
        <v>0</v>
      </c>
      <c r="AX57" s="38">
        <f t="shared" si="89"/>
        <v>0</v>
      </c>
      <c r="AY57" s="72" t="s">
        <v>1509</v>
      </c>
      <c r="AZ57" s="72" t="s">
        <v>2405</v>
      </c>
      <c r="BA57" s="50" t="s">
        <v>2301</v>
      </c>
      <c r="BC57" s="38">
        <f t="shared" si="90"/>
        <v>0</v>
      </c>
      <c r="BD57" s="38">
        <f t="shared" si="91"/>
        <v>0</v>
      </c>
      <c r="BE57" s="38">
        <v>0</v>
      </c>
      <c r="BF57" s="38">
        <f t="shared" si="92"/>
        <v>0</v>
      </c>
      <c r="BH57" s="38">
        <f t="shared" si="93"/>
        <v>0</v>
      </c>
      <c r="BI57" s="38">
        <f t="shared" si="94"/>
        <v>0</v>
      </c>
      <c r="BJ57" s="38">
        <f t="shared" si="95"/>
        <v>0</v>
      </c>
      <c r="BK57" s="38"/>
      <c r="BL57" s="38">
        <v>783</v>
      </c>
      <c r="BW57" s="38">
        <v>21</v>
      </c>
    </row>
    <row r="58" spans="1:75" ht="13.5" customHeight="1">
      <c r="A58" s="1" t="s">
        <v>360</v>
      </c>
      <c r="B58" s="2" t="s">
        <v>89</v>
      </c>
      <c r="C58" s="2" t="s">
        <v>2423</v>
      </c>
      <c r="D58" s="108" t="s">
        <v>2424</v>
      </c>
      <c r="E58" s="103"/>
      <c r="F58" s="2" t="s">
        <v>263</v>
      </c>
      <c r="G58" s="38">
        <f>'Stavební rozpočet'!G1283</f>
        <v>30</v>
      </c>
      <c r="H58" s="38">
        <f>'Stavební rozpočet'!H1283</f>
        <v>0</v>
      </c>
      <c r="I58" s="38">
        <f t="shared" si="72"/>
        <v>0</v>
      </c>
      <c r="J58" s="38">
        <f>'Stavební rozpočet'!J1283</f>
        <v>0</v>
      </c>
      <c r="K58" s="38">
        <f t="shared" si="73"/>
        <v>0</v>
      </c>
      <c r="L58" s="71" t="s">
        <v>207</v>
      </c>
      <c r="Z58" s="38">
        <f t="shared" si="74"/>
        <v>0</v>
      </c>
      <c r="AB58" s="38">
        <f t="shared" si="75"/>
        <v>0</v>
      </c>
      <c r="AC58" s="38">
        <f t="shared" si="76"/>
        <v>0</v>
      </c>
      <c r="AD58" s="38">
        <f t="shared" si="77"/>
        <v>0</v>
      </c>
      <c r="AE58" s="38">
        <f t="shared" si="78"/>
        <v>0</v>
      </c>
      <c r="AF58" s="38">
        <f t="shared" si="79"/>
        <v>0</v>
      </c>
      <c r="AG58" s="38">
        <f t="shared" si="80"/>
        <v>0</v>
      </c>
      <c r="AH58" s="38">
        <f t="shared" si="81"/>
        <v>0</v>
      </c>
      <c r="AI58" s="50" t="s">
        <v>89</v>
      </c>
      <c r="AJ58" s="38">
        <f t="shared" si="82"/>
        <v>0</v>
      </c>
      <c r="AK58" s="38">
        <f t="shared" si="83"/>
        <v>0</v>
      </c>
      <c r="AL58" s="38">
        <f t="shared" si="84"/>
        <v>0</v>
      </c>
      <c r="AN58" s="38">
        <v>21</v>
      </c>
      <c r="AO58" s="38">
        <f t="shared" si="85"/>
        <v>0</v>
      </c>
      <c r="AP58" s="38">
        <f t="shared" si="86"/>
        <v>0</v>
      </c>
      <c r="AQ58" s="72" t="s">
        <v>169</v>
      </c>
      <c r="AV58" s="38">
        <f t="shared" si="87"/>
        <v>0</v>
      </c>
      <c r="AW58" s="38">
        <f t="shared" si="88"/>
        <v>0</v>
      </c>
      <c r="AX58" s="38">
        <f t="shared" si="89"/>
        <v>0</v>
      </c>
      <c r="AY58" s="72" t="s">
        <v>1509</v>
      </c>
      <c r="AZ58" s="72" t="s">
        <v>2405</v>
      </c>
      <c r="BA58" s="50" t="s">
        <v>2301</v>
      </c>
      <c r="BC58" s="38">
        <f t="shared" si="90"/>
        <v>0</v>
      </c>
      <c r="BD58" s="38">
        <f t="shared" si="91"/>
        <v>0</v>
      </c>
      <c r="BE58" s="38">
        <v>0</v>
      </c>
      <c r="BF58" s="38">
        <f t="shared" si="92"/>
        <v>0</v>
      </c>
      <c r="BH58" s="38">
        <f t="shared" si="93"/>
        <v>0</v>
      </c>
      <c r="BI58" s="38">
        <f t="shared" si="94"/>
        <v>0</v>
      </c>
      <c r="BJ58" s="38">
        <f t="shared" si="95"/>
        <v>0</v>
      </c>
      <c r="BK58" s="38"/>
      <c r="BL58" s="38">
        <v>783</v>
      </c>
      <c r="BW58" s="38">
        <v>21</v>
      </c>
    </row>
    <row r="59" spans="1:75" ht="13.5" customHeight="1">
      <c r="A59" s="1" t="s">
        <v>372</v>
      </c>
      <c r="B59" s="2" t="s">
        <v>89</v>
      </c>
      <c r="C59" s="2" t="s">
        <v>2426</v>
      </c>
      <c r="D59" s="108" t="s">
        <v>2427</v>
      </c>
      <c r="E59" s="103"/>
      <c r="F59" s="2" t="s">
        <v>263</v>
      </c>
      <c r="G59" s="38">
        <f>'Stavební rozpočet'!G1284</f>
        <v>30</v>
      </c>
      <c r="H59" s="38">
        <f>'Stavební rozpočet'!H1284</f>
        <v>0</v>
      </c>
      <c r="I59" s="38">
        <f t="shared" si="72"/>
        <v>0</v>
      </c>
      <c r="J59" s="38">
        <f>'Stavební rozpočet'!J1284</f>
        <v>0</v>
      </c>
      <c r="K59" s="38">
        <f t="shared" si="73"/>
        <v>0</v>
      </c>
      <c r="L59" s="71" t="s">
        <v>207</v>
      </c>
      <c r="Z59" s="38">
        <f t="shared" si="74"/>
        <v>0</v>
      </c>
      <c r="AB59" s="38">
        <f t="shared" si="75"/>
        <v>0</v>
      </c>
      <c r="AC59" s="38">
        <f t="shared" si="76"/>
        <v>0</v>
      </c>
      <c r="AD59" s="38">
        <f t="shared" si="77"/>
        <v>0</v>
      </c>
      <c r="AE59" s="38">
        <f t="shared" si="78"/>
        <v>0</v>
      </c>
      <c r="AF59" s="38">
        <f t="shared" si="79"/>
        <v>0</v>
      </c>
      <c r="AG59" s="38">
        <f t="shared" si="80"/>
        <v>0</v>
      </c>
      <c r="AH59" s="38">
        <f t="shared" si="81"/>
        <v>0</v>
      </c>
      <c r="AI59" s="50" t="s">
        <v>89</v>
      </c>
      <c r="AJ59" s="38">
        <f t="shared" si="82"/>
        <v>0</v>
      </c>
      <c r="AK59" s="38">
        <f t="shared" si="83"/>
        <v>0</v>
      </c>
      <c r="AL59" s="38">
        <f t="shared" si="84"/>
        <v>0</v>
      </c>
      <c r="AN59" s="38">
        <v>21</v>
      </c>
      <c r="AO59" s="38">
        <f t="shared" si="85"/>
        <v>0</v>
      </c>
      <c r="AP59" s="38">
        <f t="shared" si="86"/>
        <v>0</v>
      </c>
      <c r="AQ59" s="72" t="s">
        <v>169</v>
      </c>
      <c r="AV59" s="38">
        <f t="shared" si="87"/>
        <v>0</v>
      </c>
      <c r="AW59" s="38">
        <f t="shared" si="88"/>
        <v>0</v>
      </c>
      <c r="AX59" s="38">
        <f t="shared" si="89"/>
        <v>0</v>
      </c>
      <c r="AY59" s="72" t="s">
        <v>1509</v>
      </c>
      <c r="AZ59" s="72" t="s">
        <v>2405</v>
      </c>
      <c r="BA59" s="50" t="s">
        <v>2301</v>
      </c>
      <c r="BC59" s="38">
        <f t="shared" si="90"/>
        <v>0</v>
      </c>
      <c r="BD59" s="38">
        <f t="shared" si="91"/>
        <v>0</v>
      </c>
      <c r="BE59" s="38">
        <v>0</v>
      </c>
      <c r="BF59" s="38">
        <f t="shared" si="92"/>
        <v>0</v>
      </c>
      <c r="BH59" s="38">
        <f t="shared" si="93"/>
        <v>0</v>
      </c>
      <c r="BI59" s="38">
        <f t="shared" si="94"/>
        <v>0</v>
      </c>
      <c r="BJ59" s="38">
        <f t="shared" si="95"/>
        <v>0</v>
      </c>
      <c r="BK59" s="38"/>
      <c r="BL59" s="38">
        <v>783</v>
      </c>
      <c r="BW59" s="38">
        <v>21</v>
      </c>
    </row>
    <row r="60" spans="1:75" ht="13.5" customHeight="1">
      <c r="A60" s="1" t="s">
        <v>375</v>
      </c>
      <c r="B60" s="2" t="s">
        <v>89</v>
      </c>
      <c r="C60" s="2" t="s">
        <v>2429</v>
      </c>
      <c r="D60" s="108" t="s">
        <v>2430</v>
      </c>
      <c r="E60" s="103"/>
      <c r="F60" s="2" t="s">
        <v>263</v>
      </c>
      <c r="G60" s="38">
        <f>'Stavební rozpočet'!G1285</f>
        <v>30</v>
      </c>
      <c r="H60" s="38">
        <f>'Stavební rozpočet'!H1285</f>
        <v>0</v>
      </c>
      <c r="I60" s="38">
        <f t="shared" si="72"/>
        <v>0</v>
      </c>
      <c r="J60" s="38">
        <f>'Stavební rozpočet'!J1285</f>
        <v>0</v>
      </c>
      <c r="K60" s="38">
        <f t="shared" si="73"/>
        <v>0</v>
      </c>
      <c r="L60" s="71" t="s">
        <v>207</v>
      </c>
      <c r="Z60" s="38">
        <f t="shared" si="74"/>
        <v>0</v>
      </c>
      <c r="AB60" s="38">
        <f t="shared" si="75"/>
        <v>0</v>
      </c>
      <c r="AC60" s="38">
        <f t="shared" si="76"/>
        <v>0</v>
      </c>
      <c r="AD60" s="38">
        <f t="shared" si="77"/>
        <v>0</v>
      </c>
      <c r="AE60" s="38">
        <f t="shared" si="78"/>
        <v>0</v>
      </c>
      <c r="AF60" s="38">
        <f t="shared" si="79"/>
        <v>0</v>
      </c>
      <c r="AG60" s="38">
        <f t="shared" si="80"/>
        <v>0</v>
      </c>
      <c r="AH60" s="38">
        <f t="shared" si="81"/>
        <v>0</v>
      </c>
      <c r="AI60" s="50" t="s">
        <v>89</v>
      </c>
      <c r="AJ60" s="38">
        <f t="shared" si="82"/>
        <v>0</v>
      </c>
      <c r="AK60" s="38">
        <f t="shared" si="83"/>
        <v>0</v>
      </c>
      <c r="AL60" s="38">
        <f t="shared" si="84"/>
        <v>0</v>
      </c>
      <c r="AN60" s="38">
        <v>21</v>
      </c>
      <c r="AO60" s="38">
        <f t="shared" si="85"/>
        <v>0</v>
      </c>
      <c r="AP60" s="38">
        <f t="shared" si="86"/>
        <v>0</v>
      </c>
      <c r="AQ60" s="72" t="s">
        <v>169</v>
      </c>
      <c r="AV60" s="38">
        <f t="shared" si="87"/>
        <v>0</v>
      </c>
      <c r="AW60" s="38">
        <f t="shared" si="88"/>
        <v>0</v>
      </c>
      <c r="AX60" s="38">
        <f t="shared" si="89"/>
        <v>0</v>
      </c>
      <c r="AY60" s="72" t="s">
        <v>1509</v>
      </c>
      <c r="AZ60" s="72" t="s">
        <v>2405</v>
      </c>
      <c r="BA60" s="50" t="s">
        <v>2301</v>
      </c>
      <c r="BC60" s="38">
        <f t="shared" si="90"/>
        <v>0</v>
      </c>
      <c r="BD60" s="38">
        <f t="shared" si="91"/>
        <v>0</v>
      </c>
      <c r="BE60" s="38">
        <v>0</v>
      </c>
      <c r="BF60" s="38">
        <f t="shared" si="92"/>
        <v>0</v>
      </c>
      <c r="BH60" s="38">
        <f t="shared" si="93"/>
        <v>0</v>
      </c>
      <c r="BI60" s="38">
        <f t="shared" si="94"/>
        <v>0</v>
      </c>
      <c r="BJ60" s="38">
        <f t="shared" si="95"/>
        <v>0</v>
      </c>
      <c r="BK60" s="38"/>
      <c r="BL60" s="38">
        <v>783</v>
      </c>
      <c r="BW60" s="38">
        <v>21</v>
      </c>
    </row>
    <row r="61" spans="1:47" ht="15">
      <c r="A61" s="65" t="s">
        <v>4</v>
      </c>
      <c r="B61" s="66" t="s">
        <v>89</v>
      </c>
      <c r="C61" s="66" t="s">
        <v>2271</v>
      </c>
      <c r="D61" s="192" t="s">
        <v>2272</v>
      </c>
      <c r="E61" s="193"/>
      <c r="F61" s="67" t="s">
        <v>78</v>
      </c>
      <c r="G61" s="67" t="s">
        <v>78</v>
      </c>
      <c r="H61" s="67" t="s">
        <v>78</v>
      </c>
      <c r="I61" s="44">
        <f>SUM(I62:I63)</f>
        <v>0</v>
      </c>
      <c r="J61" s="50" t="s">
        <v>4</v>
      </c>
      <c r="K61" s="44">
        <f>SUM(K62:K63)</f>
        <v>0</v>
      </c>
      <c r="L61" s="69" t="s">
        <v>4</v>
      </c>
      <c r="AI61" s="50" t="s">
        <v>89</v>
      </c>
      <c r="AS61" s="44">
        <f>SUM(AJ62:AJ63)</f>
        <v>0</v>
      </c>
      <c r="AT61" s="44">
        <f>SUM(AK62:AK63)</f>
        <v>0</v>
      </c>
      <c r="AU61" s="44">
        <f>SUM(AL62:AL63)</f>
        <v>0</v>
      </c>
    </row>
    <row r="62" spans="1:75" ht="13.5" customHeight="1">
      <c r="A62" s="1" t="s">
        <v>379</v>
      </c>
      <c r="B62" s="2" t="s">
        <v>89</v>
      </c>
      <c r="C62" s="2" t="s">
        <v>2274</v>
      </c>
      <c r="D62" s="108" t="s">
        <v>2275</v>
      </c>
      <c r="E62" s="103"/>
      <c r="F62" s="2" t="s">
        <v>1199</v>
      </c>
      <c r="G62" s="38">
        <f>'Stavební rozpočet'!G1287</f>
        <v>53.85</v>
      </c>
      <c r="H62" s="38">
        <f>'Stavební rozpočet'!H1287</f>
        <v>0</v>
      </c>
      <c r="I62" s="38">
        <f>G62*H62</f>
        <v>0</v>
      </c>
      <c r="J62" s="38">
        <f>'Stavební rozpočet'!J1287</f>
        <v>0</v>
      </c>
      <c r="K62" s="38">
        <f>G62*J62</f>
        <v>0</v>
      </c>
      <c r="L62" s="71" t="s">
        <v>207</v>
      </c>
      <c r="Z62" s="38">
        <f>IF(AQ62="5",BJ62,0)</f>
        <v>0</v>
      </c>
      <c r="AB62" s="38">
        <f>IF(AQ62="1",BH62,0)</f>
        <v>0</v>
      </c>
      <c r="AC62" s="38">
        <f>IF(AQ62="1",BI62,0)</f>
        <v>0</v>
      </c>
      <c r="AD62" s="38">
        <f>IF(AQ62="7",BH62,0)</f>
        <v>0</v>
      </c>
      <c r="AE62" s="38">
        <f>IF(AQ62="7",BI62,0)</f>
        <v>0</v>
      </c>
      <c r="AF62" s="38">
        <f>IF(AQ62="2",BH62,0)</f>
        <v>0</v>
      </c>
      <c r="AG62" s="38">
        <f>IF(AQ62="2",BI62,0)</f>
        <v>0</v>
      </c>
      <c r="AH62" s="38">
        <f>IF(AQ62="0",BJ62,0)</f>
        <v>0</v>
      </c>
      <c r="AI62" s="50" t="s">
        <v>89</v>
      </c>
      <c r="AJ62" s="38">
        <f>IF(AN62=0,I62,0)</f>
        <v>0</v>
      </c>
      <c r="AK62" s="38">
        <f>IF(AN62=12,I62,0)</f>
        <v>0</v>
      </c>
      <c r="AL62" s="38">
        <f>IF(AN62=21,I62,0)</f>
        <v>0</v>
      </c>
      <c r="AN62" s="38">
        <v>21</v>
      </c>
      <c r="AO62" s="38">
        <f>H62*0</f>
        <v>0</v>
      </c>
      <c r="AP62" s="38">
        <f>H62*(1-0)</f>
        <v>0</v>
      </c>
      <c r="AQ62" s="72" t="s">
        <v>143</v>
      </c>
      <c r="AV62" s="38">
        <f>AW62+AX62</f>
        <v>0</v>
      </c>
      <c r="AW62" s="38">
        <f>G62*AO62</f>
        <v>0</v>
      </c>
      <c r="AX62" s="38">
        <f>G62*AP62</f>
        <v>0</v>
      </c>
      <c r="AY62" s="72" t="s">
        <v>2276</v>
      </c>
      <c r="AZ62" s="72" t="s">
        <v>2432</v>
      </c>
      <c r="BA62" s="50" t="s">
        <v>2301</v>
      </c>
      <c r="BC62" s="38">
        <f>AW62+AX62</f>
        <v>0</v>
      </c>
      <c r="BD62" s="38">
        <f>H62/(100-BE62)*100</f>
        <v>0</v>
      </c>
      <c r="BE62" s="38">
        <v>0</v>
      </c>
      <c r="BF62" s="38">
        <f>K62</f>
        <v>0</v>
      </c>
      <c r="BH62" s="38">
        <f>G62*AO62</f>
        <v>0</v>
      </c>
      <c r="BI62" s="38">
        <f>G62*AP62</f>
        <v>0</v>
      </c>
      <c r="BJ62" s="38">
        <f>G62*H62</f>
        <v>0</v>
      </c>
      <c r="BK62" s="38"/>
      <c r="BL62" s="38"/>
      <c r="BW62" s="38">
        <v>21</v>
      </c>
    </row>
    <row r="63" spans="1:75" ht="13.5" customHeight="1">
      <c r="A63" s="78" t="s">
        <v>382</v>
      </c>
      <c r="B63" s="79" t="s">
        <v>89</v>
      </c>
      <c r="C63" s="79" t="s">
        <v>2279</v>
      </c>
      <c r="D63" s="198" t="s">
        <v>2280</v>
      </c>
      <c r="E63" s="199"/>
      <c r="F63" s="79" t="s">
        <v>199</v>
      </c>
      <c r="G63" s="80">
        <f>'Stavební rozpočet'!G1288</f>
        <v>20</v>
      </c>
      <c r="H63" s="80">
        <f>'Stavební rozpočet'!H1288</f>
        <v>0</v>
      </c>
      <c r="I63" s="80">
        <f>G63*H63</f>
        <v>0</v>
      </c>
      <c r="J63" s="80">
        <f>'Stavební rozpočet'!J1288</f>
        <v>0</v>
      </c>
      <c r="K63" s="80">
        <f>G63*J63</f>
        <v>0</v>
      </c>
      <c r="L63" s="82" t="s">
        <v>207</v>
      </c>
      <c r="Z63" s="38">
        <f>IF(AQ63="5",BJ63,0)</f>
        <v>0</v>
      </c>
      <c r="AB63" s="38">
        <f>IF(AQ63="1",BH63,0)</f>
        <v>0</v>
      </c>
      <c r="AC63" s="38">
        <f>IF(AQ63="1",BI63,0)</f>
        <v>0</v>
      </c>
      <c r="AD63" s="38">
        <f>IF(AQ63="7",BH63,0)</f>
        <v>0</v>
      </c>
      <c r="AE63" s="38">
        <f>IF(AQ63="7",BI63,0)</f>
        <v>0</v>
      </c>
      <c r="AF63" s="38">
        <f>IF(AQ63="2",BH63,0)</f>
        <v>0</v>
      </c>
      <c r="AG63" s="38">
        <f>IF(AQ63="2",BI63,0)</f>
        <v>0</v>
      </c>
      <c r="AH63" s="38">
        <f>IF(AQ63="0",BJ63,0)</f>
        <v>0</v>
      </c>
      <c r="AI63" s="50" t="s">
        <v>89</v>
      </c>
      <c r="AJ63" s="80">
        <f>IF(AN63=0,I63,0)</f>
        <v>0</v>
      </c>
      <c r="AK63" s="80">
        <f>IF(AN63=12,I63,0)</f>
        <v>0</v>
      </c>
      <c r="AL63" s="80">
        <f>IF(AN63=21,I63,0)</f>
        <v>0</v>
      </c>
      <c r="AN63" s="38">
        <v>21</v>
      </c>
      <c r="AO63" s="38">
        <f>H63*1</f>
        <v>0</v>
      </c>
      <c r="AP63" s="38">
        <f>H63*(1-1)</f>
        <v>0</v>
      </c>
      <c r="AQ63" s="83" t="s">
        <v>132</v>
      </c>
      <c r="AV63" s="38">
        <f>AW63+AX63</f>
        <v>0</v>
      </c>
      <c r="AW63" s="38">
        <f>G63*AO63</f>
        <v>0</v>
      </c>
      <c r="AX63" s="38">
        <f>G63*AP63</f>
        <v>0</v>
      </c>
      <c r="AY63" s="72" t="s">
        <v>2276</v>
      </c>
      <c r="AZ63" s="72" t="s">
        <v>2432</v>
      </c>
      <c r="BA63" s="50" t="s">
        <v>2301</v>
      </c>
      <c r="BC63" s="38">
        <f>AW63+AX63</f>
        <v>0</v>
      </c>
      <c r="BD63" s="38">
        <f>H63/(100-BE63)*100</f>
        <v>0</v>
      </c>
      <c r="BE63" s="38">
        <v>0</v>
      </c>
      <c r="BF63" s="38">
        <f>K63</f>
        <v>0</v>
      </c>
      <c r="BH63" s="80">
        <f>G63*AO63</f>
        <v>0</v>
      </c>
      <c r="BI63" s="80">
        <f>G63*AP63</f>
        <v>0</v>
      </c>
      <c r="BJ63" s="80">
        <f>G63*H63</f>
        <v>0</v>
      </c>
      <c r="BK63" s="80"/>
      <c r="BL63" s="38"/>
      <c r="BW63" s="38">
        <v>21</v>
      </c>
    </row>
    <row r="64" spans="1:47" ht="15">
      <c r="A64" s="65" t="s">
        <v>4</v>
      </c>
      <c r="B64" s="66" t="s">
        <v>89</v>
      </c>
      <c r="C64" s="66" t="s">
        <v>2281</v>
      </c>
      <c r="D64" s="192" t="s">
        <v>2434</v>
      </c>
      <c r="E64" s="193"/>
      <c r="F64" s="67" t="s">
        <v>78</v>
      </c>
      <c r="G64" s="67" t="s">
        <v>78</v>
      </c>
      <c r="H64" s="67" t="s">
        <v>78</v>
      </c>
      <c r="I64" s="44">
        <f>SUM(I65:I68)</f>
        <v>0</v>
      </c>
      <c r="J64" s="50" t="s">
        <v>4</v>
      </c>
      <c r="K64" s="44">
        <f>SUM(K65:K68)</f>
        <v>0</v>
      </c>
      <c r="L64" s="69" t="s">
        <v>4</v>
      </c>
      <c r="AI64" s="50" t="s">
        <v>89</v>
      </c>
      <c r="AS64" s="44">
        <f>SUM(AJ65:AJ68)</f>
        <v>0</v>
      </c>
      <c r="AT64" s="44">
        <f>SUM(AK65:AK68)</f>
        <v>0</v>
      </c>
      <c r="AU64" s="44">
        <f>SUM(AL65:AL68)</f>
        <v>0</v>
      </c>
    </row>
    <row r="65" spans="1:75" ht="27" customHeight="1">
      <c r="A65" s="1" t="s">
        <v>387</v>
      </c>
      <c r="B65" s="2" t="s">
        <v>89</v>
      </c>
      <c r="C65" s="2" t="s">
        <v>2436</v>
      </c>
      <c r="D65" s="108" t="s">
        <v>2437</v>
      </c>
      <c r="E65" s="103"/>
      <c r="F65" s="2" t="s">
        <v>2286</v>
      </c>
      <c r="G65" s="38">
        <f>'Stavební rozpočet'!G1290</f>
        <v>32</v>
      </c>
      <c r="H65" s="38">
        <f>'Stavební rozpočet'!H1290</f>
        <v>0</v>
      </c>
      <c r="I65" s="38">
        <f>G65*H65</f>
        <v>0</v>
      </c>
      <c r="J65" s="38">
        <f>'Stavební rozpočet'!J1290</f>
        <v>0</v>
      </c>
      <c r="K65" s="38">
        <f>G65*J65</f>
        <v>0</v>
      </c>
      <c r="L65" s="71" t="s">
        <v>207</v>
      </c>
      <c r="Z65" s="38">
        <f>IF(AQ65="5",BJ65,0)</f>
        <v>0</v>
      </c>
      <c r="AB65" s="38">
        <f>IF(AQ65="1",BH65,0)</f>
        <v>0</v>
      </c>
      <c r="AC65" s="38">
        <f>IF(AQ65="1",BI65,0)</f>
        <v>0</v>
      </c>
      <c r="AD65" s="38">
        <f>IF(AQ65="7",BH65,0)</f>
        <v>0</v>
      </c>
      <c r="AE65" s="38">
        <f>IF(AQ65="7",BI65,0)</f>
        <v>0</v>
      </c>
      <c r="AF65" s="38">
        <f>IF(AQ65="2",BH65,0)</f>
        <v>0</v>
      </c>
      <c r="AG65" s="38">
        <f>IF(AQ65="2",BI65,0)</f>
        <v>0</v>
      </c>
      <c r="AH65" s="38">
        <f>IF(AQ65="0",BJ65,0)</f>
        <v>0</v>
      </c>
      <c r="AI65" s="50" t="s">
        <v>89</v>
      </c>
      <c r="AJ65" s="38">
        <f>IF(AN65=0,I65,0)</f>
        <v>0</v>
      </c>
      <c r="AK65" s="38">
        <f>IF(AN65=12,I65,0)</f>
        <v>0</v>
      </c>
      <c r="AL65" s="38">
        <f>IF(AN65=21,I65,0)</f>
        <v>0</v>
      </c>
      <c r="AN65" s="38">
        <v>21</v>
      </c>
      <c r="AO65" s="38">
        <f>H65*0</f>
        <v>0</v>
      </c>
      <c r="AP65" s="38">
        <f>H65*(1-0)</f>
        <v>0</v>
      </c>
      <c r="AQ65" s="72" t="s">
        <v>132</v>
      </c>
      <c r="AV65" s="38">
        <f>AW65+AX65</f>
        <v>0</v>
      </c>
      <c r="AW65" s="38">
        <f>G65*AO65</f>
        <v>0</v>
      </c>
      <c r="AX65" s="38">
        <f>G65*AP65</f>
        <v>0</v>
      </c>
      <c r="AY65" s="72" t="s">
        <v>2287</v>
      </c>
      <c r="AZ65" s="72" t="s">
        <v>2432</v>
      </c>
      <c r="BA65" s="50" t="s">
        <v>2301</v>
      </c>
      <c r="BC65" s="38">
        <f>AW65+AX65</f>
        <v>0</v>
      </c>
      <c r="BD65" s="38">
        <f>H65/(100-BE65)*100</f>
        <v>0</v>
      </c>
      <c r="BE65" s="38">
        <v>0</v>
      </c>
      <c r="BF65" s="38">
        <f>K65</f>
        <v>0</v>
      </c>
      <c r="BH65" s="38">
        <f>G65*AO65</f>
        <v>0</v>
      </c>
      <c r="BI65" s="38">
        <f>G65*AP65</f>
        <v>0</v>
      </c>
      <c r="BJ65" s="38">
        <f>G65*H65</f>
        <v>0</v>
      </c>
      <c r="BK65" s="38"/>
      <c r="BL65" s="38"/>
      <c r="BW65" s="38">
        <v>21</v>
      </c>
    </row>
    <row r="66" spans="1:75" ht="13.5" customHeight="1">
      <c r="A66" s="1" t="s">
        <v>392</v>
      </c>
      <c r="B66" s="2" t="s">
        <v>89</v>
      </c>
      <c r="C66" s="2" t="s">
        <v>2439</v>
      </c>
      <c r="D66" s="108" t="s">
        <v>2440</v>
      </c>
      <c r="E66" s="103"/>
      <c r="F66" s="2" t="s">
        <v>2286</v>
      </c>
      <c r="G66" s="38">
        <f>'Stavební rozpočet'!G1291</f>
        <v>64</v>
      </c>
      <c r="H66" s="38">
        <f>'Stavební rozpočet'!H1291</f>
        <v>0</v>
      </c>
      <c r="I66" s="38">
        <f>G66*H66</f>
        <v>0</v>
      </c>
      <c r="J66" s="38">
        <f>'Stavební rozpočet'!J1291</f>
        <v>0</v>
      </c>
      <c r="K66" s="38">
        <f>G66*J66</f>
        <v>0</v>
      </c>
      <c r="L66" s="71" t="s">
        <v>207</v>
      </c>
      <c r="Z66" s="38">
        <f>IF(AQ66="5",BJ66,0)</f>
        <v>0</v>
      </c>
      <c r="AB66" s="38">
        <f>IF(AQ66="1",BH66,0)</f>
        <v>0</v>
      </c>
      <c r="AC66" s="38">
        <f>IF(AQ66="1",BI66,0)</f>
        <v>0</v>
      </c>
      <c r="AD66" s="38">
        <f>IF(AQ66="7",BH66,0)</f>
        <v>0</v>
      </c>
      <c r="AE66" s="38">
        <f>IF(AQ66="7",BI66,0)</f>
        <v>0</v>
      </c>
      <c r="AF66" s="38">
        <f>IF(AQ66="2",BH66,0)</f>
        <v>0</v>
      </c>
      <c r="AG66" s="38">
        <f>IF(AQ66="2",BI66,0)</f>
        <v>0</v>
      </c>
      <c r="AH66" s="38">
        <f>IF(AQ66="0",BJ66,0)</f>
        <v>0</v>
      </c>
      <c r="AI66" s="50" t="s">
        <v>89</v>
      </c>
      <c r="AJ66" s="38">
        <f>IF(AN66=0,I66,0)</f>
        <v>0</v>
      </c>
      <c r="AK66" s="38">
        <f>IF(AN66=12,I66,0)</f>
        <v>0</v>
      </c>
      <c r="AL66" s="38">
        <f>IF(AN66=21,I66,0)</f>
        <v>0</v>
      </c>
      <c r="AN66" s="38">
        <v>21</v>
      </c>
      <c r="AO66" s="38">
        <f>H66*0</f>
        <v>0</v>
      </c>
      <c r="AP66" s="38">
        <f>H66*(1-0)</f>
        <v>0</v>
      </c>
      <c r="AQ66" s="72" t="s">
        <v>132</v>
      </c>
      <c r="AV66" s="38">
        <f>AW66+AX66</f>
        <v>0</v>
      </c>
      <c r="AW66" s="38">
        <f>G66*AO66</f>
        <v>0</v>
      </c>
      <c r="AX66" s="38">
        <f>G66*AP66</f>
        <v>0</v>
      </c>
      <c r="AY66" s="72" t="s">
        <v>2287</v>
      </c>
      <c r="AZ66" s="72" t="s">
        <v>2432</v>
      </c>
      <c r="BA66" s="50" t="s">
        <v>2301</v>
      </c>
      <c r="BC66" s="38">
        <f>AW66+AX66</f>
        <v>0</v>
      </c>
      <c r="BD66" s="38">
        <f>H66/(100-BE66)*100</f>
        <v>0</v>
      </c>
      <c r="BE66" s="38">
        <v>0</v>
      </c>
      <c r="BF66" s="38">
        <f>K66</f>
        <v>0</v>
      </c>
      <c r="BH66" s="38">
        <f>G66*AO66</f>
        <v>0</v>
      </c>
      <c r="BI66" s="38">
        <f>G66*AP66</f>
        <v>0</v>
      </c>
      <c r="BJ66" s="38">
        <f>G66*H66</f>
        <v>0</v>
      </c>
      <c r="BK66" s="38"/>
      <c r="BL66" s="38"/>
      <c r="BW66" s="38">
        <v>21</v>
      </c>
    </row>
    <row r="67" spans="1:75" ht="27" customHeight="1">
      <c r="A67" s="1" t="s">
        <v>401</v>
      </c>
      <c r="B67" s="2" t="s">
        <v>89</v>
      </c>
      <c r="C67" s="2" t="s">
        <v>2442</v>
      </c>
      <c r="D67" s="108" t="s">
        <v>2443</v>
      </c>
      <c r="E67" s="103"/>
      <c r="F67" s="2" t="s">
        <v>2286</v>
      </c>
      <c r="G67" s="38">
        <f>'Stavební rozpočet'!G1292</f>
        <v>108</v>
      </c>
      <c r="H67" s="38">
        <f>'Stavební rozpočet'!H1292</f>
        <v>0</v>
      </c>
      <c r="I67" s="38">
        <f>G67*H67</f>
        <v>0</v>
      </c>
      <c r="J67" s="38">
        <f>'Stavební rozpočet'!J1292</f>
        <v>0</v>
      </c>
      <c r="K67" s="38">
        <f>G67*J67</f>
        <v>0</v>
      </c>
      <c r="L67" s="71" t="s">
        <v>207</v>
      </c>
      <c r="Z67" s="38">
        <f>IF(AQ67="5",BJ67,0)</f>
        <v>0</v>
      </c>
      <c r="AB67" s="38">
        <f>IF(AQ67="1",BH67,0)</f>
        <v>0</v>
      </c>
      <c r="AC67" s="38">
        <f>IF(AQ67="1",BI67,0)</f>
        <v>0</v>
      </c>
      <c r="AD67" s="38">
        <f>IF(AQ67="7",BH67,0)</f>
        <v>0</v>
      </c>
      <c r="AE67" s="38">
        <f>IF(AQ67="7",BI67,0)</f>
        <v>0</v>
      </c>
      <c r="AF67" s="38">
        <f>IF(AQ67="2",BH67,0)</f>
        <v>0</v>
      </c>
      <c r="AG67" s="38">
        <f>IF(AQ67="2",BI67,0)</f>
        <v>0</v>
      </c>
      <c r="AH67" s="38">
        <f>IF(AQ67="0",BJ67,0)</f>
        <v>0</v>
      </c>
      <c r="AI67" s="50" t="s">
        <v>89</v>
      </c>
      <c r="AJ67" s="38">
        <f>IF(AN67=0,I67,0)</f>
        <v>0</v>
      </c>
      <c r="AK67" s="38">
        <f>IF(AN67=12,I67,0)</f>
        <v>0</v>
      </c>
      <c r="AL67" s="38">
        <f>IF(AN67=21,I67,0)</f>
        <v>0</v>
      </c>
      <c r="AN67" s="38">
        <v>21</v>
      </c>
      <c r="AO67" s="38">
        <f>H67*0</f>
        <v>0</v>
      </c>
      <c r="AP67" s="38">
        <f>H67*(1-0)</f>
        <v>0</v>
      </c>
      <c r="AQ67" s="72" t="s">
        <v>132</v>
      </c>
      <c r="AV67" s="38">
        <f>AW67+AX67</f>
        <v>0</v>
      </c>
      <c r="AW67" s="38">
        <f>G67*AO67</f>
        <v>0</v>
      </c>
      <c r="AX67" s="38">
        <f>G67*AP67</f>
        <v>0</v>
      </c>
      <c r="AY67" s="72" t="s">
        <v>2287</v>
      </c>
      <c r="AZ67" s="72" t="s">
        <v>2432</v>
      </c>
      <c r="BA67" s="50" t="s">
        <v>2301</v>
      </c>
      <c r="BC67" s="38">
        <f>AW67+AX67</f>
        <v>0</v>
      </c>
      <c r="BD67" s="38">
        <f>H67/(100-BE67)*100</f>
        <v>0</v>
      </c>
      <c r="BE67" s="38">
        <v>0</v>
      </c>
      <c r="BF67" s="38">
        <f>K67</f>
        <v>0</v>
      </c>
      <c r="BH67" s="38">
        <f>G67*AO67</f>
        <v>0</v>
      </c>
      <c r="BI67" s="38">
        <f>G67*AP67</f>
        <v>0</v>
      </c>
      <c r="BJ67" s="38">
        <f>G67*H67</f>
        <v>0</v>
      </c>
      <c r="BK67" s="38"/>
      <c r="BL67" s="38"/>
      <c r="BW67" s="38">
        <v>21</v>
      </c>
    </row>
    <row r="68" spans="1:75" ht="13.5" customHeight="1">
      <c r="A68" s="3" t="s">
        <v>406</v>
      </c>
      <c r="B68" s="4" t="s">
        <v>89</v>
      </c>
      <c r="C68" s="4" t="s">
        <v>2445</v>
      </c>
      <c r="D68" s="200" t="s">
        <v>2446</v>
      </c>
      <c r="E68" s="106"/>
      <c r="F68" s="4" t="s">
        <v>2286</v>
      </c>
      <c r="G68" s="40">
        <f>'Stavební rozpočet'!G1293</f>
        <v>24</v>
      </c>
      <c r="H68" s="40">
        <f>'Stavební rozpočet'!H1293</f>
        <v>0</v>
      </c>
      <c r="I68" s="40">
        <f>G68*H68</f>
        <v>0</v>
      </c>
      <c r="J68" s="40">
        <f>'Stavební rozpočet'!J1293</f>
        <v>0</v>
      </c>
      <c r="K68" s="40">
        <f>G68*J68</f>
        <v>0</v>
      </c>
      <c r="L68" s="94" t="s">
        <v>207</v>
      </c>
      <c r="Z68" s="38">
        <f>IF(AQ68="5",BJ68,0)</f>
        <v>0</v>
      </c>
      <c r="AB68" s="38">
        <f>IF(AQ68="1",BH68,0)</f>
        <v>0</v>
      </c>
      <c r="AC68" s="38">
        <f>IF(AQ68="1",BI68,0)</f>
        <v>0</v>
      </c>
      <c r="AD68" s="38">
        <f>IF(AQ68="7",BH68,0)</f>
        <v>0</v>
      </c>
      <c r="AE68" s="38">
        <f>IF(AQ68="7",BI68,0)</f>
        <v>0</v>
      </c>
      <c r="AF68" s="38">
        <f>IF(AQ68="2",BH68,0)</f>
        <v>0</v>
      </c>
      <c r="AG68" s="38">
        <f>IF(AQ68="2",BI68,0)</f>
        <v>0</v>
      </c>
      <c r="AH68" s="38">
        <f>IF(AQ68="0",BJ68,0)</f>
        <v>0</v>
      </c>
      <c r="AI68" s="50" t="s">
        <v>89</v>
      </c>
      <c r="AJ68" s="38">
        <f>IF(AN68=0,I68,0)</f>
        <v>0</v>
      </c>
      <c r="AK68" s="38">
        <f>IF(AN68=12,I68,0)</f>
        <v>0</v>
      </c>
      <c r="AL68" s="38">
        <f>IF(AN68=21,I68,0)</f>
        <v>0</v>
      </c>
      <c r="AN68" s="38">
        <v>21</v>
      </c>
      <c r="AO68" s="38">
        <f>H68*0</f>
        <v>0</v>
      </c>
      <c r="AP68" s="38">
        <f>H68*(1-0)</f>
        <v>0</v>
      </c>
      <c r="AQ68" s="72" t="s">
        <v>132</v>
      </c>
      <c r="AV68" s="38">
        <f>AW68+AX68</f>
        <v>0</v>
      </c>
      <c r="AW68" s="38">
        <f>G68*AO68</f>
        <v>0</v>
      </c>
      <c r="AX68" s="38">
        <f>G68*AP68</f>
        <v>0</v>
      </c>
      <c r="AY68" s="72" t="s">
        <v>2287</v>
      </c>
      <c r="AZ68" s="72" t="s">
        <v>2432</v>
      </c>
      <c r="BA68" s="50" t="s">
        <v>2301</v>
      </c>
      <c r="BC68" s="38">
        <f>AW68+AX68</f>
        <v>0</v>
      </c>
      <c r="BD68" s="38">
        <f>H68/(100-BE68)*100</f>
        <v>0</v>
      </c>
      <c r="BE68" s="38">
        <v>0</v>
      </c>
      <c r="BF68" s="38">
        <f>K68</f>
        <v>0</v>
      </c>
      <c r="BH68" s="38">
        <f>G68*AO68</f>
        <v>0</v>
      </c>
      <c r="BI68" s="38">
        <f>G68*AP68</f>
        <v>0</v>
      </c>
      <c r="BJ68" s="38">
        <f>G68*H68</f>
        <v>0</v>
      </c>
      <c r="BK68" s="38"/>
      <c r="BL68" s="38"/>
      <c r="BW68" s="38">
        <v>21</v>
      </c>
    </row>
    <row r="69" ht="15">
      <c r="I69" s="42">
        <f>ROUND(I13+I18+I29+I39+I48+I61+I64,0)</f>
        <v>0</v>
      </c>
    </row>
    <row r="70" ht="15">
      <c r="A70" s="43" t="s">
        <v>56</v>
      </c>
    </row>
    <row r="71" spans="1:12" ht="12.75" customHeight="1">
      <c r="A71" s="108" t="s">
        <v>4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</sheetData>
  <sheetProtection password="F483" sheet="1"/>
  <mergeCells count="86">
    <mergeCell ref="D65:E65"/>
    <mergeCell ref="D66:E66"/>
    <mergeCell ref="D67:E67"/>
    <mergeCell ref="D68:E68"/>
    <mergeCell ref="A71:L71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3"/>
  <sheetViews>
    <sheetView workbookViewId="0" topLeftCell="A1">
      <pane ySplit="11" topLeftCell="A12" activePane="bottomLeft" state="frozen"/>
      <selection pane="bottomLeft" activeCell="A53" sqref="A53:L53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5.1406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01" t="s">
        <v>76</v>
      </c>
      <c r="G2" s="101"/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>
      <c r="A3" s="102"/>
      <c r="B3" s="103"/>
      <c r="C3" s="103"/>
      <c r="D3" s="111"/>
      <c r="E3" s="111"/>
      <c r="F3" s="103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 t="s">
        <v>9</v>
      </c>
      <c r="G4" s="103"/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 t="s">
        <v>10</v>
      </c>
      <c r="G6" s="103"/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 t="s">
        <v>77</v>
      </c>
      <c r="G8" s="103"/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86" t="s">
        <v>82</v>
      </c>
      <c r="E10" s="187"/>
      <c r="F10" s="46" t="s">
        <v>107</v>
      </c>
      <c r="G10" s="47" t="s">
        <v>108</v>
      </c>
      <c r="H10" s="92" t="s">
        <v>109</v>
      </c>
      <c r="I10" s="28" t="s">
        <v>79</v>
      </c>
      <c r="J10" s="188" t="s">
        <v>80</v>
      </c>
      <c r="K10" s="189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91</v>
      </c>
      <c r="C12" s="59" t="s">
        <v>4</v>
      </c>
      <c r="D12" s="190" t="s">
        <v>92</v>
      </c>
      <c r="E12" s="191"/>
      <c r="F12" s="60" t="s">
        <v>78</v>
      </c>
      <c r="G12" s="60" t="s">
        <v>78</v>
      </c>
      <c r="H12" s="60" t="s">
        <v>78</v>
      </c>
      <c r="I12" s="62">
        <f>I13+I48</f>
        <v>0</v>
      </c>
      <c r="J12" s="63" t="s">
        <v>4</v>
      </c>
      <c r="K12" s="62">
        <f>K13+K48</f>
        <v>0</v>
      </c>
      <c r="L12" s="64" t="s">
        <v>4</v>
      </c>
    </row>
    <row r="13" spans="1:47" ht="15">
      <c r="A13" s="65" t="s">
        <v>4</v>
      </c>
      <c r="B13" s="66" t="s">
        <v>91</v>
      </c>
      <c r="C13" s="66" t="s">
        <v>811</v>
      </c>
      <c r="D13" s="192" t="s">
        <v>812</v>
      </c>
      <c r="E13" s="193"/>
      <c r="F13" s="67" t="s">
        <v>78</v>
      </c>
      <c r="G13" s="67" t="s">
        <v>78</v>
      </c>
      <c r="H13" s="67" t="s">
        <v>78</v>
      </c>
      <c r="I13" s="44">
        <f>SUM(I14:I47)</f>
        <v>0</v>
      </c>
      <c r="J13" s="50" t="s">
        <v>4</v>
      </c>
      <c r="K13" s="44">
        <f>SUM(K14:K47)</f>
        <v>0</v>
      </c>
      <c r="L13" s="69" t="s">
        <v>4</v>
      </c>
      <c r="AI13" s="50" t="s">
        <v>91</v>
      </c>
      <c r="AS13" s="44">
        <f>SUM(AJ14:AJ47)</f>
        <v>0</v>
      </c>
      <c r="AT13" s="44">
        <f>SUM(AK14:AK47)</f>
        <v>0</v>
      </c>
      <c r="AU13" s="44">
        <f>SUM(AL14:AL47)</f>
        <v>0</v>
      </c>
    </row>
    <row r="14" spans="1:75" ht="13.5" customHeight="1">
      <c r="A14" s="1" t="s">
        <v>132</v>
      </c>
      <c r="B14" s="2" t="s">
        <v>91</v>
      </c>
      <c r="C14" s="2" t="s">
        <v>2448</v>
      </c>
      <c r="D14" s="108" t="s">
        <v>2449</v>
      </c>
      <c r="E14" s="103"/>
      <c r="F14" s="2" t="s">
        <v>199</v>
      </c>
      <c r="G14" s="38">
        <f>'Stavební rozpočet'!G1296</f>
        <v>1</v>
      </c>
      <c r="H14" s="38">
        <f>'Stavební rozpočet'!H1296</f>
        <v>0</v>
      </c>
      <c r="I14" s="38">
        <f aca="true" t="shared" si="0" ref="I14:I47">G14*H14</f>
        <v>0</v>
      </c>
      <c r="J14" s="38">
        <f>'Stavební rozpočet'!J1296</f>
        <v>0</v>
      </c>
      <c r="K14" s="38">
        <f aca="true" t="shared" si="1" ref="K14:K47">G14*J14</f>
        <v>0</v>
      </c>
      <c r="L14" s="71" t="s">
        <v>207</v>
      </c>
      <c r="Z14" s="38">
        <f aca="true" t="shared" si="2" ref="Z14:Z47">IF(AQ14="5",BJ14,0)</f>
        <v>0</v>
      </c>
      <c r="AB14" s="38">
        <f aca="true" t="shared" si="3" ref="AB14:AB47">IF(AQ14="1",BH14,0)</f>
        <v>0</v>
      </c>
      <c r="AC14" s="38">
        <f aca="true" t="shared" si="4" ref="AC14:AC47">IF(AQ14="1",BI14,0)</f>
        <v>0</v>
      </c>
      <c r="AD14" s="38">
        <f aca="true" t="shared" si="5" ref="AD14:AD47">IF(AQ14="7",BH14,0)</f>
        <v>0</v>
      </c>
      <c r="AE14" s="38">
        <f aca="true" t="shared" si="6" ref="AE14:AE47">IF(AQ14="7",BI14,0)</f>
        <v>0</v>
      </c>
      <c r="AF14" s="38">
        <f aca="true" t="shared" si="7" ref="AF14:AF47">IF(AQ14="2",BH14,0)</f>
        <v>0</v>
      </c>
      <c r="AG14" s="38">
        <f aca="true" t="shared" si="8" ref="AG14:AG47">IF(AQ14="2",BI14,0)</f>
        <v>0</v>
      </c>
      <c r="AH14" s="38">
        <f aca="true" t="shared" si="9" ref="AH14:AH47">IF(AQ14="0",BJ14,0)</f>
        <v>0</v>
      </c>
      <c r="AI14" s="50" t="s">
        <v>91</v>
      </c>
      <c r="AJ14" s="38">
        <f aca="true" t="shared" si="10" ref="AJ14:AJ47">IF(AN14=0,I14,0)</f>
        <v>0</v>
      </c>
      <c r="AK14" s="38">
        <f aca="true" t="shared" si="11" ref="AK14:AK47">IF(AN14=12,I14,0)</f>
        <v>0</v>
      </c>
      <c r="AL14" s="38">
        <f aca="true" t="shared" si="12" ref="AL14:AL47"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169</v>
      </c>
      <c r="AV14" s="38">
        <f aca="true" t="shared" si="13" ref="AV14:AV47">AW14+AX14</f>
        <v>0</v>
      </c>
      <c r="AW14" s="38">
        <f aca="true" t="shared" si="14" ref="AW14:AW47">G14*AO14</f>
        <v>0</v>
      </c>
      <c r="AX14" s="38">
        <f aca="true" t="shared" si="15" ref="AX14:AX47">G14*AP14</f>
        <v>0</v>
      </c>
      <c r="AY14" s="72" t="s">
        <v>816</v>
      </c>
      <c r="AZ14" s="72" t="s">
        <v>2450</v>
      </c>
      <c r="BA14" s="50" t="s">
        <v>2451</v>
      </c>
      <c r="BC14" s="38">
        <f aca="true" t="shared" si="16" ref="BC14:BC47">AW14+AX14</f>
        <v>0</v>
      </c>
      <c r="BD14" s="38">
        <f aca="true" t="shared" si="17" ref="BD14:BD47">H14/(100-BE14)*100</f>
        <v>0</v>
      </c>
      <c r="BE14" s="38">
        <v>0</v>
      </c>
      <c r="BF14" s="38">
        <f aca="true" t="shared" si="18" ref="BF14:BF47">K14</f>
        <v>0</v>
      </c>
      <c r="BH14" s="38">
        <f aca="true" t="shared" si="19" ref="BH14:BH47">G14*AO14</f>
        <v>0</v>
      </c>
      <c r="BI14" s="38">
        <f aca="true" t="shared" si="20" ref="BI14:BI47">G14*AP14</f>
        <v>0</v>
      </c>
      <c r="BJ14" s="38">
        <f aca="true" t="shared" si="21" ref="BJ14:BJ47">G14*H14</f>
        <v>0</v>
      </c>
      <c r="BK14" s="38"/>
      <c r="BL14" s="38">
        <v>751</v>
      </c>
      <c r="BW14" s="38">
        <v>21</v>
      </c>
    </row>
    <row r="15" spans="1:75" ht="13.5" customHeight="1">
      <c r="A15" s="78" t="s">
        <v>143</v>
      </c>
      <c r="B15" s="79" t="s">
        <v>91</v>
      </c>
      <c r="C15" s="79" t="s">
        <v>2453</v>
      </c>
      <c r="D15" s="198" t="s">
        <v>2454</v>
      </c>
      <c r="E15" s="199"/>
      <c r="F15" s="79" t="s">
        <v>199</v>
      </c>
      <c r="G15" s="80">
        <f>'Stavební rozpočet'!G1297</f>
        <v>1</v>
      </c>
      <c r="H15" s="80">
        <f>'Stavební rozpočet'!H1297</f>
        <v>0</v>
      </c>
      <c r="I15" s="80">
        <f t="shared" si="0"/>
        <v>0</v>
      </c>
      <c r="J15" s="80">
        <f>'Stavební rozpočet'!J1297</f>
        <v>0</v>
      </c>
      <c r="K15" s="80">
        <f t="shared" si="1"/>
        <v>0</v>
      </c>
      <c r="L15" s="82" t="s">
        <v>207</v>
      </c>
      <c r="Z15" s="38">
        <f t="shared" si="2"/>
        <v>0</v>
      </c>
      <c r="AB15" s="38">
        <f t="shared" si="3"/>
        <v>0</v>
      </c>
      <c r="AC15" s="38">
        <f t="shared" si="4"/>
        <v>0</v>
      </c>
      <c r="AD15" s="38">
        <f t="shared" si="5"/>
        <v>0</v>
      </c>
      <c r="AE15" s="38">
        <f t="shared" si="6"/>
        <v>0</v>
      </c>
      <c r="AF15" s="38">
        <f t="shared" si="7"/>
        <v>0</v>
      </c>
      <c r="AG15" s="38">
        <f t="shared" si="8"/>
        <v>0</v>
      </c>
      <c r="AH15" s="38">
        <f t="shared" si="9"/>
        <v>0</v>
      </c>
      <c r="AI15" s="50" t="s">
        <v>91</v>
      </c>
      <c r="AJ15" s="80">
        <f t="shared" si="10"/>
        <v>0</v>
      </c>
      <c r="AK15" s="80">
        <f t="shared" si="11"/>
        <v>0</v>
      </c>
      <c r="AL15" s="80">
        <f t="shared" si="12"/>
        <v>0</v>
      </c>
      <c r="AN15" s="38">
        <v>21</v>
      </c>
      <c r="AO15" s="38">
        <f>H15*1</f>
        <v>0</v>
      </c>
      <c r="AP15" s="38">
        <f>H15*(1-1)</f>
        <v>0</v>
      </c>
      <c r="AQ15" s="83" t="s">
        <v>169</v>
      </c>
      <c r="AV15" s="38">
        <f t="shared" si="13"/>
        <v>0</v>
      </c>
      <c r="AW15" s="38">
        <f t="shared" si="14"/>
        <v>0</v>
      </c>
      <c r="AX15" s="38">
        <f t="shared" si="15"/>
        <v>0</v>
      </c>
      <c r="AY15" s="72" t="s">
        <v>816</v>
      </c>
      <c r="AZ15" s="72" t="s">
        <v>2450</v>
      </c>
      <c r="BA15" s="50" t="s">
        <v>2451</v>
      </c>
      <c r="BC15" s="38">
        <f t="shared" si="16"/>
        <v>0</v>
      </c>
      <c r="BD15" s="38">
        <f t="shared" si="17"/>
        <v>0</v>
      </c>
      <c r="BE15" s="38">
        <v>0</v>
      </c>
      <c r="BF15" s="38">
        <f t="shared" si="18"/>
        <v>0</v>
      </c>
      <c r="BH15" s="80">
        <f t="shared" si="19"/>
        <v>0</v>
      </c>
      <c r="BI15" s="80">
        <f t="shared" si="20"/>
        <v>0</v>
      </c>
      <c r="BJ15" s="80">
        <f t="shared" si="21"/>
        <v>0</v>
      </c>
      <c r="BK15" s="80"/>
      <c r="BL15" s="38">
        <v>751</v>
      </c>
      <c r="BW15" s="38">
        <v>21</v>
      </c>
    </row>
    <row r="16" spans="1:75" ht="27" customHeight="1">
      <c r="A16" s="1" t="s">
        <v>149</v>
      </c>
      <c r="B16" s="2" t="s">
        <v>91</v>
      </c>
      <c r="C16" s="2" t="s">
        <v>2456</v>
      </c>
      <c r="D16" s="108" t="s">
        <v>2457</v>
      </c>
      <c r="E16" s="103"/>
      <c r="F16" s="2" t="s">
        <v>199</v>
      </c>
      <c r="G16" s="38">
        <f>'Stavební rozpočet'!G1298</f>
        <v>1</v>
      </c>
      <c r="H16" s="38">
        <f>'Stavební rozpočet'!H1298</f>
        <v>0</v>
      </c>
      <c r="I16" s="38">
        <f t="shared" si="0"/>
        <v>0</v>
      </c>
      <c r="J16" s="38">
        <f>'Stavební rozpočet'!J1298</f>
        <v>0</v>
      </c>
      <c r="K16" s="38">
        <f t="shared" si="1"/>
        <v>0</v>
      </c>
      <c r="L16" s="71" t="s">
        <v>207</v>
      </c>
      <c r="Z16" s="38">
        <f t="shared" si="2"/>
        <v>0</v>
      </c>
      <c r="AB16" s="38">
        <f t="shared" si="3"/>
        <v>0</v>
      </c>
      <c r="AC16" s="38">
        <f t="shared" si="4"/>
        <v>0</v>
      </c>
      <c r="AD16" s="38">
        <f t="shared" si="5"/>
        <v>0</v>
      </c>
      <c r="AE16" s="38">
        <f t="shared" si="6"/>
        <v>0</v>
      </c>
      <c r="AF16" s="38">
        <f t="shared" si="7"/>
        <v>0</v>
      </c>
      <c r="AG16" s="38">
        <f t="shared" si="8"/>
        <v>0</v>
      </c>
      <c r="AH16" s="38">
        <f t="shared" si="9"/>
        <v>0</v>
      </c>
      <c r="AI16" s="50" t="s">
        <v>91</v>
      </c>
      <c r="AJ16" s="38">
        <f t="shared" si="10"/>
        <v>0</v>
      </c>
      <c r="AK16" s="38">
        <f t="shared" si="11"/>
        <v>0</v>
      </c>
      <c r="AL16" s="38">
        <f t="shared" si="12"/>
        <v>0</v>
      </c>
      <c r="AN16" s="38">
        <v>21</v>
      </c>
      <c r="AO16" s="38">
        <f>H16*0</f>
        <v>0</v>
      </c>
      <c r="AP16" s="38">
        <f>H16*(1-0)</f>
        <v>0</v>
      </c>
      <c r="AQ16" s="72" t="s">
        <v>169</v>
      </c>
      <c r="AV16" s="38">
        <f t="shared" si="13"/>
        <v>0</v>
      </c>
      <c r="AW16" s="38">
        <f t="shared" si="14"/>
        <v>0</v>
      </c>
      <c r="AX16" s="38">
        <f t="shared" si="15"/>
        <v>0</v>
      </c>
      <c r="AY16" s="72" t="s">
        <v>816</v>
      </c>
      <c r="AZ16" s="72" t="s">
        <v>2450</v>
      </c>
      <c r="BA16" s="50" t="s">
        <v>2451</v>
      </c>
      <c r="BC16" s="38">
        <f t="shared" si="16"/>
        <v>0</v>
      </c>
      <c r="BD16" s="38">
        <f t="shared" si="17"/>
        <v>0</v>
      </c>
      <c r="BE16" s="38">
        <v>0</v>
      </c>
      <c r="BF16" s="38">
        <f t="shared" si="18"/>
        <v>0</v>
      </c>
      <c r="BH16" s="38">
        <f t="shared" si="19"/>
        <v>0</v>
      </c>
      <c r="BI16" s="38">
        <f t="shared" si="20"/>
        <v>0</v>
      </c>
      <c r="BJ16" s="38">
        <f t="shared" si="21"/>
        <v>0</v>
      </c>
      <c r="BK16" s="38"/>
      <c r="BL16" s="38">
        <v>751</v>
      </c>
      <c r="BW16" s="38">
        <v>21</v>
      </c>
    </row>
    <row r="17" spans="1:75" ht="13.5" customHeight="1">
      <c r="A17" s="78" t="s">
        <v>157</v>
      </c>
      <c r="B17" s="79" t="s">
        <v>91</v>
      </c>
      <c r="C17" s="79" t="s">
        <v>2459</v>
      </c>
      <c r="D17" s="198" t="s">
        <v>2460</v>
      </c>
      <c r="E17" s="199"/>
      <c r="F17" s="79" t="s">
        <v>199</v>
      </c>
      <c r="G17" s="80">
        <f>'Stavební rozpočet'!G1299</f>
        <v>1</v>
      </c>
      <c r="H17" s="80">
        <f>'Stavební rozpočet'!H1299</f>
        <v>0</v>
      </c>
      <c r="I17" s="80">
        <f t="shared" si="0"/>
        <v>0</v>
      </c>
      <c r="J17" s="80">
        <f>'Stavební rozpočet'!J1299</f>
        <v>0</v>
      </c>
      <c r="K17" s="80">
        <f t="shared" si="1"/>
        <v>0</v>
      </c>
      <c r="L17" s="82" t="s">
        <v>207</v>
      </c>
      <c r="Z17" s="38">
        <f t="shared" si="2"/>
        <v>0</v>
      </c>
      <c r="AB17" s="38">
        <f t="shared" si="3"/>
        <v>0</v>
      </c>
      <c r="AC17" s="38">
        <f t="shared" si="4"/>
        <v>0</v>
      </c>
      <c r="AD17" s="38">
        <f t="shared" si="5"/>
        <v>0</v>
      </c>
      <c r="AE17" s="38">
        <f t="shared" si="6"/>
        <v>0</v>
      </c>
      <c r="AF17" s="38">
        <f t="shared" si="7"/>
        <v>0</v>
      </c>
      <c r="AG17" s="38">
        <f t="shared" si="8"/>
        <v>0</v>
      </c>
      <c r="AH17" s="38">
        <f t="shared" si="9"/>
        <v>0</v>
      </c>
      <c r="AI17" s="50" t="s">
        <v>91</v>
      </c>
      <c r="AJ17" s="80">
        <f t="shared" si="10"/>
        <v>0</v>
      </c>
      <c r="AK17" s="80">
        <f t="shared" si="11"/>
        <v>0</v>
      </c>
      <c r="AL17" s="80">
        <f t="shared" si="12"/>
        <v>0</v>
      </c>
      <c r="AN17" s="38">
        <v>21</v>
      </c>
      <c r="AO17" s="38">
        <f>H17*1</f>
        <v>0</v>
      </c>
      <c r="AP17" s="38">
        <f>H17*(1-1)</f>
        <v>0</v>
      </c>
      <c r="AQ17" s="83" t="s">
        <v>169</v>
      </c>
      <c r="AV17" s="38">
        <f t="shared" si="13"/>
        <v>0</v>
      </c>
      <c r="AW17" s="38">
        <f t="shared" si="14"/>
        <v>0</v>
      </c>
      <c r="AX17" s="38">
        <f t="shared" si="15"/>
        <v>0</v>
      </c>
      <c r="AY17" s="72" t="s">
        <v>816</v>
      </c>
      <c r="AZ17" s="72" t="s">
        <v>2450</v>
      </c>
      <c r="BA17" s="50" t="s">
        <v>2451</v>
      </c>
      <c r="BC17" s="38">
        <f t="shared" si="16"/>
        <v>0</v>
      </c>
      <c r="BD17" s="38">
        <f t="shared" si="17"/>
        <v>0</v>
      </c>
      <c r="BE17" s="38">
        <v>0</v>
      </c>
      <c r="BF17" s="38">
        <f t="shared" si="18"/>
        <v>0</v>
      </c>
      <c r="BH17" s="80">
        <f t="shared" si="19"/>
        <v>0</v>
      </c>
      <c r="BI17" s="80">
        <f t="shared" si="20"/>
        <v>0</v>
      </c>
      <c r="BJ17" s="80">
        <f t="shared" si="21"/>
        <v>0</v>
      </c>
      <c r="BK17" s="80"/>
      <c r="BL17" s="38">
        <v>751</v>
      </c>
      <c r="BW17" s="38">
        <v>21</v>
      </c>
    </row>
    <row r="18" spans="1:75" ht="27" customHeight="1">
      <c r="A18" s="1" t="s">
        <v>162</v>
      </c>
      <c r="B18" s="2" t="s">
        <v>91</v>
      </c>
      <c r="C18" s="2" t="s">
        <v>2462</v>
      </c>
      <c r="D18" s="108" t="s">
        <v>2463</v>
      </c>
      <c r="E18" s="103"/>
      <c r="F18" s="2" t="s">
        <v>199</v>
      </c>
      <c r="G18" s="38">
        <f>'Stavební rozpočet'!G1300</f>
        <v>1</v>
      </c>
      <c r="H18" s="38">
        <f>'Stavební rozpočet'!H1300</f>
        <v>0</v>
      </c>
      <c r="I18" s="38">
        <f t="shared" si="0"/>
        <v>0</v>
      </c>
      <c r="J18" s="38">
        <f>'Stavební rozpočet'!J1300</f>
        <v>0</v>
      </c>
      <c r="K18" s="38">
        <f t="shared" si="1"/>
        <v>0</v>
      </c>
      <c r="L18" s="71" t="s">
        <v>207</v>
      </c>
      <c r="Z18" s="38">
        <f t="shared" si="2"/>
        <v>0</v>
      </c>
      <c r="AB18" s="38">
        <f t="shared" si="3"/>
        <v>0</v>
      </c>
      <c r="AC18" s="38">
        <f t="shared" si="4"/>
        <v>0</v>
      </c>
      <c r="AD18" s="38">
        <f t="shared" si="5"/>
        <v>0</v>
      </c>
      <c r="AE18" s="38">
        <f t="shared" si="6"/>
        <v>0</v>
      </c>
      <c r="AF18" s="38">
        <f t="shared" si="7"/>
        <v>0</v>
      </c>
      <c r="AG18" s="38">
        <f t="shared" si="8"/>
        <v>0</v>
      </c>
      <c r="AH18" s="38">
        <f t="shared" si="9"/>
        <v>0</v>
      </c>
      <c r="AI18" s="50" t="s">
        <v>91</v>
      </c>
      <c r="AJ18" s="38">
        <f t="shared" si="10"/>
        <v>0</v>
      </c>
      <c r="AK18" s="38">
        <f t="shared" si="11"/>
        <v>0</v>
      </c>
      <c r="AL18" s="38">
        <f t="shared" si="12"/>
        <v>0</v>
      </c>
      <c r="AN18" s="38">
        <v>21</v>
      </c>
      <c r="AO18" s="38">
        <f>H18*0</f>
        <v>0</v>
      </c>
      <c r="AP18" s="38">
        <f>H18*(1-0)</f>
        <v>0</v>
      </c>
      <c r="AQ18" s="72" t="s">
        <v>169</v>
      </c>
      <c r="AV18" s="38">
        <f t="shared" si="13"/>
        <v>0</v>
      </c>
      <c r="AW18" s="38">
        <f t="shared" si="14"/>
        <v>0</v>
      </c>
      <c r="AX18" s="38">
        <f t="shared" si="15"/>
        <v>0</v>
      </c>
      <c r="AY18" s="72" t="s">
        <v>816</v>
      </c>
      <c r="AZ18" s="72" t="s">
        <v>2450</v>
      </c>
      <c r="BA18" s="50" t="s">
        <v>2451</v>
      </c>
      <c r="BC18" s="38">
        <f t="shared" si="16"/>
        <v>0</v>
      </c>
      <c r="BD18" s="38">
        <f t="shared" si="17"/>
        <v>0</v>
      </c>
      <c r="BE18" s="38">
        <v>0</v>
      </c>
      <c r="BF18" s="38">
        <f t="shared" si="18"/>
        <v>0</v>
      </c>
      <c r="BH18" s="38">
        <f t="shared" si="19"/>
        <v>0</v>
      </c>
      <c r="BI18" s="38">
        <f t="shared" si="20"/>
        <v>0</v>
      </c>
      <c r="BJ18" s="38">
        <f t="shared" si="21"/>
        <v>0</v>
      </c>
      <c r="BK18" s="38"/>
      <c r="BL18" s="38">
        <v>751</v>
      </c>
      <c r="BW18" s="38">
        <v>21</v>
      </c>
    </row>
    <row r="19" spans="1:75" ht="13.5" customHeight="1">
      <c r="A19" s="78" t="s">
        <v>166</v>
      </c>
      <c r="B19" s="79" t="s">
        <v>91</v>
      </c>
      <c r="C19" s="79" t="s">
        <v>2465</v>
      </c>
      <c r="D19" s="198" t="s">
        <v>2466</v>
      </c>
      <c r="E19" s="199"/>
      <c r="F19" s="79" t="s">
        <v>199</v>
      </c>
      <c r="G19" s="80">
        <f>'Stavební rozpočet'!G1301</f>
        <v>1</v>
      </c>
      <c r="H19" s="80">
        <f>'Stavební rozpočet'!H1301</f>
        <v>0</v>
      </c>
      <c r="I19" s="80">
        <f t="shared" si="0"/>
        <v>0</v>
      </c>
      <c r="J19" s="80">
        <f>'Stavební rozpočet'!J1301</f>
        <v>0</v>
      </c>
      <c r="K19" s="80">
        <f t="shared" si="1"/>
        <v>0</v>
      </c>
      <c r="L19" s="82" t="s">
        <v>207</v>
      </c>
      <c r="Z19" s="38">
        <f t="shared" si="2"/>
        <v>0</v>
      </c>
      <c r="AB19" s="38">
        <f t="shared" si="3"/>
        <v>0</v>
      </c>
      <c r="AC19" s="38">
        <f t="shared" si="4"/>
        <v>0</v>
      </c>
      <c r="AD19" s="38">
        <f t="shared" si="5"/>
        <v>0</v>
      </c>
      <c r="AE19" s="38">
        <f t="shared" si="6"/>
        <v>0</v>
      </c>
      <c r="AF19" s="38">
        <f t="shared" si="7"/>
        <v>0</v>
      </c>
      <c r="AG19" s="38">
        <f t="shared" si="8"/>
        <v>0</v>
      </c>
      <c r="AH19" s="38">
        <f t="shared" si="9"/>
        <v>0</v>
      </c>
      <c r="AI19" s="50" t="s">
        <v>91</v>
      </c>
      <c r="AJ19" s="80">
        <f t="shared" si="10"/>
        <v>0</v>
      </c>
      <c r="AK19" s="80">
        <f t="shared" si="11"/>
        <v>0</v>
      </c>
      <c r="AL19" s="80">
        <f t="shared" si="12"/>
        <v>0</v>
      </c>
      <c r="AN19" s="38">
        <v>21</v>
      </c>
      <c r="AO19" s="38">
        <f>H19*1</f>
        <v>0</v>
      </c>
      <c r="AP19" s="38">
        <f>H19*(1-1)</f>
        <v>0</v>
      </c>
      <c r="AQ19" s="83" t="s">
        <v>169</v>
      </c>
      <c r="AV19" s="38">
        <f t="shared" si="13"/>
        <v>0</v>
      </c>
      <c r="AW19" s="38">
        <f t="shared" si="14"/>
        <v>0</v>
      </c>
      <c r="AX19" s="38">
        <f t="shared" si="15"/>
        <v>0</v>
      </c>
      <c r="AY19" s="72" t="s">
        <v>816</v>
      </c>
      <c r="AZ19" s="72" t="s">
        <v>2450</v>
      </c>
      <c r="BA19" s="50" t="s">
        <v>2451</v>
      </c>
      <c r="BC19" s="38">
        <f t="shared" si="16"/>
        <v>0</v>
      </c>
      <c r="BD19" s="38">
        <f t="shared" si="17"/>
        <v>0</v>
      </c>
      <c r="BE19" s="38">
        <v>0</v>
      </c>
      <c r="BF19" s="38">
        <f t="shared" si="18"/>
        <v>0</v>
      </c>
      <c r="BH19" s="80">
        <f t="shared" si="19"/>
        <v>0</v>
      </c>
      <c r="BI19" s="80">
        <f t="shared" si="20"/>
        <v>0</v>
      </c>
      <c r="BJ19" s="80">
        <f t="shared" si="21"/>
        <v>0</v>
      </c>
      <c r="BK19" s="80"/>
      <c r="BL19" s="38">
        <v>751</v>
      </c>
      <c r="BW19" s="38">
        <v>21</v>
      </c>
    </row>
    <row r="20" spans="1:75" ht="13.5" customHeight="1">
      <c r="A20" s="78" t="s">
        <v>169</v>
      </c>
      <c r="B20" s="79" t="s">
        <v>91</v>
      </c>
      <c r="C20" s="79" t="s">
        <v>2468</v>
      </c>
      <c r="D20" s="198" t="s">
        <v>2469</v>
      </c>
      <c r="E20" s="199"/>
      <c r="F20" s="79" t="s">
        <v>471</v>
      </c>
      <c r="G20" s="80">
        <f>'Stavební rozpočet'!G1302</f>
        <v>1</v>
      </c>
      <c r="H20" s="80">
        <f>'Stavební rozpočet'!H1302</f>
        <v>0</v>
      </c>
      <c r="I20" s="80">
        <f t="shared" si="0"/>
        <v>0</v>
      </c>
      <c r="J20" s="80">
        <f>'Stavební rozpočet'!J1302</f>
        <v>0</v>
      </c>
      <c r="K20" s="80">
        <f t="shared" si="1"/>
        <v>0</v>
      </c>
      <c r="L20" s="82" t="s">
        <v>207</v>
      </c>
      <c r="Z20" s="38">
        <f t="shared" si="2"/>
        <v>0</v>
      </c>
      <c r="AB20" s="38">
        <f t="shared" si="3"/>
        <v>0</v>
      </c>
      <c r="AC20" s="38">
        <f t="shared" si="4"/>
        <v>0</v>
      </c>
      <c r="AD20" s="38">
        <f t="shared" si="5"/>
        <v>0</v>
      </c>
      <c r="AE20" s="38">
        <f t="shared" si="6"/>
        <v>0</v>
      </c>
      <c r="AF20" s="38">
        <f t="shared" si="7"/>
        <v>0</v>
      </c>
      <c r="AG20" s="38">
        <f t="shared" si="8"/>
        <v>0</v>
      </c>
      <c r="AH20" s="38">
        <f t="shared" si="9"/>
        <v>0</v>
      </c>
      <c r="AI20" s="50" t="s">
        <v>91</v>
      </c>
      <c r="AJ20" s="80">
        <f t="shared" si="10"/>
        <v>0</v>
      </c>
      <c r="AK20" s="80">
        <f t="shared" si="11"/>
        <v>0</v>
      </c>
      <c r="AL20" s="80">
        <f t="shared" si="12"/>
        <v>0</v>
      </c>
      <c r="AN20" s="38">
        <v>21</v>
      </c>
      <c r="AO20" s="38">
        <f>H20*1</f>
        <v>0</v>
      </c>
      <c r="AP20" s="38">
        <f>H20*(1-1)</f>
        <v>0</v>
      </c>
      <c r="AQ20" s="83" t="s">
        <v>169</v>
      </c>
      <c r="AV20" s="38">
        <f t="shared" si="13"/>
        <v>0</v>
      </c>
      <c r="AW20" s="38">
        <f t="shared" si="14"/>
        <v>0</v>
      </c>
      <c r="AX20" s="38">
        <f t="shared" si="15"/>
        <v>0</v>
      </c>
      <c r="AY20" s="72" t="s">
        <v>816</v>
      </c>
      <c r="AZ20" s="72" t="s">
        <v>2450</v>
      </c>
      <c r="BA20" s="50" t="s">
        <v>2451</v>
      </c>
      <c r="BC20" s="38">
        <f t="shared" si="16"/>
        <v>0</v>
      </c>
      <c r="BD20" s="38">
        <f t="shared" si="17"/>
        <v>0</v>
      </c>
      <c r="BE20" s="38">
        <v>0</v>
      </c>
      <c r="BF20" s="38">
        <f t="shared" si="18"/>
        <v>0</v>
      </c>
      <c r="BH20" s="80">
        <f t="shared" si="19"/>
        <v>0</v>
      </c>
      <c r="BI20" s="80">
        <f t="shared" si="20"/>
        <v>0</v>
      </c>
      <c r="BJ20" s="80">
        <f t="shared" si="21"/>
        <v>0</v>
      </c>
      <c r="BK20" s="80"/>
      <c r="BL20" s="38">
        <v>751</v>
      </c>
      <c r="BW20" s="38">
        <v>21</v>
      </c>
    </row>
    <row r="21" spans="1:75" ht="13.5" customHeight="1">
      <c r="A21" s="1" t="s">
        <v>174</v>
      </c>
      <c r="B21" s="2" t="s">
        <v>91</v>
      </c>
      <c r="C21" s="2" t="s">
        <v>2471</v>
      </c>
      <c r="D21" s="108" t="s">
        <v>2472</v>
      </c>
      <c r="E21" s="103"/>
      <c r="F21" s="2" t="s">
        <v>199</v>
      </c>
      <c r="G21" s="38">
        <f>'Stavební rozpočet'!G1303</f>
        <v>4</v>
      </c>
      <c r="H21" s="38">
        <f>'Stavební rozpočet'!H1303</f>
        <v>0</v>
      </c>
      <c r="I21" s="38">
        <f t="shared" si="0"/>
        <v>0</v>
      </c>
      <c r="J21" s="38">
        <f>'Stavební rozpočet'!J1303</f>
        <v>0</v>
      </c>
      <c r="K21" s="38">
        <f t="shared" si="1"/>
        <v>0</v>
      </c>
      <c r="L21" s="71" t="s">
        <v>207</v>
      </c>
      <c r="Z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0</v>
      </c>
      <c r="AE21" s="38">
        <f t="shared" si="6"/>
        <v>0</v>
      </c>
      <c r="AF21" s="38">
        <f t="shared" si="7"/>
        <v>0</v>
      </c>
      <c r="AG21" s="38">
        <f t="shared" si="8"/>
        <v>0</v>
      </c>
      <c r="AH21" s="38">
        <f t="shared" si="9"/>
        <v>0</v>
      </c>
      <c r="AI21" s="50" t="s">
        <v>91</v>
      </c>
      <c r="AJ21" s="38">
        <f t="shared" si="10"/>
        <v>0</v>
      </c>
      <c r="AK21" s="38">
        <f t="shared" si="11"/>
        <v>0</v>
      </c>
      <c r="AL21" s="38">
        <f t="shared" si="12"/>
        <v>0</v>
      </c>
      <c r="AN21" s="38">
        <v>21</v>
      </c>
      <c r="AO21" s="38">
        <f>H21*0</f>
        <v>0</v>
      </c>
      <c r="AP21" s="38">
        <f>H21*(1-0)</f>
        <v>0</v>
      </c>
      <c r="AQ21" s="72" t="s">
        <v>169</v>
      </c>
      <c r="AV21" s="38">
        <f t="shared" si="13"/>
        <v>0</v>
      </c>
      <c r="AW21" s="38">
        <f t="shared" si="14"/>
        <v>0</v>
      </c>
      <c r="AX21" s="38">
        <f t="shared" si="15"/>
        <v>0</v>
      </c>
      <c r="AY21" s="72" t="s">
        <v>816</v>
      </c>
      <c r="AZ21" s="72" t="s">
        <v>2450</v>
      </c>
      <c r="BA21" s="50" t="s">
        <v>2451</v>
      </c>
      <c r="BC21" s="38">
        <f t="shared" si="16"/>
        <v>0</v>
      </c>
      <c r="BD21" s="38">
        <f t="shared" si="17"/>
        <v>0</v>
      </c>
      <c r="BE21" s="38">
        <v>0</v>
      </c>
      <c r="BF21" s="38">
        <f t="shared" si="18"/>
        <v>0</v>
      </c>
      <c r="BH21" s="38">
        <f t="shared" si="19"/>
        <v>0</v>
      </c>
      <c r="BI21" s="38">
        <f t="shared" si="20"/>
        <v>0</v>
      </c>
      <c r="BJ21" s="38">
        <f t="shared" si="21"/>
        <v>0</v>
      </c>
      <c r="BK21" s="38"/>
      <c r="BL21" s="38">
        <v>751</v>
      </c>
      <c r="BW21" s="38">
        <v>21</v>
      </c>
    </row>
    <row r="22" spans="1:75" ht="13.5" customHeight="1">
      <c r="A22" s="78" t="s">
        <v>180</v>
      </c>
      <c r="B22" s="79" t="s">
        <v>91</v>
      </c>
      <c r="C22" s="79" t="s">
        <v>2474</v>
      </c>
      <c r="D22" s="198" t="s">
        <v>2475</v>
      </c>
      <c r="E22" s="199"/>
      <c r="F22" s="79" t="s">
        <v>199</v>
      </c>
      <c r="G22" s="80">
        <f>'Stavební rozpočet'!G1304</f>
        <v>4</v>
      </c>
      <c r="H22" s="80">
        <f>'Stavební rozpočet'!H1304</f>
        <v>0</v>
      </c>
      <c r="I22" s="80">
        <f t="shared" si="0"/>
        <v>0</v>
      </c>
      <c r="J22" s="80">
        <f>'Stavební rozpočet'!J1304</f>
        <v>0</v>
      </c>
      <c r="K22" s="80">
        <f t="shared" si="1"/>
        <v>0</v>
      </c>
      <c r="L22" s="82" t="s">
        <v>207</v>
      </c>
      <c r="Z22" s="38">
        <f t="shared" si="2"/>
        <v>0</v>
      </c>
      <c r="AB22" s="38">
        <f t="shared" si="3"/>
        <v>0</v>
      </c>
      <c r="AC22" s="38">
        <f t="shared" si="4"/>
        <v>0</v>
      </c>
      <c r="AD22" s="38">
        <f t="shared" si="5"/>
        <v>0</v>
      </c>
      <c r="AE22" s="38">
        <f t="shared" si="6"/>
        <v>0</v>
      </c>
      <c r="AF22" s="38">
        <f t="shared" si="7"/>
        <v>0</v>
      </c>
      <c r="AG22" s="38">
        <f t="shared" si="8"/>
        <v>0</v>
      </c>
      <c r="AH22" s="38">
        <f t="shared" si="9"/>
        <v>0</v>
      </c>
      <c r="AI22" s="50" t="s">
        <v>91</v>
      </c>
      <c r="AJ22" s="80">
        <f t="shared" si="10"/>
        <v>0</v>
      </c>
      <c r="AK22" s="80">
        <f t="shared" si="11"/>
        <v>0</v>
      </c>
      <c r="AL22" s="80">
        <f t="shared" si="12"/>
        <v>0</v>
      </c>
      <c r="AN22" s="38">
        <v>21</v>
      </c>
      <c r="AO22" s="38">
        <f>H22*1</f>
        <v>0</v>
      </c>
      <c r="AP22" s="38">
        <f>H22*(1-1)</f>
        <v>0</v>
      </c>
      <c r="AQ22" s="83" t="s">
        <v>169</v>
      </c>
      <c r="AV22" s="38">
        <f t="shared" si="13"/>
        <v>0</v>
      </c>
      <c r="AW22" s="38">
        <f t="shared" si="14"/>
        <v>0</v>
      </c>
      <c r="AX22" s="38">
        <f t="shared" si="15"/>
        <v>0</v>
      </c>
      <c r="AY22" s="72" t="s">
        <v>816</v>
      </c>
      <c r="AZ22" s="72" t="s">
        <v>2450</v>
      </c>
      <c r="BA22" s="50" t="s">
        <v>2451</v>
      </c>
      <c r="BC22" s="38">
        <f t="shared" si="16"/>
        <v>0</v>
      </c>
      <c r="BD22" s="38">
        <f t="shared" si="17"/>
        <v>0</v>
      </c>
      <c r="BE22" s="38">
        <v>0</v>
      </c>
      <c r="BF22" s="38">
        <f t="shared" si="18"/>
        <v>0</v>
      </c>
      <c r="BH22" s="80">
        <f t="shared" si="19"/>
        <v>0</v>
      </c>
      <c r="BI22" s="80">
        <f t="shared" si="20"/>
        <v>0</v>
      </c>
      <c r="BJ22" s="80">
        <f t="shared" si="21"/>
        <v>0</v>
      </c>
      <c r="BK22" s="80"/>
      <c r="BL22" s="38">
        <v>751</v>
      </c>
      <c r="BW22" s="38">
        <v>21</v>
      </c>
    </row>
    <row r="23" spans="1:75" ht="13.5" customHeight="1">
      <c r="A23" s="1" t="s">
        <v>186</v>
      </c>
      <c r="B23" s="2" t="s">
        <v>91</v>
      </c>
      <c r="C23" s="2" t="s">
        <v>2477</v>
      </c>
      <c r="D23" s="108" t="s">
        <v>2478</v>
      </c>
      <c r="E23" s="103"/>
      <c r="F23" s="2" t="s">
        <v>199</v>
      </c>
      <c r="G23" s="38">
        <f>'Stavební rozpočet'!G1305</f>
        <v>6</v>
      </c>
      <c r="H23" s="38">
        <f>'Stavební rozpočet'!H1305</f>
        <v>0</v>
      </c>
      <c r="I23" s="38">
        <f t="shared" si="0"/>
        <v>0</v>
      </c>
      <c r="J23" s="38">
        <f>'Stavební rozpočet'!J1305</f>
        <v>0</v>
      </c>
      <c r="K23" s="38">
        <f t="shared" si="1"/>
        <v>0</v>
      </c>
      <c r="L23" s="71" t="s">
        <v>207</v>
      </c>
      <c r="Z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0</v>
      </c>
      <c r="AF23" s="38">
        <f t="shared" si="7"/>
        <v>0</v>
      </c>
      <c r="AG23" s="38">
        <f t="shared" si="8"/>
        <v>0</v>
      </c>
      <c r="AH23" s="38">
        <f t="shared" si="9"/>
        <v>0</v>
      </c>
      <c r="AI23" s="50" t="s">
        <v>91</v>
      </c>
      <c r="AJ23" s="38">
        <f t="shared" si="10"/>
        <v>0</v>
      </c>
      <c r="AK23" s="38">
        <f t="shared" si="11"/>
        <v>0</v>
      </c>
      <c r="AL23" s="38">
        <f t="shared" si="12"/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169</v>
      </c>
      <c r="AV23" s="38">
        <f t="shared" si="13"/>
        <v>0</v>
      </c>
      <c r="AW23" s="38">
        <f t="shared" si="14"/>
        <v>0</v>
      </c>
      <c r="AX23" s="38">
        <f t="shared" si="15"/>
        <v>0</v>
      </c>
      <c r="AY23" s="72" t="s">
        <v>816</v>
      </c>
      <c r="AZ23" s="72" t="s">
        <v>2450</v>
      </c>
      <c r="BA23" s="50" t="s">
        <v>2451</v>
      </c>
      <c r="BC23" s="38">
        <f t="shared" si="16"/>
        <v>0</v>
      </c>
      <c r="BD23" s="38">
        <f t="shared" si="17"/>
        <v>0</v>
      </c>
      <c r="BE23" s="38">
        <v>0</v>
      </c>
      <c r="BF23" s="38">
        <f t="shared" si="18"/>
        <v>0</v>
      </c>
      <c r="BH23" s="38">
        <f t="shared" si="19"/>
        <v>0</v>
      </c>
      <c r="BI23" s="38">
        <f t="shared" si="20"/>
        <v>0</v>
      </c>
      <c r="BJ23" s="38">
        <f t="shared" si="21"/>
        <v>0</v>
      </c>
      <c r="BK23" s="38"/>
      <c r="BL23" s="38">
        <v>751</v>
      </c>
      <c r="BW23" s="38">
        <v>21</v>
      </c>
    </row>
    <row r="24" spans="1:75" ht="13.5" customHeight="1">
      <c r="A24" s="78" t="s">
        <v>191</v>
      </c>
      <c r="B24" s="79" t="s">
        <v>91</v>
      </c>
      <c r="C24" s="79" t="s">
        <v>2480</v>
      </c>
      <c r="D24" s="198" t="s">
        <v>2481</v>
      </c>
      <c r="E24" s="199"/>
      <c r="F24" s="79" t="s">
        <v>199</v>
      </c>
      <c r="G24" s="80">
        <f>'Stavební rozpočet'!G1306</f>
        <v>6</v>
      </c>
      <c r="H24" s="80">
        <f>'Stavební rozpočet'!H1306</f>
        <v>0</v>
      </c>
      <c r="I24" s="80">
        <f t="shared" si="0"/>
        <v>0</v>
      </c>
      <c r="J24" s="80">
        <f>'Stavební rozpočet'!J1306</f>
        <v>0</v>
      </c>
      <c r="K24" s="80">
        <f t="shared" si="1"/>
        <v>0</v>
      </c>
      <c r="L24" s="82" t="s">
        <v>207</v>
      </c>
      <c r="Z24" s="38">
        <f t="shared" si="2"/>
        <v>0</v>
      </c>
      <c r="AB24" s="38">
        <f t="shared" si="3"/>
        <v>0</v>
      </c>
      <c r="AC24" s="38">
        <f t="shared" si="4"/>
        <v>0</v>
      </c>
      <c r="AD24" s="38">
        <f t="shared" si="5"/>
        <v>0</v>
      </c>
      <c r="AE24" s="38">
        <f t="shared" si="6"/>
        <v>0</v>
      </c>
      <c r="AF24" s="38">
        <f t="shared" si="7"/>
        <v>0</v>
      </c>
      <c r="AG24" s="38">
        <f t="shared" si="8"/>
        <v>0</v>
      </c>
      <c r="AH24" s="38">
        <f t="shared" si="9"/>
        <v>0</v>
      </c>
      <c r="AI24" s="50" t="s">
        <v>91</v>
      </c>
      <c r="AJ24" s="80">
        <f t="shared" si="10"/>
        <v>0</v>
      </c>
      <c r="AK24" s="80">
        <f t="shared" si="11"/>
        <v>0</v>
      </c>
      <c r="AL24" s="80">
        <f t="shared" si="12"/>
        <v>0</v>
      </c>
      <c r="AN24" s="38">
        <v>21</v>
      </c>
      <c r="AO24" s="38">
        <f>H24*1</f>
        <v>0</v>
      </c>
      <c r="AP24" s="38">
        <f>H24*(1-1)</f>
        <v>0</v>
      </c>
      <c r="AQ24" s="83" t="s">
        <v>169</v>
      </c>
      <c r="AV24" s="38">
        <f t="shared" si="13"/>
        <v>0</v>
      </c>
      <c r="AW24" s="38">
        <f t="shared" si="14"/>
        <v>0</v>
      </c>
      <c r="AX24" s="38">
        <f t="shared" si="15"/>
        <v>0</v>
      </c>
      <c r="AY24" s="72" t="s">
        <v>816</v>
      </c>
      <c r="AZ24" s="72" t="s">
        <v>2450</v>
      </c>
      <c r="BA24" s="50" t="s">
        <v>2451</v>
      </c>
      <c r="BC24" s="38">
        <f t="shared" si="16"/>
        <v>0</v>
      </c>
      <c r="BD24" s="38">
        <f t="shared" si="17"/>
        <v>0</v>
      </c>
      <c r="BE24" s="38">
        <v>0</v>
      </c>
      <c r="BF24" s="38">
        <f t="shared" si="18"/>
        <v>0</v>
      </c>
      <c r="BH24" s="80">
        <f t="shared" si="19"/>
        <v>0</v>
      </c>
      <c r="BI24" s="80">
        <f t="shared" si="20"/>
        <v>0</v>
      </c>
      <c r="BJ24" s="80">
        <f t="shared" si="21"/>
        <v>0</v>
      </c>
      <c r="BK24" s="80"/>
      <c r="BL24" s="38">
        <v>751</v>
      </c>
      <c r="BW24" s="38">
        <v>21</v>
      </c>
    </row>
    <row r="25" spans="1:75" ht="13.5" customHeight="1">
      <c r="A25" s="1" t="s">
        <v>130</v>
      </c>
      <c r="B25" s="2" t="s">
        <v>91</v>
      </c>
      <c r="C25" s="2" t="s">
        <v>2483</v>
      </c>
      <c r="D25" s="108" t="s">
        <v>2484</v>
      </c>
      <c r="E25" s="103"/>
      <c r="F25" s="2" t="s">
        <v>199</v>
      </c>
      <c r="G25" s="38">
        <f>'Stavební rozpočet'!G1307</f>
        <v>1</v>
      </c>
      <c r="H25" s="38">
        <f>'Stavební rozpočet'!H1307</f>
        <v>0</v>
      </c>
      <c r="I25" s="38">
        <f t="shared" si="0"/>
        <v>0</v>
      </c>
      <c r="J25" s="38">
        <f>'Stavební rozpočet'!J1307</f>
        <v>0</v>
      </c>
      <c r="K25" s="38">
        <f t="shared" si="1"/>
        <v>0</v>
      </c>
      <c r="L25" s="71" t="s">
        <v>207</v>
      </c>
      <c r="Z25" s="38">
        <f t="shared" si="2"/>
        <v>0</v>
      </c>
      <c r="AB25" s="38">
        <f t="shared" si="3"/>
        <v>0</v>
      </c>
      <c r="AC25" s="38">
        <f t="shared" si="4"/>
        <v>0</v>
      </c>
      <c r="AD25" s="38">
        <f t="shared" si="5"/>
        <v>0</v>
      </c>
      <c r="AE25" s="38">
        <f t="shared" si="6"/>
        <v>0</v>
      </c>
      <c r="AF25" s="38">
        <f t="shared" si="7"/>
        <v>0</v>
      </c>
      <c r="AG25" s="38">
        <f t="shared" si="8"/>
        <v>0</v>
      </c>
      <c r="AH25" s="38">
        <f t="shared" si="9"/>
        <v>0</v>
      </c>
      <c r="AI25" s="50" t="s">
        <v>91</v>
      </c>
      <c r="AJ25" s="38">
        <f t="shared" si="10"/>
        <v>0</v>
      </c>
      <c r="AK25" s="38">
        <f t="shared" si="11"/>
        <v>0</v>
      </c>
      <c r="AL25" s="38">
        <f t="shared" si="12"/>
        <v>0</v>
      </c>
      <c r="AN25" s="38">
        <v>21</v>
      </c>
      <c r="AO25" s="38">
        <f>H25*0</f>
        <v>0</v>
      </c>
      <c r="AP25" s="38">
        <f>H25*(1-0)</f>
        <v>0</v>
      </c>
      <c r="AQ25" s="72" t="s">
        <v>169</v>
      </c>
      <c r="AV25" s="38">
        <f t="shared" si="13"/>
        <v>0</v>
      </c>
      <c r="AW25" s="38">
        <f t="shared" si="14"/>
        <v>0</v>
      </c>
      <c r="AX25" s="38">
        <f t="shared" si="15"/>
        <v>0</v>
      </c>
      <c r="AY25" s="72" t="s">
        <v>816</v>
      </c>
      <c r="AZ25" s="72" t="s">
        <v>2450</v>
      </c>
      <c r="BA25" s="50" t="s">
        <v>2451</v>
      </c>
      <c r="BC25" s="38">
        <f t="shared" si="16"/>
        <v>0</v>
      </c>
      <c r="BD25" s="38">
        <f t="shared" si="17"/>
        <v>0</v>
      </c>
      <c r="BE25" s="38">
        <v>0</v>
      </c>
      <c r="BF25" s="38">
        <f t="shared" si="18"/>
        <v>0</v>
      </c>
      <c r="BH25" s="38">
        <f t="shared" si="19"/>
        <v>0</v>
      </c>
      <c r="BI25" s="38">
        <f t="shared" si="20"/>
        <v>0</v>
      </c>
      <c r="BJ25" s="38">
        <f t="shared" si="21"/>
        <v>0</v>
      </c>
      <c r="BK25" s="38"/>
      <c r="BL25" s="38">
        <v>751</v>
      </c>
      <c r="BW25" s="38">
        <v>21</v>
      </c>
    </row>
    <row r="26" spans="1:75" ht="13.5" customHeight="1">
      <c r="A26" s="78" t="s">
        <v>147</v>
      </c>
      <c r="B26" s="79" t="s">
        <v>91</v>
      </c>
      <c r="C26" s="79" t="s">
        <v>2486</v>
      </c>
      <c r="D26" s="198" t="s">
        <v>2487</v>
      </c>
      <c r="E26" s="199"/>
      <c r="F26" s="79" t="s">
        <v>199</v>
      </c>
      <c r="G26" s="80">
        <f>'Stavební rozpočet'!G1308</f>
        <v>1</v>
      </c>
      <c r="H26" s="80">
        <f>'Stavební rozpočet'!H1308</f>
        <v>0</v>
      </c>
      <c r="I26" s="80">
        <f t="shared" si="0"/>
        <v>0</v>
      </c>
      <c r="J26" s="80">
        <f>'Stavební rozpočet'!J1308</f>
        <v>0</v>
      </c>
      <c r="K26" s="80">
        <f t="shared" si="1"/>
        <v>0</v>
      </c>
      <c r="L26" s="82" t="s">
        <v>207</v>
      </c>
      <c r="Z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0</v>
      </c>
      <c r="AF26" s="38">
        <f t="shared" si="7"/>
        <v>0</v>
      </c>
      <c r="AG26" s="38">
        <f t="shared" si="8"/>
        <v>0</v>
      </c>
      <c r="AH26" s="38">
        <f t="shared" si="9"/>
        <v>0</v>
      </c>
      <c r="AI26" s="50" t="s">
        <v>91</v>
      </c>
      <c r="AJ26" s="80">
        <f t="shared" si="10"/>
        <v>0</v>
      </c>
      <c r="AK26" s="80">
        <f t="shared" si="11"/>
        <v>0</v>
      </c>
      <c r="AL26" s="80">
        <f t="shared" si="12"/>
        <v>0</v>
      </c>
      <c r="AN26" s="38">
        <v>21</v>
      </c>
      <c r="AO26" s="38">
        <f>H26*1</f>
        <v>0</v>
      </c>
      <c r="AP26" s="38">
        <f>H26*(1-1)</f>
        <v>0</v>
      </c>
      <c r="AQ26" s="83" t="s">
        <v>169</v>
      </c>
      <c r="AV26" s="38">
        <f t="shared" si="13"/>
        <v>0</v>
      </c>
      <c r="AW26" s="38">
        <f t="shared" si="14"/>
        <v>0</v>
      </c>
      <c r="AX26" s="38">
        <f t="shared" si="15"/>
        <v>0</v>
      </c>
      <c r="AY26" s="72" t="s">
        <v>816</v>
      </c>
      <c r="AZ26" s="72" t="s">
        <v>2450</v>
      </c>
      <c r="BA26" s="50" t="s">
        <v>2451</v>
      </c>
      <c r="BC26" s="38">
        <f t="shared" si="16"/>
        <v>0</v>
      </c>
      <c r="BD26" s="38">
        <f t="shared" si="17"/>
        <v>0</v>
      </c>
      <c r="BE26" s="38">
        <v>0</v>
      </c>
      <c r="BF26" s="38">
        <f t="shared" si="18"/>
        <v>0</v>
      </c>
      <c r="BH26" s="80">
        <f t="shared" si="19"/>
        <v>0</v>
      </c>
      <c r="BI26" s="80">
        <f t="shared" si="20"/>
        <v>0</v>
      </c>
      <c r="BJ26" s="80">
        <f t="shared" si="21"/>
        <v>0</v>
      </c>
      <c r="BK26" s="80"/>
      <c r="BL26" s="38">
        <v>751</v>
      </c>
      <c r="BW26" s="38">
        <v>21</v>
      </c>
    </row>
    <row r="27" spans="1:75" ht="13.5" customHeight="1">
      <c r="A27" s="1" t="s">
        <v>211</v>
      </c>
      <c r="B27" s="2" t="s">
        <v>91</v>
      </c>
      <c r="C27" s="2" t="s">
        <v>2489</v>
      </c>
      <c r="D27" s="108" t="s">
        <v>2490</v>
      </c>
      <c r="E27" s="103"/>
      <c r="F27" s="2" t="s">
        <v>199</v>
      </c>
      <c r="G27" s="38">
        <f>'Stavební rozpočet'!G1309</f>
        <v>1</v>
      </c>
      <c r="H27" s="38">
        <f>'Stavební rozpočet'!H1309</f>
        <v>0</v>
      </c>
      <c r="I27" s="38">
        <f t="shared" si="0"/>
        <v>0</v>
      </c>
      <c r="J27" s="38">
        <f>'Stavební rozpočet'!J1309</f>
        <v>0</v>
      </c>
      <c r="K27" s="38">
        <f t="shared" si="1"/>
        <v>0</v>
      </c>
      <c r="L27" s="71" t="s">
        <v>207</v>
      </c>
      <c r="Z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0</v>
      </c>
      <c r="AE27" s="38">
        <f t="shared" si="6"/>
        <v>0</v>
      </c>
      <c r="AF27" s="38">
        <f t="shared" si="7"/>
        <v>0</v>
      </c>
      <c r="AG27" s="38">
        <f t="shared" si="8"/>
        <v>0</v>
      </c>
      <c r="AH27" s="38">
        <f t="shared" si="9"/>
        <v>0</v>
      </c>
      <c r="AI27" s="50" t="s">
        <v>91</v>
      </c>
      <c r="AJ27" s="38">
        <f t="shared" si="10"/>
        <v>0</v>
      </c>
      <c r="AK27" s="38">
        <f t="shared" si="11"/>
        <v>0</v>
      </c>
      <c r="AL27" s="38">
        <f t="shared" si="12"/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169</v>
      </c>
      <c r="AV27" s="38">
        <f t="shared" si="13"/>
        <v>0</v>
      </c>
      <c r="AW27" s="38">
        <f t="shared" si="14"/>
        <v>0</v>
      </c>
      <c r="AX27" s="38">
        <f t="shared" si="15"/>
        <v>0</v>
      </c>
      <c r="AY27" s="72" t="s">
        <v>816</v>
      </c>
      <c r="AZ27" s="72" t="s">
        <v>2450</v>
      </c>
      <c r="BA27" s="50" t="s">
        <v>2451</v>
      </c>
      <c r="BC27" s="38">
        <f t="shared" si="16"/>
        <v>0</v>
      </c>
      <c r="BD27" s="38">
        <f t="shared" si="17"/>
        <v>0</v>
      </c>
      <c r="BE27" s="38">
        <v>0</v>
      </c>
      <c r="BF27" s="38">
        <f t="shared" si="18"/>
        <v>0</v>
      </c>
      <c r="BH27" s="38">
        <f t="shared" si="19"/>
        <v>0</v>
      </c>
      <c r="BI27" s="38">
        <f t="shared" si="20"/>
        <v>0</v>
      </c>
      <c r="BJ27" s="38">
        <f t="shared" si="21"/>
        <v>0</v>
      </c>
      <c r="BK27" s="38"/>
      <c r="BL27" s="38">
        <v>751</v>
      </c>
      <c r="BW27" s="38">
        <v>21</v>
      </c>
    </row>
    <row r="28" spans="1:75" ht="13.5" customHeight="1">
      <c r="A28" s="78" t="s">
        <v>217</v>
      </c>
      <c r="B28" s="79" t="s">
        <v>91</v>
      </c>
      <c r="C28" s="79" t="s">
        <v>2492</v>
      </c>
      <c r="D28" s="198" t="s">
        <v>2493</v>
      </c>
      <c r="E28" s="199"/>
      <c r="F28" s="79" t="s">
        <v>199</v>
      </c>
      <c r="G28" s="80">
        <f>'Stavební rozpočet'!G1310</f>
        <v>1</v>
      </c>
      <c r="H28" s="80">
        <f>'Stavební rozpočet'!H1310</f>
        <v>0</v>
      </c>
      <c r="I28" s="80">
        <f t="shared" si="0"/>
        <v>0</v>
      </c>
      <c r="J28" s="80">
        <f>'Stavební rozpočet'!J1310</f>
        <v>0</v>
      </c>
      <c r="K28" s="80">
        <f t="shared" si="1"/>
        <v>0</v>
      </c>
      <c r="L28" s="82" t="s">
        <v>207</v>
      </c>
      <c r="Z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0</v>
      </c>
      <c r="AF28" s="38">
        <f t="shared" si="7"/>
        <v>0</v>
      </c>
      <c r="AG28" s="38">
        <f t="shared" si="8"/>
        <v>0</v>
      </c>
      <c r="AH28" s="38">
        <f t="shared" si="9"/>
        <v>0</v>
      </c>
      <c r="AI28" s="50" t="s">
        <v>91</v>
      </c>
      <c r="AJ28" s="80">
        <f t="shared" si="10"/>
        <v>0</v>
      </c>
      <c r="AK28" s="80">
        <f t="shared" si="11"/>
        <v>0</v>
      </c>
      <c r="AL28" s="80">
        <f t="shared" si="12"/>
        <v>0</v>
      </c>
      <c r="AN28" s="38">
        <v>21</v>
      </c>
      <c r="AO28" s="38">
        <f>H28*1</f>
        <v>0</v>
      </c>
      <c r="AP28" s="38">
        <f>H28*(1-1)</f>
        <v>0</v>
      </c>
      <c r="AQ28" s="83" t="s">
        <v>169</v>
      </c>
      <c r="AV28" s="38">
        <f t="shared" si="13"/>
        <v>0</v>
      </c>
      <c r="AW28" s="38">
        <f t="shared" si="14"/>
        <v>0</v>
      </c>
      <c r="AX28" s="38">
        <f t="shared" si="15"/>
        <v>0</v>
      </c>
      <c r="AY28" s="72" t="s">
        <v>816</v>
      </c>
      <c r="AZ28" s="72" t="s">
        <v>2450</v>
      </c>
      <c r="BA28" s="50" t="s">
        <v>2451</v>
      </c>
      <c r="BC28" s="38">
        <f t="shared" si="16"/>
        <v>0</v>
      </c>
      <c r="BD28" s="38">
        <f t="shared" si="17"/>
        <v>0</v>
      </c>
      <c r="BE28" s="38">
        <v>0</v>
      </c>
      <c r="BF28" s="38">
        <f t="shared" si="18"/>
        <v>0</v>
      </c>
      <c r="BH28" s="80">
        <f t="shared" si="19"/>
        <v>0</v>
      </c>
      <c r="BI28" s="80">
        <f t="shared" si="20"/>
        <v>0</v>
      </c>
      <c r="BJ28" s="80">
        <f t="shared" si="21"/>
        <v>0</v>
      </c>
      <c r="BK28" s="80"/>
      <c r="BL28" s="38">
        <v>751</v>
      </c>
      <c r="BW28" s="38">
        <v>21</v>
      </c>
    </row>
    <row r="29" spans="1:75" ht="13.5" customHeight="1">
      <c r="A29" s="1" t="s">
        <v>155</v>
      </c>
      <c r="B29" s="2" t="s">
        <v>91</v>
      </c>
      <c r="C29" s="2" t="s">
        <v>2495</v>
      </c>
      <c r="D29" s="108" t="s">
        <v>2496</v>
      </c>
      <c r="E29" s="103"/>
      <c r="F29" s="2" t="s">
        <v>199</v>
      </c>
      <c r="G29" s="38">
        <f>'Stavební rozpočet'!G1311</f>
        <v>5</v>
      </c>
      <c r="H29" s="38">
        <f>'Stavební rozpočet'!H1311</f>
        <v>0</v>
      </c>
      <c r="I29" s="38">
        <f t="shared" si="0"/>
        <v>0</v>
      </c>
      <c r="J29" s="38">
        <f>'Stavební rozpočet'!J1311</f>
        <v>0</v>
      </c>
      <c r="K29" s="38">
        <f t="shared" si="1"/>
        <v>0</v>
      </c>
      <c r="L29" s="71" t="s">
        <v>207</v>
      </c>
      <c r="Z29" s="38">
        <f t="shared" si="2"/>
        <v>0</v>
      </c>
      <c r="AB29" s="38">
        <f t="shared" si="3"/>
        <v>0</v>
      </c>
      <c r="AC29" s="38">
        <f t="shared" si="4"/>
        <v>0</v>
      </c>
      <c r="AD29" s="38">
        <f t="shared" si="5"/>
        <v>0</v>
      </c>
      <c r="AE29" s="38">
        <f t="shared" si="6"/>
        <v>0</v>
      </c>
      <c r="AF29" s="38">
        <f t="shared" si="7"/>
        <v>0</v>
      </c>
      <c r="AG29" s="38">
        <f t="shared" si="8"/>
        <v>0</v>
      </c>
      <c r="AH29" s="38">
        <f t="shared" si="9"/>
        <v>0</v>
      </c>
      <c r="AI29" s="50" t="s">
        <v>91</v>
      </c>
      <c r="AJ29" s="38">
        <f t="shared" si="10"/>
        <v>0</v>
      </c>
      <c r="AK29" s="38">
        <f t="shared" si="11"/>
        <v>0</v>
      </c>
      <c r="AL29" s="38">
        <f t="shared" si="12"/>
        <v>0</v>
      </c>
      <c r="AN29" s="38">
        <v>21</v>
      </c>
      <c r="AO29" s="38">
        <f>H29*0</f>
        <v>0</v>
      </c>
      <c r="AP29" s="38">
        <f>H29*(1-0)</f>
        <v>0</v>
      </c>
      <c r="AQ29" s="72" t="s">
        <v>169</v>
      </c>
      <c r="AV29" s="38">
        <f t="shared" si="13"/>
        <v>0</v>
      </c>
      <c r="AW29" s="38">
        <f t="shared" si="14"/>
        <v>0</v>
      </c>
      <c r="AX29" s="38">
        <f t="shared" si="15"/>
        <v>0</v>
      </c>
      <c r="AY29" s="72" t="s">
        <v>816</v>
      </c>
      <c r="AZ29" s="72" t="s">
        <v>2450</v>
      </c>
      <c r="BA29" s="50" t="s">
        <v>2451</v>
      </c>
      <c r="BC29" s="38">
        <f t="shared" si="16"/>
        <v>0</v>
      </c>
      <c r="BD29" s="38">
        <f t="shared" si="17"/>
        <v>0</v>
      </c>
      <c r="BE29" s="38">
        <v>0</v>
      </c>
      <c r="BF29" s="38">
        <f t="shared" si="18"/>
        <v>0</v>
      </c>
      <c r="BH29" s="38">
        <f t="shared" si="19"/>
        <v>0</v>
      </c>
      <c r="BI29" s="38">
        <f t="shared" si="20"/>
        <v>0</v>
      </c>
      <c r="BJ29" s="38">
        <f t="shared" si="21"/>
        <v>0</v>
      </c>
      <c r="BK29" s="38"/>
      <c r="BL29" s="38">
        <v>751</v>
      </c>
      <c r="BW29" s="38">
        <v>21</v>
      </c>
    </row>
    <row r="30" spans="1:75" ht="13.5" customHeight="1">
      <c r="A30" s="78" t="s">
        <v>178</v>
      </c>
      <c r="B30" s="79" t="s">
        <v>91</v>
      </c>
      <c r="C30" s="79" t="s">
        <v>2498</v>
      </c>
      <c r="D30" s="198" t="s">
        <v>2499</v>
      </c>
      <c r="E30" s="199"/>
      <c r="F30" s="79" t="s">
        <v>199</v>
      </c>
      <c r="G30" s="80">
        <f>'Stavební rozpočet'!G1312</f>
        <v>4</v>
      </c>
      <c r="H30" s="80">
        <f>'Stavební rozpočet'!H1312</f>
        <v>0</v>
      </c>
      <c r="I30" s="80">
        <f t="shared" si="0"/>
        <v>0</v>
      </c>
      <c r="J30" s="80">
        <f>'Stavební rozpočet'!J1312</f>
        <v>0</v>
      </c>
      <c r="K30" s="80">
        <f t="shared" si="1"/>
        <v>0</v>
      </c>
      <c r="L30" s="82" t="s">
        <v>207</v>
      </c>
      <c r="Z30" s="38">
        <f t="shared" si="2"/>
        <v>0</v>
      </c>
      <c r="AB30" s="38">
        <f t="shared" si="3"/>
        <v>0</v>
      </c>
      <c r="AC30" s="38">
        <f t="shared" si="4"/>
        <v>0</v>
      </c>
      <c r="AD30" s="38">
        <f t="shared" si="5"/>
        <v>0</v>
      </c>
      <c r="AE30" s="38">
        <f t="shared" si="6"/>
        <v>0</v>
      </c>
      <c r="AF30" s="38">
        <f t="shared" si="7"/>
        <v>0</v>
      </c>
      <c r="AG30" s="38">
        <f t="shared" si="8"/>
        <v>0</v>
      </c>
      <c r="AH30" s="38">
        <f t="shared" si="9"/>
        <v>0</v>
      </c>
      <c r="AI30" s="50" t="s">
        <v>91</v>
      </c>
      <c r="AJ30" s="80">
        <f t="shared" si="10"/>
        <v>0</v>
      </c>
      <c r="AK30" s="80">
        <f t="shared" si="11"/>
        <v>0</v>
      </c>
      <c r="AL30" s="80">
        <f t="shared" si="12"/>
        <v>0</v>
      </c>
      <c r="AN30" s="38">
        <v>21</v>
      </c>
      <c r="AO30" s="38">
        <f>H30*1</f>
        <v>0</v>
      </c>
      <c r="AP30" s="38">
        <f>H30*(1-1)</f>
        <v>0</v>
      </c>
      <c r="AQ30" s="83" t="s">
        <v>169</v>
      </c>
      <c r="AV30" s="38">
        <f t="shared" si="13"/>
        <v>0</v>
      </c>
      <c r="AW30" s="38">
        <f t="shared" si="14"/>
        <v>0</v>
      </c>
      <c r="AX30" s="38">
        <f t="shared" si="15"/>
        <v>0</v>
      </c>
      <c r="AY30" s="72" t="s">
        <v>816</v>
      </c>
      <c r="AZ30" s="72" t="s">
        <v>2450</v>
      </c>
      <c r="BA30" s="50" t="s">
        <v>2451</v>
      </c>
      <c r="BC30" s="38">
        <f t="shared" si="16"/>
        <v>0</v>
      </c>
      <c r="BD30" s="38">
        <f t="shared" si="17"/>
        <v>0</v>
      </c>
      <c r="BE30" s="38">
        <v>0</v>
      </c>
      <c r="BF30" s="38">
        <f t="shared" si="18"/>
        <v>0</v>
      </c>
      <c r="BH30" s="80">
        <f t="shared" si="19"/>
        <v>0</v>
      </c>
      <c r="BI30" s="80">
        <f t="shared" si="20"/>
        <v>0</v>
      </c>
      <c r="BJ30" s="80">
        <f t="shared" si="21"/>
        <v>0</v>
      </c>
      <c r="BK30" s="80"/>
      <c r="BL30" s="38">
        <v>751</v>
      </c>
      <c r="BW30" s="38">
        <v>21</v>
      </c>
    </row>
    <row r="31" spans="1:75" ht="13.5" customHeight="1">
      <c r="A31" s="78" t="s">
        <v>241</v>
      </c>
      <c r="B31" s="79" t="s">
        <v>91</v>
      </c>
      <c r="C31" s="79" t="s">
        <v>2501</v>
      </c>
      <c r="D31" s="198" t="s">
        <v>2502</v>
      </c>
      <c r="E31" s="199"/>
      <c r="F31" s="79" t="s">
        <v>199</v>
      </c>
      <c r="G31" s="80">
        <f>'Stavební rozpočet'!G1313</f>
        <v>1</v>
      </c>
      <c r="H31" s="80">
        <f>'Stavební rozpočet'!H1313</f>
        <v>0</v>
      </c>
      <c r="I31" s="80">
        <f t="shared" si="0"/>
        <v>0</v>
      </c>
      <c r="J31" s="80">
        <f>'Stavební rozpočet'!J1313</f>
        <v>0</v>
      </c>
      <c r="K31" s="80">
        <f t="shared" si="1"/>
        <v>0</v>
      </c>
      <c r="L31" s="82" t="s">
        <v>207</v>
      </c>
      <c r="Z31" s="38">
        <f t="shared" si="2"/>
        <v>0</v>
      </c>
      <c r="AB31" s="38">
        <f t="shared" si="3"/>
        <v>0</v>
      </c>
      <c r="AC31" s="38">
        <f t="shared" si="4"/>
        <v>0</v>
      </c>
      <c r="AD31" s="38">
        <f t="shared" si="5"/>
        <v>0</v>
      </c>
      <c r="AE31" s="38">
        <f t="shared" si="6"/>
        <v>0</v>
      </c>
      <c r="AF31" s="38">
        <f t="shared" si="7"/>
        <v>0</v>
      </c>
      <c r="AG31" s="38">
        <f t="shared" si="8"/>
        <v>0</v>
      </c>
      <c r="AH31" s="38">
        <f t="shared" si="9"/>
        <v>0</v>
      </c>
      <c r="AI31" s="50" t="s">
        <v>91</v>
      </c>
      <c r="AJ31" s="80">
        <f t="shared" si="10"/>
        <v>0</v>
      </c>
      <c r="AK31" s="80">
        <f t="shared" si="11"/>
        <v>0</v>
      </c>
      <c r="AL31" s="80">
        <f t="shared" si="12"/>
        <v>0</v>
      </c>
      <c r="AN31" s="38">
        <v>21</v>
      </c>
      <c r="AO31" s="38">
        <f>H31*1</f>
        <v>0</v>
      </c>
      <c r="AP31" s="38">
        <f>H31*(1-1)</f>
        <v>0</v>
      </c>
      <c r="AQ31" s="83" t="s">
        <v>169</v>
      </c>
      <c r="AV31" s="38">
        <f t="shared" si="13"/>
        <v>0</v>
      </c>
      <c r="AW31" s="38">
        <f t="shared" si="14"/>
        <v>0</v>
      </c>
      <c r="AX31" s="38">
        <f t="shared" si="15"/>
        <v>0</v>
      </c>
      <c r="AY31" s="72" t="s">
        <v>816</v>
      </c>
      <c r="AZ31" s="72" t="s">
        <v>2450</v>
      </c>
      <c r="BA31" s="50" t="s">
        <v>2451</v>
      </c>
      <c r="BC31" s="38">
        <f t="shared" si="16"/>
        <v>0</v>
      </c>
      <c r="BD31" s="38">
        <f t="shared" si="17"/>
        <v>0</v>
      </c>
      <c r="BE31" s="38">
        <v>0</v>
      </c>
      <c r="BF31" s="38">
        <f t="shared" si="18"/>
        <v>0</v>
      </c>
      <c r="BH31" s="80">
        <f t="shared" si="19"/>
        <v>0</v>
      </c>
      <c r="BI31" s="80">
        <f t="shared" si="20"/>
        <v>0</v>
      </c>
      <c r="BJ31" s="80">
        <f t="shared" si="21"/>
        <v>0</v>
      </c>
      <c r="BK31" s="80"/>
      <c r="BL31" s="38">
        <v>751</v>
      </c>
      <c r="BW31" s="38">
        <v>21</v>
      </c>
    </row>
    <row r="32" spans="1:75" ht="13.5" customHeight="1">
      <c r="A32" s="1" t="s">
        <v>246</v>
      </c>
      <c r="B32" s="2" t="s">
        <v>91</v>
      </c>
      <c r="C32" s="2" t="s">
        <v>2504</v>
      </c>
      <c r="D32" s="108" t="s">
        <v>2505</v>
      </c>
      <c r="E32" s="103"/>
      <c r="F32" s="2" t="s">
        <v>199</v>
      </c>
      <c r="G32" s="38">
        <f>'Stavební rozpočet'!G1314</f>
        <v>2</v>
      </c>
      <c r="H32" s="38">
        <f>'Stavební rozpočet'!H1314</f>
        <v>0</v>
      </c>
      <c r="I32" s="38">
        <f t="shared" si="0"/>
        <v>0</v>
      </c>
      <c r="J32" s="38">
        <f>'Stavební rozpočet'!J1314</f>
        <v>0</v>
      </c>
      <c r="K32" s="38">
        <f t="shared" si="1"/>
        <v>0</v>
      </c>
      <c r="L32" s="71" t="s">
        <v>207</v>
      </c>
      <c r="Z32" s="38">
        <f t="shared" si="2"/>
        <v>0</v>
      </c>
      <c r="AB32" s="38">
        <f t="shared" si="3"/>
        <v>0</v>
      </c>
      <c r="AC32" s="38">
        <f t="shared" si="4"/>
        <v>0</v>
      </c>
      <c r="AD32" s="38">
        <f t="shared" si="5"/>
        <v>0</v>
      </c>
      <c r="AE32" s="38">
        <f t="shared" si="6"/>
        <v>0</v>
      </c>
      <c r="AF32" s="38">
        <f t="shared" si="7"/>
        <v>0</v>
      </c>
      <c r="AG32" s="38">
        <f t="shared" si="8"/>
        <v>0</v>
      </c>
      <c r="AH32" s="38">
        <f t="shared" si="9"/>
        <v>0</v>
      </c>
      <c r="AI32" s="50" t="s">
        <v>91</v>
      </c>
      <c r="AJ32" s="38">
        <f t="shared" si="10"/>
        <v>0</v>
      </c>
      <c r="AK32" s="38">
        <f t="shared" si="11"/>
        <v>0</v>
      </c>
      <c r="AL32" s="38">
        <f t="shared" si="12"/>
        <v>0</v>
      </c>
      <c r="AN32" s="38">
        <v>21</v>
      </c>
      <c r="AO32" s="38">
        <f>H32*0</f>
        <v>0</v>
      </c>
      <c r="AP32" s="38">
        <f>H32*(1-0)</f>
        <v>0</v>
      </c>
      <c r="AQ32" s="72" t="s">
        <v>169</v>
      </c>
      <c r="AV32" s="38">
        <f t="shared" si="13"/>
        <v>0</v>
      </c>
      <c r="AW32" s="38">
        <f t="shared" si="14"/>
        <v>0</v>
      </c>
      <c r="AX32" s="38">
        <f t="shared" si="15"/>
        <v>0</v>
      </c>
      <c r="AY32" s="72" t="s">
        <v>816</v>
      </c>
      <c r="AZ32" s="72" t="s">
        <v>2450</v>
      </c>
      <c r="BA32" s="50" t="s">
        <v>2451</v>
      </c>
      <c r="BC32" s="38">
        <f t="shared" si="16"/>
        <v>0</v>
      </c>
      <c r="BD32" s="38">
        <f t="shared" si="17"/>
        <v>0</v>
      </c>
      <c r="BE32" s="38">
        <v>0</v>
      </c>
      <c r="BF32" s="38">
        <f t="shared" si="18"/>
        <v>0</v>
      </c>
      <c r="BH32" s="38">
        <f t="shared" si="19"/>
        <v>0</v>
      </c>
      <c r="BI32" s="38">
        <f t="shared" si="20"/>
        <v>0</v>
      </c>
      <c r="BJ32" s="38">
        <f t="shared" si="21"/>
        <v>0</v>
      </c>
      <c r="BK32" s="38"/>
      <c r="BL32" s="38">
        <v>751</v>
      </c>
      <c r="BW32" s="38">
        <v>21</v>
      </c>
    </row>
    <row r="33" spans="1:75" ht="13.5" customHeight="1">
      <c r="A33" s="78" t="s">
        <v>255</v>
      </c>
      <c r="B33" s="79" t="s">
        <v>91</v>
      </c>
      <c r="C33" s="79" t="s">
        <v>2507</v>
      </c>
      <c r="D33" s="198" t="s">
        <v>2508</v>
      </c>
      <c r="E33" s="199"/>
      <c r="F33" s="79" t="s">
        <v>199</v>
      </c>
      <c r="G33" s="80">
        <f>'Stavební rozpočet'!G1315</f>
        <v>4</v>
      </c>
      <c r="H33" s="80">
        <f>'Stavební rozpočet'!H1315</f>
        <v>0</v>
      </c>
      <c r="I33" s="80">
        <f t="shared" si="0"/>
        <v>0</v>
      </c>
      <c r="J33" s="80">
        <f>'Stavební rozpočet'!J1315</f>
        <v>0</v>
      </c>
      <c r="K33" s="80">
        <f t="shared" si="1"/>
        <v>0</v>
      </c>
      <c r="L33" s="82" t="s">
        <v>207</v>
      </c>
      <c r="Z33" s="38">
        <f t="shared" si="2"/>
        <v>0</v>
      </c>
      <c r="AB33" s="38">
        <f t="shared" si="3"/>
        <v>0</v>
      </c>
      <c r="AC33" s="38">
        <f t="shared" si="4"/>
        <v>0</v>
      </c>
      <c r="AD33" s="38">
        <f t="shared" si="5"/>
        <v>0</v>
      </c>
      <c r="AE33" s="38">
        <f t="shared" si="6"/>
        <v>0</v>
      </c>
      <c r="AF33" s="38">
        <f t="shared" si="7"/>
        <v>0</v>
      </c>
      <c r="AG33" s="38">
        <f t="shared" si="8"/>
        <v>0</v>
      </c>
      <c r="AH33" s="38">
        <f t="shared" si="9"/>
        <v>0</v>
      </c>
      <c r="AI33" s="50" t="s">
        <v>91</v>
      </c>
      <c r="AJ33" s="80">
        <f t="shared" si="10"/>
        <v>0</v>
      </c>
      <c r="AK33" s="80">
        <f t="shared" si="11"/>
        <v>0</v>
      </c>
      <c r="AL33" s="80">
        <f t="shared" si="12"/>
        <v>0</v>
      </c>
      <c r="AN33" s="38">
        <v>21</v>
      </c>
      <c r="AO33" s="38">
        <f>H33*1</f>
        <v>0</v>
      </c>
      <c r="AP33" s="38">
        <f>H33*(1-1)</f>
        <v>0</v>
      </c>
      <c r="AQ33" s="83" t="s">
        <v>169</v>
      </c>
      <c r="AV33" s="38">
        <f t="shared" si="13"/>
        <v>0</v>
      </c>
      <c r="AW33" s="38">
        <f t="shared" si="14"/>
        <v>0</v>
      </c>
      <c r="AX33" s="38">
        <f t="shared" si="15"/>
        <v>0</v>
      </c>
      <c r="AY33" s="72" t="s">
        <v>816</v>
      </c>
      <c r="AZ33" s="72" t="s">
        <v>2450</v>
      </c>
      <c r="BA33" s="50" t="s">
        <v>2451</v>
      </c>
      <c r="BC33" s="38">
        <f t="shared" si="16"/>
        <v>0</v>
      </c>
      <c r="BD33" s="38">
        <f t="shared" si="17"/>
        <v>0</v>
      </c>
      <c r="BE33" s="38">
        <v>0</v>
      </c>
      <c r="BF33" s="38">
        <f t="shared" si="18"/>
        <v>0</v>
      </c>
      <c r="BH33" s="80">
        <f t="shared" si="19"/>
        <v>0</v>
      </c>
      <c r="BI33" s="80">
        <f t="shared" si="20"/>
        <v>0</v>
      </c>
      <c r="BJ33" s="80">
        <f t="shared" si="21"/>
        <v>0</v>
      </c>
      <c r="BK33" s="80"/>
      <c r="BL33" s="38">
        <v>751</v>
      </c>
      <c r="BW33" s="38">
        <v>21</v>
      </c>
    </row>
    <row r="34" spans="1:75" ht="13.5" customHeight="1">
      <c r="A34" s="1" t="s">
        <v>260</v>
      </c>
      <c r="B34" s="2" t="s">
        <v>91</v>
      </c>
      <c r="C34" s="2" t="s">
        <v>2510</v>
      </c>
      <c r="D34" s="108" t="s">
        <v>2511</v>
      </c>
      <c r="E34" s="103"/>
      <c r="F34" s="2" t="s">
        <v>199</v>
      </c>
      <c r="G34" s="38">
        <f>'Stavební rozpočet'!G1316</f>
        <v>1</v>
      </c>
      <c r="H34" s="38">
        <f>'Stavební rozpočet'!H1316</f>
        <v>0</v>
      </c>
      <c r="I34" s="38">
        <f t="shared" si="0"/>
        <v>0</v>
      </c>
      <c r="J34" s="38">
        <f>'Stavební rozpočet'!J1316</f>
        <v>0</v>
      </c>
      <c r="K34" s="38">
        <f t="shared" si="1"/>
        <v>0</v>
      </c>
      <c r="L34" s="71" t="s">
        <v>207</v>
      </c>
      <c r="Z34" s="38">
        <f t="shared" si="2"/>
        <v>0</v>
      </c>
      <c r="AB34" s="38">
        <f t="shared" si="3"/>
        <v>0</v>
      </c>
      <c r="AC34" s="38">
        <f t="shared" si="4"/>
        <v>0</v>
      </c>
      <c r="AD34" s="38">
        <f t="shared" si="5"/>
        <v>0</v>
      </c>
      <c r="AE34" s="38">
        <f t="shared" si="6"/>
        <v>0</v>
      </c>
      <c r="AF34" s="38">
        <f t="shared" si="7"/>
        <v>0</v>
      </c>
      <c r="AG34" s="38">
        <f t="shared" si="8"/>
        <v>0</v>
      </c>
      <c r="AH34" s="38">
        <f t="shared" si="9"/>
        <v>0</v>
      </c>
      <c r="AI34" s="50" t="s">
        <v>91</v>
      </c>
      <c r="AJ34" s="38">
        <f t="shared" si="10"/>
        <v>0</v>
      </c>
      <c r="AK34" s="38">
        <f t="shared" si="11"/>
        <v>0</v>
      </c>
      <c r="AL34" s="38">
        <f t="shared" si="12"/>
        <v>0</v>
      </c>
      <c r="AN34" s="38">
        <v>21</v>
      </c>
      <c r="AO34" s="38">
        <f>H34*0</f>
        <v>0</v>
      </c>
      <c r="AP34" s="38">
        <f>H34*(1-0)</f>
        <v>0</v>
      </c>
      <c r="AQ34" s="72" t="s">
        <v>169</v>
      </c>
      <c r="AV34" s="38">
        <f t="shared" si="13"/>
        <v>0</v>
      </c>
      <c r="AW34" s="38">
        <f t="shared" si="14"/>
        <v>0</v>
      </c>
      <c r="AX34" s="38">
        <f t="shared" si="15"/>
        <v>0</v>
      </c>
      <c r="AY34" s="72" t="s">
        <v>816</v>
      </c>
      <c r="AZ34" s="72" t="s">
        <v>2450</v>
      </c>
      <c r="BA34" s="50" t="s">
        <v>2451</v>
      </c>
      <c r="BC34" s="38">
        <f t="shared" si="16"/>
        <v>0</v>
      </c>
      <c r="BD34" s="38">
        <f t="shared" si="17"/>
        <v>0</v>
      </c>
      <c r="BE34" s="38">
        <v>0</v>
      </c>
      <c r="BF34" s="38">
        <f t="shared" si="18"/>
        <v>0</v>
      </c>
      <c r="BH34" s="38">
        <f t="shared" si="19"/>
        <v>0</v>
      </c>
      <c r="BI34" s="38">
        <f t="shared" si="20"/>
        <v>0</v>
      </c>
      <c r="BJ34" s="38">
        <f t="shared" si="21"/>
        <v>0</v>
      </c>
      <c r="BK34" s="38"/>
      <c r="BL34" s="38">
        <v>751</v>
      </c>
      <c r="BW34" s="38">
        <v>21</v>
      </c>
    </row>
    <row r="35" spans="1:75" ht="13.5" customHeight="1">
      <c r="A35" s="78" t="s">
        <v>267</v>
      </c>
      <c r="B35" s="79" t="s">
        <v>91</v>
      </c>
      <c r="C35" s="79" t="s">
        <v>2513</v>
      </c>
      <c r="D35" s="198" t="s">
        <v>2514</v>
      </c>
      <c r="E35" s="199"/>
      <c r="F35" s="79" t="s">
        <v>199</v>
      </c>
      <c r="G35" s="80">
        <f>'Stavební rozpočet'!G1317</f>
        <v>1</v>
      </c>
      <c r="H35" s="80">
        <f>'Stavební rozpočet'!H1317</f>
        <v>0</v>
      </c>
      <c r="I35" s="80">
        <f t="shared" si="0"/>
        <v>0</v>
      </c>
      <c r="J35" s="80">
        <f>'Stavební rozpočet'!J1317</f>
        <v>0</v>
      </c>
      <c r="K35" s="80">
        <f t="shared" si="1"/>
        <v>0</v>
      </c>
      <c r="L35" s="82" t="s">
        <v>207</v>
      </c>
      <c r="Z35" s="38">
        <f t="shared" si="2"/>
        <v>0</v>
      </c>
      <c r="AB35" s="38">
        <f t="shared" si="3"/>
        <v>0</v>
      </c>
      <c r="AC35" s="38">
        <f t="shared" si="4"/>
        <v>0</v>
      </c>
      <c r="AD35" s="38">
        <f t="shared" si="5"/>
        <v>0</v>
      </c>
      <c r="AE35" s="38">
        <f t="shared" si="6"/>
        <v>0</v>
      </c>
      <c r="AF35" s="38">
        <f t="shared" si="7"/>
        <v>0</v>
      </c>
      <c r="AG35" s="38">
        <f t="shared" si="8"/>
        <v>0</v>
      </c>
      <c r="AH35" s="38">
        <f t="shared" si="9"/>
        <v>0</v>
      </c>
      <c r="AI35" s="50" t="s">
        <v>91</v>
      </c>
      <c r="AJ35" s="80">
        <f t="shared" si="10"/>
        <v>0</v>
      </c>
      <c r="AK35" s="80">
        <f t="shared" si="11"/>
        <v>0</v>
      </c>
      <c r="AL35" s="80">
        <f t="shared" si="12"/>
        <v>0</v>
      </c>
      <c r="AN35" s="38">
        <v>21</v>
      </c>
      <c r="AO35" s="38">
        <f>H35*1</f>
        <v>0</v>
      </c>
      <c r="AP35" s="38">
        <f>H35*(1-1)</f>
        <v>0</v>
      </c>
      <c r="AQ35" s="83" t="s">
        <v>169</v>
      </c>
      <c r="AV35" s="38">
        <f t="shared" si="13"/>
        <v>0</v>
      </c>
      <c r="AW35" s="38">
        <f t="shared" si="14"/>
        <v>0</v>
      </c>
      <c r="AX35" s="38">
        <f t="shared" si="15"/>
        <v>0</v>
      </c>
      <c r="AY35" s="72" t="s">
        <v>816</v>
      </c>
      <c r="AZ35" s="72" t="s">
        <v>2450</v>
      </c>
      <c r="BA35" s="50" t="s">
        <v>2451</v>
      </c>
      <c r="BC35" s="38">
        <f t="shared" si="16"/>
        <v>0</v>
      </c>
      <c r="BD35" s="38">
        <f t="shared" si="17"/>
        <v>0</v>
      </c>
      <c r="BE35" s="38">
        <v>0</v>
      </c>
      <c r="BF35" s="38">
        <f t="shared" si="18"/>
        <v>0</v>
      </c>
      <c r="BH35" s="80">
        <f t="shared" si="19"/>
        <v>0</v>
      </c>
      <c r="BI35" s="80">
        <f t="shared" si="20"/>
        <v>0</v>
      </c>
      <c r="BJ35" s="80">
        <f t="shared" si="21"/>
        <v>0</v>
      </c>
      <c r="BK35" s="80"/>
      <c r="BL35" s="38">
        <v>751</v>
      </c>
      <c r="BW35" s="38">
        <v>21</v>
      </c>
    </row>
    <row r="36" spans="1:75" ht="13.5" customHeight="1">
      <c r="A36" s="1" t="s">
        <v>272</v>
      </c>
      <c r="B36" s="2" t="s">
        <v>91</v>
      </c>
      <c r="C36" s="2" t="s">
        <v>2516</v>
      </c>
      <c r="D36" s="108" t="s">
        <v>2517</v>
      </c>
      <c r="E36" s="103"/>
      <c r="F36" s="2" t="s">
        <v>214</v>
      </c>
      <c r="G36" s="38">
        <f>'Stavební rozpočet'!G1318</f>
        <v>35</v>
      </c>
      <c r="H36" s="38">
        <f>'Stavební rozpočet'!H1318</f>
        <v>0</v>
      </c>
      <c r="I36" s="38">
        <f t="shared" si="0"/>
        <v>0</v>
      </c>
      <c r="J36" s="38">
        <f>'Stavební rozpočet'!J1318</f>
        <v>0</v>
      </c>
      <c r="K36" s="38">
        <f t="shared" si="1"/>
        <v>0</v>
      </c>
      <c r="L36" s="71" t="s">
        <v>207</v>
      </c>
      <c r="Z36" s="38">
        <f t="shared" si="2"/>
        <v>0</v>
      </c>
      <c r="AB36" s="38">
        <f t="shared" si="3"/>
        <v>0</v>
      </c>
      <c r="AC36" s="38">
        <f t="shared" si="4"/>
        <v>0</v>
      </c>
      <c r="AD36" s="38">
        <f t="shared" si="5"/>
        <v>0</v>
      </c>
      <c r="AE36" s="38">
        <f t="shared" si="6"/>
        <v>0</v>
      </c>
      <c r="AF36" s="38">
        <f t="shared" si="7"/>
        <v>0</v>
      </c>
      <c r="AG36" s="38">
        <f t="shared" si="8"/>
        <v>0</v>
      </c>
      <c r="AH36" s="38">
        <f t="shared" si="9"/>
        <v>0</v>
      </c>
      <c r="AI36" s="50" t="s">
        <v>91</v>
      </c>
      <c r="AJ36" s="38">
        <f t="shared" si="10"/>
        <v>0</v>
      </c>
      <c r="AK36" s="38">
        <f t="shared" si="11"/>
        <v>0</v>
      </c>
      <c r="AL36" s="38">
        <f t="shared" si="12"/>
        <v>0</v>
      </c>
      <c r="AN36" s="38">
        <v>21</v>
      </c>
      <c r="AO36" s="38">
        <f>H36*0</f>
        <v>0</v>
      </c>
      <c r="AP36" s="38">
        <f>H36*(1-0)</f>
        <v>0</v>
      </c>
      <c r="AQ36" s="72" t="s">
        <v>169</v>
      </c>
      <c r="AV36" s="38">
        <f t="shared" si="13"/>
        <v>0</v>
      </c>
      <c r="AW36" s="38">
        <f t="shared" si="14"/>
        <v>0</v>
      </c>
      <c r="AX36" s="38">
        <f t="shared" si="15"/>
        <v>0</v>
      </c>
      <c r="AY36" s="72" t="s">
        <v>816</v>
      </c>
      <c r="AZ36" s="72" t="s">
        <v>2450</v>
      </c>
      <c r="BA36" s="50" t="s">
        <v>2451</v>
      </c>
      <c r="BC36" s="38">
        <f t="shared" si="16"/>
        <v>0</v>
      </c>
      <c r="BD36" s="38">
        <f t="shared" si="17"/>
        <v>0</v>
      </c>
      <c r="BE36" s="38">
        <v>0</v>
      </c>
      <c r="BF36" s="38">
        <f t="shared" si="18"/>
        <v>0</v>
      </c>
      <c r="BH36" s="38">
        <f t="shared" si="19"/>
        <v>0</v>
      </c>
      <c r="BI36" s="38">
        <f t="shared" si="20"/>
        <v>0</v>
      </c>
      <c r="BJ36" s="38">
        <f t="shared" si="21"/>
        <v>0</v>
      </c>
      <c r="BK36" s="38"/>
      <c r="BL36" s="38">
        <v>751</v>
      </c>
      <c r="BW36" s="38">
        <v>21</v>
      </c>
    </row>
    <row r="37" spans="1:75" ht="27" customHeight="1">
      <c r="A37" s="1" t="s">
        <v>276</v>
      </c>
      <c r="B37" s="2" t="s">
        <v>91</v>
      </c>
      <c r="C37" s="2" t="s">
        <v>2519</v>
      </c>
      <c r="D37" s="108" t="s">
        <v>2520</v>
      </c>
      <c r="E37" s="103"/>
      <c r="F37" s="2" t="s">
        <v>214</v>
      </c>
      <c r="G37" s="38">
        <f>'Stavební rozpočet'!G1319</f>
        <v>22</v>
      </c>
      <c r="H37" s="38">
        <f>'Stavební rozpočet'!H1319</f>
        <v>0</v>
      </c>
      <c r="I37" s="38">
        <f t="shared" si="0"/>
        <v>0</v>
      </c>
      <c r="J37" s="38">
        <f>'Stavební rozpočet'!J1319</f>
        <v>0</v>
      </c>
      <c r="K37" s="38">
        <f t="shared" si="1"/>
        <v>0</v>
      </c>
      <c r="L37" s="71" t="s">
        <v>207</v>
      </c>
      <c r="Z37" s="38">
        <f t="shared" si="2"/>
        <v>0</v>
      </c>
      <c r="AB37" s="38">
        <f t="shared" si="3"/>
        <v>0</v>
      </c>
      <c r="AC37" s="38">
        <f t="shared" si="4"/>
        <v>0</v>
      </c>
      <c r="AD37" s="38">
        <f t="shared" si="5"/>
        <v>0</v>
      </c>
      <c r="AE37" s="38">
        <f t="shared" si="6"/>
        <v>0</v>
      </c>
      <c r="AF37" s="38">
        <f t="shared" si="7"/>
        <v>0</v>
      </c>
      <c r="AG37" s="38">
        <f t="shared" si="8"/>
        <v>0</v>
      </c>
      <c r="AH37" s="38">
        <f t="shared" si="9"/>
        <v>0</v>
      </c>
      <c r="AI37" s="50" t="s">
        <v>91</v>
      </c>
      <c r="AJ37" s="38">
        <f t="shared" si="10"/>
        <v>0</v>
      </c>
      <c r="AK37" s="38">
        <f t="shared" si="11"/>
        <v>0</v>
      </c>
      <c r="AL37" s="38">
        <f t="shared" si="12"/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169</v>
      </c>
      <c r="AV37" s="38">
        <f t="shared" si="13"/>
        <v>0</v>
      </c>
      <c r="AW37" s="38">
        <f t="shared" si="14"/>
        <v>0</v>
      </c>
      <c r="AX37" s="38">
        <f t="shared" si="15"/>
        <v>0</v>
      </c>
      <c r="AY37" s="72" t="s">
        <v>816</v>
      </c>
      <c r="AZ37" s="72" t="s">
        <v>2450</v>
      </c>
      <c r="BA37" s="50" t="s">
        <v>2451</v>
      </c>
      <c r="BC37" s="38">
        <f t="shared" si="16"/>
        <v>0</v>
      </c>
      <c r="BD37" s="38">
        <f t="shared" si="17"/>
        <v>0</v>
      </c>
      <c r="BE37" s="38">
        <v>0</v>
      </c>
      <c r="BF37" s="38">
        <f t="shared" si="18"/>
        <v>0</v>
      </c>
      <c r="BH37" s="38">
        <f t="shared" si="19"/>
        <v>0</v>
      </c>
      <c r="BI37" s="38">
        <f t="shared" si="20"/>
        <v>0</v>
      </c>
      <c r="BJ37" s="38">
        <f t="shared" si="21"/>
        <v>0</v>
      </c>
      <c r="BK37" s="38"/>
      <c r="BL37" s="38">
        <v>751</v>
      </c>
      <c r="BW37" s="38">
        <v>21</v>
      </c>
    </row>
    <row r="38" spans="1:75" ht="13.5" customHeight="1">
      <c r="A38" s="78" t="s">
        <v>280</v>
      </c>
      <c r="B38" s="79" t="s">
        <v>91</v>
      </c>
      <c r="C38" s="79" t="s">
        <v>2522</v>
      </c>
      <c r="D38" s="198" t="s">
        <v>2523</v>
      </c>
      <c r="E38" s="199"/>
      <c r="F38" s="79" t="s">
        <v>1097</v>
      </c>
      <c r="G38" s="80">
        <f>'Stavební rozpočet'!G1320</f>
        <v>3</v>
      </c>
      <c r="H38" s="80">
        <f>'Stavební rozpočet'!H1320</f>
        <v>0</v>
      </c>
      <c r="I38" s="80">
        <f t="shared" si="0"/>
        <v>0</v>
      </c>
      <c r="J38" s="80">
        <f>'Stavební rozpočet'!J1320</f>
        <v>0</v>
      </c>
      <c r="K38" s="80">
        <f t="shared" si="1"/>
        <v>0</v>
      </c>
      <c r="L38" s="82" t="s">
        <v>207</v>
      </c>
      <c r="Z38" s="38">
        <f t="shared" si="2"/>
        <v>0</v>
      </c>
      <c r="AB38" s="38">
        <f t="shared" si="3"/>
        <v>0</v>
      </c>
      <c r="AC38" s="38">
        <f t="shared" si="4"/>
        <v>0</v>
      </c>
      <c r="AD38" s="38">
        <f t="shared" si="5"/>
        <v>0</v>
      </c>
      <c r="AE38" s="38">
        <f t="shared" si="6"/>
        <v>0</v>
      </c>
      <c r="AF38" s="38">
        <f t="shared" si="7"/>
        <v>0</v>
      </c>
      <c r="AG38" s="38">
        <f t="shared" si="8"/>
        <v>0</v>
      </c>
      <c r="AH38" s="38">
        <f t="shared" si="9"/>
        <v>0</v>
      </c>
      <c r="AI38" s="50" t="s">
        <v>91</v>
      </c>
      <c r="AJ38" s="80">
        <f t="shared" si="10"/>
        <v>0</v>
      </c>
      <c r="AK38" s="80">
        <f t="shared" si="11"/>
        <v>0</v>
      </c>
      <c r="AL38" s="80">
        <f t="shared" si="12"/>
        <v>0</v>
      </c>
      <c r="AN38" s="38">
        <v>21</v>
      </c>
      <c r="AO38" s="38">
        <f>H38*1</f>
        <v>0</v>
      </c>
      <c r="AP38" s="38">
        <f>H38*(1-1)</f>
        <v>0</v>
      </c>
      <c r="AQ38" s="83" t="s">
        <v>169</v>
      </c>
      <c r="AV38" s="38">
        <f t="shared" si="13"/>
        <v>0</v>
      </c>
      <c r="AW38" s="38">
        <f t="shared" si="14"/>
        <v>0</v>
      </c>
      <c r="AX38" s="38">
        <f t="shared" si="15"/>
        <v>0</v>
      </c>
      <c r="AY38" s="72" t="s">
        <v>816</v>
      </c>
      <c r="AZ38" s="72" t="s">
        <v>2450</v>
      </c>
      <c r="BA38" s="50" t="s">
        <v>2451</v>
      </c>
      <c r="BC38" s="38">
        <f t="shared" si="16"/>
        <v>0</v>
      </c>
      <c r="BD38" s="38">
        <f t="shared" si="17"/>
        <v>0</v>
      </c>
      <c r="BE38" s="38">
        <v>0</v>
      </c>
      <c r="BF38" s="38">
        <f t="shared" si="18"/>
        <v>0</v>
      </c>
      <c r="BH38" s="80">
        <f t="shared" si="19"/>
        <v>0</v>
      </c>
      <c r="BI38" s="80">
        <f t="shared" si="20"/>
        <v>0</v>
      </c>
      <c r="BJ38" s="80">
        <f t="shared" si="21"/>
        <v>0</v>
      </c>
      <c r="BK38" s="80"/>
      <c r="BL38" s="38">
        <v>751</v>
      </c>
      <c r="BW38" s="38">
        <v>21</v>
      </c>
    </row>
    <row r="39" spans="1:75" ht="13.5" customHeight="1">
      <c r="A39" s="78" t="s">
        <v>285</v>
      </c>
      <c r="B39" s="79" t="s">
        <v>91</v>
      </c>
      <c r="C39" s="79" t="s">
        <v>2525</v>
      </c>
      <c r="D39" s="198" t="s">
        <v>2526</v>
      </c>
      <c r="E39" s="199"/>
      <c r="F39" s="79" t="s">
        <v>471</v>
      </c>
      <c r="G39" s="80">
        <f>'Stavební rozpočet'!G1321</f>
        <v>3</v>
      </c>
      <c r="H39" s="80">
        <f>'Stavební rozpočet'!H1321</f>
        <v>0</v>
      </c>
      <c r="I39" s="80">
        <f t="shared" si="0"/>
        <v>0</v>
      </c>
      <c r="J39" s="80">
        <f>'Stavební rozpočet'!J1321</f>
        <v>0</v>
      </c>
      <c r="K39" s="80">
        <f t="shared" si="1"/>
        <v>0</v>
      </c>
      <c r="L39" s="82" t="s">
        <v>207</v>
      </c>
      <c r="Z39" s="38">
        <f t="shared" si="2"/>
        <v>0</v>
      </c>
      <c r="AB39" s="38">
        <f t="shared" si="3"/>
        <v>0</v>
      </c>
      <c r="AC39" s="38">
        <f t="shared" si="4"/>
        <v>0</v>
      </c>
      <c r="AD39" s="38">
        <f t="shared" si="5"/>
        <v>0</v>
      </c>
      <c r="AE39" s="38">
        <f t="shared" si="6"/>
        <v>0</v>
      </c>
      <c r="AF39" s="38">
        <f t="shared" si="7"/>
        <v>0</v>
      </c>
      <c r="AG39" s="38">
        <f t="shared" si="8"/>
        <v>0</v>
      </c>
      <c r="AH39" s="38">
        <f t="shared" si="9"/>
        <v>0</v>
      </c>
      <c r="AI39" s="50" t="s">
        <v>91</v>
      </c>
      <c r="AJ39" s="80">
        <f t="shared" si="10"/>
        <v>0</v>
      </c>
      <c r="AK39" s="80">
        <f t="shared" si="11"/>
        <v>0</v>
      </c>
      <c r="AL39" s="80">
        <f t="shared" si="12"/>
        <v>0</v>
      </c>
      <c r="AN39" s="38">
        <v>21</v>
      </c>
      <c r="AO39" s="38">
        <f>H39*1</f>
        <v>0</v>
      </c>
      <c r="AP39" s="38">
        <f>H39*(1-1)</f>
        <v>0</v>
      </c>
      <c r="AQ39" s="83" t="s">
        <v>169</v>
      </c>
      <c r="AV39" s="38">
        <f t="shared" si="13"/>
        <v>0</v>
      </c>
      <c r="AW39" s="38">
        <f t="shared" si="14"/>
        <v>0</v>
      </c>
      <c r="AX39" s="38">
        <f t="shared" si="15"/>
        <v>0</v>
      </c>
      <c r="AY39" s="72" t="s">
        <v>816</v>
      </c>
      <c r="AZ39" s="72" t="s">
        <v>2450</v>
      </c>
      <c r="BA39" s="50" t="s">
        <v>2451</v>
      </c>
      <c r="BC39" s="38">
        <f t="shared" si="16"/>
        <v>0</v>
      </c>
      <c r="BD39" s="38">
        <f t="shared" si="17"/>
        <v>0</v>
      </c>
      <c r="BE39" s="38">
        <v>0</v>
      </c>
      <c r="BF39" s="38">
        <f t="shared" si="18"/>
        <v>0</v>
      </c>
      <c r="BH39" s="80">
        <f t="shared" si="19"/>
        <v>0</v>
      </c>
      <c r="BI39" s="80">
        <f t="shared" si="20"/>
        <v>0</v>
      </c>
      <c r="BJ39" s="80">
        <f t="shared" si="21"/>
        <v>0</v>
      </c>
      <c r="BK39" s="80"/>
      <c r="BL39" s="38">
        <v>751</v>
      </c>
      <c r="BW39" s="38">
        <v>21</v>
      </c>
    </row>
    <row r="40" spans="1:75" ht="27" customHeight="1">
      <c r="A40" s="1" t="s">
        <v>291</v>
      </c>
      <c r="B40" s="2" t="s">
        <v>91</v>
      </c>
      <c r="C40" s="2" t="s">
        <v>2528</v>
      </c>
      <c r="D40" s="108" t="s">
        <v>2529</v>
      </c>
      <c r="E40" s="103"/>
      <c r="F40" s="2" t="s">
        <v>199</v>
      </c>
      <c r="G40" s="38">
        <f>'Stavební rozpočet'!G1322</f>
        <v>1</v>
      </c>
      <c r="H40" s="38">
        <f>'Stavební rozpočet'!H1322</f>
        <v>0</v>
      </c>
      <c r="I40" s="38">
        <f t="shared" si="0"/>
        <v>0</v>
      </c>
      <c r="J40" s="38">
        <f>'Stavební rozpočet'!J1322</f>
        <v>0</v>
      </c>
      <c r="K40" s="38">
        <f t="shared" si="1"/>
        <v>0</v>
      </c>
      <c r="L40" s="71" t="s">
        <v>207</v>
      </c>
      <c r="Z40" s="38">
        <f t="shared" si="2"/>
        <v>0</v>
      </c>
      <c r="AB40" s="38">
        <f t="shared" si="3"/>
        <v>0</v>
      </c>
      <c r="AC40" s="38">
        <f t="shared" si="4"/>
        <v>0</v>
      </c>
      <c r="AD40" s="38">
        <f t="shared" si="5"/>
        <v>0</v>
      </c>
      <c r="AE40" s="38">
        <f t="shared" si="6"/>
        <v>0</v>
      </c>
      <c r="AF40" s="38">
        <f t="shared" si="7"/>
        <v>0</v>
      </c>
      <c r="AG40" s="38">
        <f t="shared" si="8"/>
        <v>0</v>
      </c>
      <c r="AH40" s="38">
        <f t="shared" si="9"/>
        <v>0</v>
      </c>
      <c r="AI40" s="50" t="s">
        <v>91</v>
      </c>
      <c r="AJ40" s="38">
        <f t="shared" si="10"/>
        <v>0</v>
      </c>
      <c r="AK40" s="38">
        <f t="shared" si="11"/>
        <v>0</v>
      </c>
      <c r="AL40" s="38">
        <f t="shared" si="12"/>
        <v>0</v>
      </c>
      <c r="AN40" s="38">
        <v>21</v>
      </c>
      <c r="AO40" s="38">
        <f>H40*0</f>
        <v>0</v>
      </c>
      <c r="AP40" s="38">
        <f>H40*(1-0)</f>
        <v>0</v>
      </c>
      <c r="AQ40" s="72" t="s">
        <v>169</v>
      </c>
      <c r="AV40" s="38">
        <f t="shared" si="13"/>
        <v>0</v>
      </c>
      <c r="AW40" s="38">
        <f t="shared" si="14"/>
        <v>0</v>
      </c>
      <c r="AX40" s="38">
        <f t="shared" si="15"/>
        <v>0</v>
      </c>
      <c r="AY40" s="72" t="s">
        <v>816</v>
      </c>
      <c r="AZ40" s="72" t="s">
        <v>2450</v>
      </c>
      <c r="BA40" s="50" t="s">
        <v>2451</v>
      </c>
      <c r="BC40" s="38">
        <f t="shared" si="16"/>
        <v>0</v>
      </c>
      <c r="BD40" s="38">
        <f t="shared" si="17"/>
        <v>0</v>
      </c>
      <c r="BE40" s="38">
        <v>0</v>
      </c>
      <c r="BF40" s="38">
        <f t="shared" si="18"/>
        <v>0</v>
      </c>
      <c r="BH40" s="38">
        <f t="shared" si="19"/>
        <v>0</v>
      </c>
      <c r="BI40" s="38">
        <f t="shared" si="20"/>
        <v>0</v>
      </c>
      <c r="BJ40" s="38">
        <f t="shared" si="21"/>
        <v>0</v>
      </c>
      <c r="BK40" s="38"/>
      <c r="BL40" s="38">
        <v>751</v>
      </c>
      <c r="BW40" s="38">
        <v>21</v>
      </c>
    </row>
    <row r="41" spans="1:75" ht="13.5" customHeight="1">
      <c r="A41" s="78" t="s">
        <v>296</v>
      </c>
      <c r="B41" s="79" t="s">
        <v>91</v>
      </c>
      <c r="C41" s="79" t="s">
        <v>2531</v>
      </c>
      <c r="D41" s="198" t="s">
        <v>2532</v>
      </c>
      <c r="E41" s="199"/>
      <c r="F41" s="79" t="s">
        <v>199</v>
      </c>
      <c r="G41" s="80">
        <f>'Stavební rozpočet'!G1323</f>
        <v>1</v>
      </c>
      <c r="H41" s="80">
        <f>'Stavební rozpočet'!H1323</f>
        <v>0</v>
      </c>
      <c r="I41" s="80">
        <f t="shared" si="0"/>
        <v>0</v>
      </c>
      <c r="J41" s="80">
        <f>'Stavební rozpočet'!J1323</f>
        <v>0</v>
      </c>
      <c r="K41" s="80">
        <f t="shared" si="1"/>
        <v>0</v>
      </c>
      <c r="L41" s="82" t="s">
        <v>207</v>
      </c>
      <c r="Z41" s="38">
        <f t="shared" si="2"/>
        <v>0</v>
      </c>
      <c r="AB41" s="38">
        <f t="shared" si="3"/>
        <v>0</v>
      </c>
      <c r="AC41" s="38">
        <f t="shared" si="4"/>
        <v>0</v>
      </c>
      <c r="AD41" s="38">
        <f t="shared" si="5"/>
        <v>0</v>
      </c>
      <c r="AE41" s="38">
        <f t="shared" si="6"/>
        <v>0</v>
      </c>
      <c r="AF41" s="38">
        <f t="shared" si="7"/>
        <v>0</v>
      </c>
      <c r="AG41" s="38">
        <f t="shared" si="8"/>
        <v>0</v>
      </c>
      <c r="AH41" s="38">
        <f t="shared" si="9"/>
        <v>0</v>
      </c>
      <c r="AI41" s="50" t="s">
        <v>91</v>
      </c>
      <c r="AJ41" s="80">
        <f t="shared" si="10"/>
        <v>0</v>
      </c>
      <c r="AK41" s="80">
        <f t="shared" si="11"/>
        <v>0</v>
      </c>
      <c r="AL41" s="80">
        <f t="shared" si="12"/>
        <v>0</v>
      </c>
      <c r="AN41" s="38">
        <v>21</v>
      </c>
      <c r="AO41" s="38">
        <f>H41*1</f>
        <v>0</v>
      </c>
      <c r="AP41" s="38">
        <f>H41*(1-1)</f>
        <v>0</v>
      </c>
      <c r="AQ41" s="83" t="s">
        <v>169</v>
      </c>
      <c r="AV41" s="38">
        <f t="shared" si="13"/>
        <v>0</v>
      </c>
      <c r="AW41" s="38">
        <f t="shared" si="14"/>
        <v>0</v>
      </c>
      <c r="AX41" s="38">
        <f t="shared" si="15"/>
        <v>0</v>
      </c>
      <c r="AY41" s="72" t="s">
        <v>816</v>
      </c>
      <c r="AZ41" s="72" t="s">
        <v>2450</v>
      </c>
      <c r="BA41" s="50" t="s">
        <v>2451</v>
      </c>
      <c r="BC41" s="38">
        <f t="shared" si="16"/>
        <v>0</v>
      </c>
      <c r="BD41" s="38">
        <f t="shared" si="17"/>
        <v>0</v>
      </c>
      <c r="BE41" s="38">
        <v>0</v>
      </c>
      <c r="BF41" s="38">
        <f t="shared" si="18"/>
        <v>0</v>
      </c>
      <c r="BH41" s="80">
        <f t="shared" si="19"/>
        <v>0</v>
      </c>
      <c r="BI41" s="80">
        <f t="shared" si="20"/>
        <v>0</v>
      </c>
      <c r="BJ41" s="80">
        <f t="shared" si="21"/>
        <v>0</v>
      </c>
      <c r="BK41" s="80"/>
      <c r="BL41" s="38">
        <v>751</v>
      </c>
      <c r="BW41" s="38">
        <v>21</v>
      </c>
    </row>
    <row r="42" spans="1:75" ht="13.5" customHeight="1">
      <c r="A42" s="1" t="s">
        <v>304</v>
      </c>
      <c r="B42" s="2" t="s">
        <v>91</v>
      </c>
      <c r="C42" s="2" t="s">
        <v>2534</v>
      </c>
      <c r="D42" s="108" t="s">
        <v>2535</v>
      </c>
      <c r="E42" s="103"/>
      <c r="F42" s="2" t="s">
        <v>214</v>
      </c>
      <c r="G42" s="38">
        <f>'Stavební rozpočet'!G1324</f>
        <v>7</v>
      </c>
      <c r="H42" s="38">
        <f>'Stavební rozpočet'!H1324</f>
        <v>0</v>
      </c>
      <c r="I42" s="38">
        <f t="shared" si="0"/>
        <v>0</v>
      </c>
      <c r="J42" s="38">
        <f>'Stavební rozpočet'!J1324</f>
        <v>0</v>
      </c>
      <c r="K42" s="38">
        <f t="shared" si="1"/>
        <v>0</v>
      </c>
      <c r="L42" s="71" t="s">
        <v>207</v>
      </c>
      <c r="Z42" s="38">
        <f t="shared" si="2"/>
        <v>0</v>
      </c>
      <c r="AB42" s="38">
        <f t="shared" si="3"/>
        <v>0</v>
      </c>
      <c r="AC42" s="38">
        <f t="shared" si="4"/>
        <v>0</v>
      </c>
      <c r="AD42" s="38">
        <f t="shared" si="5"/>
        <v>0</v>
      </c>
      <c r="AE42" s="38">
        <f t="shared" si="6"/>
        <v>0</v>
      </c>
      <c r="AF42" s="38">
        <f t="shared" si="7"/>
        <v>0</v>
      </c>
      <c r="AG42" s="38">
        <f t="shared" si="8"/>
        <v>0</v>
      </c>
      <c r="AH42" s="38">
        <f t="shared" si="9"/>
        <v>0</v>
      </c>
      <c r="AI42" s="50" t="s">
        <v>91</v>
      </c>
      <c r="AJ42" s="38">
        <f t="shared" si="10"/>
        <v>0</v>
      </c>
      <c r="AK42" s="38">
        <f t="shared" si="11"/>
        <v>0</v>
      </c>
      <c r="AL42" s="38">
        <f t="shared" si="12"/>
        <v>0</v>
      </c>
      <c r="AN42" s="38">
        <v>21</v>
      </c>
      <c r="AO42" s="38">
        <f>H42*0</f>
        <v>0</v>
      </c>
      <c r="AP42" s="38">
        <f>H42*(1-0)</f>
        <v>0</v>
      </c>
      <c r="AQ42" s="72" t="s">
        <v>169</v>
      </c>
      <c r="AV42" s="38">
        <f t="shared" si="13"/>
        <v>0</v>
      </c>
      <c r="AW42" s="38">
        <f t="shared" si="14"/>
        <v>0</v>
      </c>
      <c r="AX42" s="38">
        <f t="shared" si="15"/>
        <v>0</v>
      </c>
      <c r="AY42" s="72" t="s">
        <v>816</v>
      </c>
      <c r="AZ42" s="72" t="s">
        <v>2450</v>
      </c>
      <c r="BA42" s="50" t="s">
        <v>2451</v>
      </c>
      <c r="BC42" s="38">
        <f t="shared" si="16"/>
        <v>0</v>
      </c>
      <c r="BD42" s="38">
        <f t="shared" si="17"/>
        <v>0</v>
      </c>
      <c r="BE42" s="38">
        <v>0</v>
      </c>
      <c r="BF42" s="38">
        <f t="shared" si="18"/>
        <v>0</v>
      </c>
      <c r="BH42" s="38">
        <f t="shared" si="19"/>
        <v>0</v>
      </c>
      <c r="BI42" s="38">
        <f t="shared" si="20"/>
        <v>0</v>
      </c>
      <c r="BJ42" s="38">
        <f t="shared" si="21"/>
        <v>0</v>
      </c>
      <c r="BK42" s="38"/>
      <c r="BL42" s="38">
        <v>751</v>
      </c>
      <c r="BW42" s="38">
        <v>21</v>
      </c>
    </row>
    <row r="43" spans="1:75" ht="13.5" customHeight="1">
      <c r="A43" s="78" t="s">
        <v>311</v>
      </c>
      <c r="B43" s="79" t="s">
        <v>91</v>
      </c>
      <c r="C43" s="79" t="s">
        <v>2537</v>
      </c>
      <c r="D43" s="198" t="s">
        <v>2538</v>
      </c>
      <c r="E43" s="199"/>
      <c r="F43" s="79" t="s">
        <v>199</v>
      </c>
      <c r="G43" s="80">
        <f>'Stavební rozpočet'!G1325</f>
        <v>8.4</v>
      </c>
      <c r="H43" s="80">
        <f>'Stavební rozpočet'!H1325</f>
        <v>0</v>
      </c>
      <c r="I43" s="80">
        <f t="shared" si="0"/>
        <v>0</v>
      </c>
      <c r="J43" s="80">
        <f>'Stavební rozpočet'!J1325</f>
        <v>0</v>
      </c>
      <c r="K43" s="80">
        <f t="shared" si="1"/>
        <v>0</v>
      </c>
      <c r="L43" s="82" t="s">
        <v>207</v>
      </c>
      <c r="Z43" s="38">
        <f t="shared" si="2"/>
        <v>0</v>
      </c>
      <c r="AB43" s="38">
        <f t="shared" si="3"/>
        <v>0</v>
      </c>
      <c r="AC43" s="38">
        <f t="shared" si="4"/>
        <v>0</v>
      </c>
      <c r="AD43" s="38">
        <f t="shared" si="5"/>
        <v>0</v>
      </c>
      <c r="AE43" s="38">
        <f t="shared" si="6"/>
        <v>0</v>
      </c>
      <c r="AF43" s="38">
        <f t="shared" si="7"/>
        <v>0</v>
      </c>
      <c r="AG43" s="38">
        <f t="shared" si="8"/>
        <v>0</v>
      </c>
      <c r="AH43" s="38">
        <f t="shared" si="9"/>
        <v>0</v>
      </c>
      <c r="AI43" s="50" t="s">
        <v>91</v>
      </c>
      <c r="AJ43" s="80">
        <f t="shared" si="10"/>
        <v>0</v>
      </c>
      <c r="AK43" s="80">
        <f t="shared" si="11"/>
        <v>0</v>
      </c>
      <c r="AL43" s="80">
        <f t="shared" si="12"/>
        <v>0</v>
      </c>
      <c r="AN43" s="38">
        <v>21</v>
      </c>
      <c r="AO43" s="38">
        <f>H43*1</f>
        <v>0</v>
      </c>
      <c r="AP43" s="38">
        <f>H43*(1-1)</f>
        <v>0</v>
      </c>
      <c r="AQ43" s="83" t="s">
        <v>169</v>
      </c>
      <c r="AV43" s="38">
        <f t="shared" si="13"/>
        <v>0</v>
      </c>
      <c r="AW43" s="38">
        <f t="shared" si="14"/>
        <v>0</v>
      </c>
      <c r="AX43" s="38">
        <f t="shared" si="15"/>
        <v>0</v>
      </c>
      <c r="AY43" s="72" t="s">
        <v>816</v>
      </c>
      <c r="AZ43" s="72" t="s">
        <v>2450</v>
      </c>
      <c r="BA43" s="50" t="s">
        <v>2451</v>
      </c>
      <c r="BC43" s="38">
        <f t="shared" si="16"/>
        <v>0</v>
      </c>
      <c r="BD43" s="38">
        <f t="shared" si="17"/>
        <v>0</v>
      </c>
      <c r="BE43" s="38">
        <v>0</v>
      </c>
      <c r="BF43" s="38">
        <f t="shared" si="18"/>
        <v>0</v>
      </c>
      <c r="BH43" s="80">
        <f t="shared" si="19"/>
        <v>0</v>
      </c>
      <c r="BI43" s="80">
        <f t="shared" si="20"/>
        <v>0</v>
      </c>
      <c r="BJ43" s="80">
        <f t="shared" si="21"/>
        <v>0</v>
      </c>
      <c r="BK43" s="80"/>
      <c r="BL43" s="38">
        <v>751</v>
      </c>
      <c r="BW43" s="38">
        <v>21</v>
      </c>
    </row>
    <row r="44" spans="1:75" ht="27" customHeight="1">
      <c r="A44" s="1" t="s">
        <v>195</v>
      </c>
      <c r="B44" s="2" t="s">
        <v>91</v>
      </c>
      <c r="C44" s="2" t="s">
        <v>2540</v>
      </c>
      <c r="D44" s="108" t="s">
        <v>2541</v>
      </c>
      <c r="E44" s="103"/>
      <c r="F44" s="2" t="s">
        <v>214</v>
      </c>
      <c r="G44" s="38">
        <f>'Stavební rozpočet'!G1326</f>
        <v>1</v>
      </c>
      <c r="H44" s="38">
        <f>'Stavební rozpočet'!H1326</f>
        <v>0</v>
      </c>
      <c r="I44" s="38">
        <f t="shared" si="0"/>
        <v>0</v>
      </c>
      <c r="J44" s="38">
        <f>'Stavební rozpočet'!J1326</f>
        <v>0</v>
      </c>
      <c r="K44" s="38">
        <f t="shared" si="1"/>
        <v>0</v>
      </c>
      <c r="L44" s="71" t="s">
        <v>207</v>
      </c>
      <c r="Z44" s="38">
        <f t="shared" si="2"/>
        <v>0</v>
      </c>
      <c r="AB44" s="38">
        <f t="shared" si="3"/>
        <v>0</v>
      </c>
      <c r="AC44" s="38">
        <f t="shared" si="4"/>
        <v>0</v>
      </c>
      <c r="AD44" s="38">
        <f t="shared" si="5"/>
        <v>0</v>
      </c>
      <c r="AE44" s="38">
        <f t="shared" si="6"/>
        <v>0</v>
      </c>
      <c r="AF44" s="38">
        <f t="shared" si="7"/>
        <v>0</v>
      </c>
      <c r="AG44" s="38">
        <f t="shared" si="8"/>
        <v>0</v>
      </c>
      <c r="AH44" s="38">
        <f t="shared" si="9"/>
        <v>0</v>
      </c>
      <c r="AI44" s="50" t="s">
        <v>91</v>
      </c>
      <c r="AJ44" s="38">
        <f t="shared" si="10"/>
        <v>0</v>
      </c>
      <c r="AK44" s="38">
        <f t="shared" si="11"/>
        <v>0</v>
      </c>
      <c r="AL44" s="38">
        <f t="shared" si="12"/>
        <v>0</v>
      </c>
      <c r="AN44" s="38">
        <v>21</v>
      </c>
      <c r="AO44" s="38">
        <f>H44*0</f>
        <v>0</v>
      </c>
      <c r="AP44" s="38">
        <f>H44*(1-0)</f>
        <v>0</v>
      </c>
      <c r="AQ44" s="72" t="s">
        <v>169</v>
      </c>
      <c r="AV44" s="38">
        <f t="shared" si="13"/>
        <v>0</v>
      </c>
      <c r="AW44" s="38">
        <f t="shared" si="14"/>
        <v>0</v>
      </c>
      <c r="AX44" s="38">
        <f t="shared" si="15"/>
        <v>0</v>
      </c>
      <c r="AY44" s="72" t="s">
        <v>816</v>
      </c>
      <c r="AZ44" s="72" t="s">
        <v>2450</v>
      </c>
      <c r="BA44" s="50" t="s">
        <v>2451</v>
      </c>
      <c r="BC44" s="38">
        <f t="shared" si="16"/>
        <v>0</v>
      </c>
      <c r="BD44" s="38">
        <f t="shared" si="17"/>
        <v>0</v>
      </c>
      <c r="BE44" s="38">
        <v>0</v>
      </c>
      <c r="BF44" s="38">
        <f t="shared" si="18"/>
        <v>0</v>
      </c>
      <c r="BH44" s="38">
        <f t="shared" si="19"/>
        <v>0</v>
      </c>
      <c r="BI44" s="38">
        <f t="shared" si="20"/>
        <v>0</v>
      </c>
      <c r="BJ44" s="38">
        <f t="shared" si="21"/>
        <v>0</v>
      </c>
      <c r="BK44" s="38"/>
      <c r="BL44" s="38">
        <v>751</v>
      </c>
      <c r="BW44" s="38">
        <v>21</v>
      </c>
    </row>
    <row r="45" spans="1:75" ht="13.5" customHeight="1">
      <c r="A45" s="78" t="s">
        <v>322</v>
      </c>
      <c r="B45" s="79" t="s">
        <v>91</v>
      </c>
      <c r="C45" s="79" t="s">
        <v>2543</v>
      </c>
      <c r="D45" s="198" t="s">
        <v>2544</v>
      </c>
      <c r="E45" s="199"/>
      <c r="F45" s="79" t="s">
        <v>199</v>
      </c>
      <c r="G45" s="80">
        <f>'Stavební rozpočet'!G1327</f>
        <v>1.2</v>
      </c>
      <c r="H45" s="80">
        <f>'Stavební rozpočet'!H1327</f>
        <v>0</v>
      </c>
      <c r="I45" s="80">
        <f t="shared" si="0"/>
        <v>0</v>
      </c>
      <c r="J45" s="80">
        <f>'Stavební rozpočet'!J1327</f>
        <v>0</v>
      </c>
      <c r="K45" s="80">
        <f t="shared" si="1"/>
        <v>0</v>
      </c>
      <c r="L45" s="82" t="s">
        <v>207</v>
      </c>
      <c r="Z45" s="38">
        <f t="shared" si="2"/>
        <v>0</v>
      </c>
      <c r="AB45" s="38">
        <f t="shared" si="3"/>
        <v>0</v>
      </c>
      <c r="AC45" s="38">
        <f t="shared" si="4"/>
        <v>0</v>
      </c>
      <c r="AD45" s="38">
        <f t="shared" si="5"/>
        <v>0</v>
      </c>
      <c r="AE45" s="38">
        <f t="shared" si="6"/>
        <v>0</v>
      </c>
      <c r="AF45" s="38">
        <f t="shared" si="7"/>
        <v>0</v>
      </c>
      <c r="AG45" s="38">
        <f t="shared" si="8"/>
        <v>0</v>
      </c>
      <c r="AH45" s="38">
        <f t="shared" si="9"/>
        <v>0</v>
      </c>
      <c r="AI45" s="50" t="s">
        <v>91</v>
      </c>
      <c r="AJ45" s="80">
        <f t="shared" si="10"/>
        <v>0</v>
      </c>
      <c r="AK45" s="80">
        <f t="shared" si="11"/>
        <v>0</v>
      </c>
      <c r="AL45" s="80">
        <f t="shared" si="12"/>
        <v>0</v>
      </c>
      <c r="AN45" s="38">
        <v>21</v>
      </c>
      <c r="AO45" s="38">
        <f>H45*1</f>
        <v>0</v>
      </c>
      <c r="AP45" s="38">
        <f>H45*(1-1)</f>
        <v>0</v>
      </c>
      <c r="AQ45" s="83" t="s">
        <v>169</v>
      </c>
      <c r="AV45" s="38">
        <f t="shared" si="13"/>
        <v>0</v>
      </c>
      <c r="AW45" s="38">
        <f t="shared" si="14"/>
        <v>0</v>
      </c>
      <c r="AX45" s="38">
        <f t="shared" si="15"/>
        <v>0</v>
      </c>
      <c r="AY45" s="72" t="s">
        <v>816</v>
      </c>
      <c r="AZ45" s="72" t="s">
        <v>2450</v>
      </c>
      <c r="BA45" s="50" t="s">
        <v>2451</v>
      </c>
      <c r="BC45" s="38">
        <f t="shared" si="16"/>
        <v>0</v>
      </c>
      <c r="BD45" s="38">
        <f t="shared" si="17"/>
        <v>0</v>
      </c>
      <c r="BE45" s="38">
        <v>0</v>
      </c>
      <c r="BF45" s="38">
        <f t="shared" si="18"/>
        <v>0</v>
      </c>
      <c r="BH45" s="80">
        <f t="shared" si="19"/>
        <v>0</v>
      </c>
      <c r="BI45" s="80">
        <f t="shared" si="20"/>
        <v>0</v>
      </c>
      <c r="BJ45" s="80">
        <f t="shared" si="21"/>
        <v>0</v>
      </c>
      <c r="BK45" s="80"/>
      <c r="BL45" s="38">
        <v>751</v>
      </c>
      <c r="BW45" s="38">
        <v>21</v>
      </c>
    </row>
    <row r="46" spans="1:75" ht="13.5" customHeight="1">
      <c r="A46" s="1" t="s">
        <v>328</v>
      </c>
      <c r="B46" s="2" t="s">
        <v>91</v>
      </c>
      <c r="C46" s="2" t="s">
        <v>2546</v>
      </c>
      <c r="D46" s="108" t="s">
        <v>2547</v>
      </c>
      <c r="E46" s="103"/>
      <c r="F46" s="2" t="s">
        <v>214</v>
      </c>
      <c r="G46" s="38">
        <f>'Stavební rozpočet'!G1328</f>
        <v>15</v>
      </c>
      <c r="H46" s="38">
        <f>'Stavební rozpočet'!H1328</f>
        <v>0</v>
      </c>
      <c r="I46" s="38">
        <f t="shared" si="0"/>
        <v>0</v>
      </c>
      <c r="J46" s="38">
        <f>'Stavební rozpočet'!J1328</f>
        <v>0</v>
      </c>
      <c r="K46" s="38">
        <f t="shared" si="1"/>
        <v>0</v>
      </c>
      <c r="L46" s="71" t="s">
        <v>207</v>
      </c>
      <c r="Z46" s="38">
        <f t="shared" si="2"/>
        <v>0</v>
      </c>
      <c r="AB46" s="38">
        <f t="shared" si="3"/>
        <v>0</v>
      </c>
      <c r="AC46" s="38">
        <f t="shared" si="4"/>
        <v>0</v>
      </c>
      <c r="AD46" s="38">
        <f t="shared" si="5"/>
        <v>0</v>
      </c>
      <c r="AE46" s="38">
        <f t="shared" si="6"/>
        <v>0</v>
      </c>
      <c r="AF46" s="38">
        <f t="shared" si="7"/>
        <v>0</v>
      </c>
      <c r="AG46" s="38">
        <f t="shared" si="8"/>
        <v>0</v>
      </c>
      <c r="AH46" s="38">
        <f t="shared" si="9"/>
        <v>0</v>
      </c>
      <c r="AI46" s="50" t="s">
        <v>91</v>
      </c>
      <c r="AJ46" s="38">
        <f t="shared" si="10"/>
        <v>0</v>
      </c>
      <c r="AK46" s="38">
        <f t="shared" si="11"/>
        <v>0</v>
      </c>
      <c r="AL46" s="38">
        <f t="shared" si="12"/>
        <v>0</v>
      </c>
      <c r="AN46" s="38">
        <v>21</v>
      </c>
      <c r="AO46" s="38">
        <f>H46*0</f>
        <v>0</v>
      </c>
      <c r="AP46" s="38">
        <f>H46*(1-0)</f>
        <v>0</v>
      </c>
      <c r="AQ46" s="72" t="s">
        <v>169</v>
      </c>
      <c r="AV46" s="38">
        <f t="shared" si="13"/>
        <v>0</v>
      </c>
      <c r="AW46" s="38">
        <f t="shared" si="14"/>
        <v>0</v>
      </c>
      <c r="AX46" s="38">
        <f t="shared" si="15"/>
        <v>0</v>
      </c>
      <c r="AY46" s="72" t="s">
        <v>816</v>
      </c>
      <c r="AZ46" s="72" t="s">
        <v>2450</v>
      </c>
      <c r="BA46" s="50" t="s">
        <v>2451</v>
      </c>
      <c r="BC46" s="38">
        <f t="shared" si="16"/>
        <v>0</v>
      </c>
      <c r="BD46" s="38">
        <f t="shared" si="17"/>
        <v>0</v>
      </c>
      <c r="BE46" s="38">
        <v>0</v>
      </c>
      <c r="BF46" s="38">
        <f t="shared" si="18"/>
        <v>0</v>
      </c>
      <c r="BH46" s="38">
        <f t="shared" si="19"/>
        <v>0</v>
      </c>
      <c r="BI46" s="38">
        <f t="shared" si="20"/>
        <v>0</v>
      </c>
      <c r="BJ46" s="38">
        <f t="shared" si="21"/>
        <v>0</v>
      </c>
      <c r="BK46" s="38"/>
      <c r="BL46" s="38">
        <v>751</v>
      </c>
      <c r="BW46" s="38">
        <v>21</v>
      </c>
    </row>
    <row r="47" spans="1:75" ht="13.5" customHeight="1">
      <c r="A47" s="78" t="s">
        <v>289</v>
      </c>
      <c r="B47" s="79" t="s">
        <v>91</v>
      </c>
      <c r="C47" s="79" t="s">
        <v>2549</v>
      </c>
      <c r="D47" s="198" t="s">
        <v>2550</v>
      </c>
      <c r="E47" s="199"/>
      <c r="F47" s="79" t="s">
        <v>471</v>
      </c>
      <c r="G47" s="80">
        <f>'Stavební rozpočet'!G1329</f>
        <v>1</v>
      </c>
      <c r="H47" s="80">
        <f>'Stavební rozpočet'!H1329</f>
        <v>0</v>
      </c>
      <c r="I47" s="80">
        <f t="shared" si="0"/>
        <v>0</v>
      </c>
      <c r="J47" s="80">
        <f>'Stavební rozpočet'!J1329</f>
        <v>0</v>
      </c>
      <c r="K47" s="80">
        <f t="shared" si="1"/>
        <v>0</v>
      </c>
      <c r="L47" s="82" t="s">
        <v>207</v>
      </c>
      <c r="Z47" s="38">
        <f t="shared" si="2"/>
        <v>0</v>
      </c>
      <c r="AB47" s="38">
        <f t="shared" si="3"/>
        <v>0</v>
      </c>
      <c r="AC47" s="38">
        <f t="shared" si="4"/>
        <v>0</v>
      </c>
      <c r="AD47" s="38">
        <f t="shared" si="5"/>
        <v>0</v>
      </c>
      <c r="AE47" s="38">
        <f t="shared" si="6"/>
        <v>0</v>
      </c>
      <c r="AF47" s="38">
        <f t="shared" si="7"/>
        <v>0</v>
      </c>
      <c r="AG47" s="38">
        <f t="shared" si="8"/>
        <v>0</v>
      </c>
      <c r="AH47" s="38">
        <f t="shared" si="9"/>
        <v>0</v>
      </c>
      <c r="AI47" s="50" t="s">
        <v>91</v>
      </c>
      <c r="AJ47" s="80">
        <f t="shared" si="10"/>
        <v>0</v>
      </c>
      <c r="AK47" s="80">
        <f t="shared" si="11"/>
        <v>0</v>
      </c>
      <c r="AL47" s="80">
        <f t="shared" si="12"/>
        <v>0</v>
      </c>
      <c r="AN47" s="38">
        <v>21</v>
      </c>
      <c r="AO47" s="38">
        <f>H47*1</f>
        <v>0</v>
      </c>
      <c r="AP47" s="38">
        <f>H47*(1-1)</f>
        <v>0</v>
      </c>
      <c r="AQ47" s="83" t="s">
        <v>169</v>
      </c>
      <c r="AV47" s="38">
        <f t="shared" si="13"/>
        <v>0</v>
      </c>
      <c r="AW47" s="38">
        <f t="shared" si="14"/>
        <v>0</v>
      </c>
      <c r="AX47" s="38">
        <f t="shared" si="15"/>
        <v>0</v>
      </c>
      <c r="AY47" s="72" t="s">
        <v>816</v>
      </c>
      <c r="AZ47" s="72" t="s">
        <v>2450</v>
      </c>
      <c r="BA47" s="50" t="s">
        <v>2451</v>
      </c>
      <c r="BC47" s="38">
        <f t="shared" si="16"/>
        <v>0</v>
      </c>
      <c r="BD47" s="38">
        <f t="shared" si="17"/>
        <v>0</v>
      </c>
      <c r="BE47" s="38">
        <v>0</v>
      </c>
      <c r="BF47" s="38">
        <f t="shared" si="18"/>
        <v>0</v>
      </c>
      <c r="BH47" s="80">
        <f t="shared" si="19"/>
        <v>0</v>
      </c>
      <c r="BI47" s="80">
        <f t="shared" si="20"/>
        <v>0</v>
      </c>
      <c r="BJ47" s="80">
        <f t="shared" si="21"/>
        <v>0</v>
      </c>
      <c r="BK47" s="80"/>
      <c r="BL47" s="38">
        <v>751</v>
      </c>
      <c r="BW47" s="38">
        <v>21</v>
      </c>
    </row>
    <row r="48" spans="1:47" ht="15">
      <c r="A48" s="65" t="s">
        <v>4</v>
      </c>
      <c r="B48" s="66" t="s">
        <v>91</v>
      </c>
      <c r="C48" s="66" t="s">
        <v>2281</v>
      </c>
      <c r="D48" s="192" t="s">
        <v>812</v>
      </c>
      <c r="E48" s="193"/>
      <c r="F48" s="67" t="s">
        <v>78</v>
      </c>
      <c r="G48" s="67" t="s">
        <v>78</v>
      </c>
      <c r="H48" s="67" t="s">
        <v>78</v>
      </c>
      <c r="I48" s="44">
        <f>SUM(I49:I50)</f>
        <v>0</v>
      </c>
      <c r="J48" s="50" t="s">
        <v>4</v>
      </c>
      <c r="K48" s="44">
        <f>SUM(K49:K50)</f>
        <v>0</v>
      </c>
      <c r="L48" s="69" t="s">
        <v>4</v>
      </c>
      <c r="AI48" s="50" t="s">
        <v>91</v>
      </c>
      <c r="AS48" s="44">
        <f>SUM(AJ49:AJ50)</f>
        <v>0</v>
      </c>
      <c r="AT48" s="44">
        <f>SUM(AK49:AK50)</f>
        <v>0</v>
      </c>
      <c r="AU48" s="44">
        <f>SUM(AL49:AL50)</f>
        <v>0</v>
      </c>
    </row>
    <row r="49" spans="1:75" ht="13.5" customHeight="1">
      <c r="A49" s="1" t="s">
        <v>336</v>
      </c>
      <c r="B49" s="2" t="s">
        <v>91</v>
      </c>
      <c r="C49" s="2" t="s">
        <v>2552</v>
      </c>
      <c r="D49" s="108" t="s">
        <v>2553</v>
      </c>
      <c r="E49" s="103"/>
      <c r="F49" s="2" t="s">
        <v>2286</v>
      </c>
      <c r="G49" s="38">
        <f>'Stavební rozpočet'!G1331</f>
        <v>24</v>
      </c>
      <c r="H49" s="38">
        <f>'Stavební rozpočet'!H1331</f>
        <v>0</v>
      </c>
      <c r="I49" s="38">
        <f>G49*H49</f>
        <v>0</v>
      </c>
      <c r="J49" s="38">
        <f>'Stavební rozpočet'!J1331</f>
        <v>0</v>
      </c>
      <c r="K49" s="38">
        <f>G49*J49</f>
        <v>0</v>
      </c>
      <c r="L49" s="71" t="s">
        <v>207</v>
      </c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50" t="s">
        <v>91</v>
      </c>
      <c r="AJ49" s="38">
        <f>IF(AN49=0,I49,0)</f>
        <v>0</v>
      </c>
      <c r="AK49" s="38">
        <f>IF(AN49=12,I49,0)</f>
        <v>0</v>
      </c>
      <c r="AL49" s="38">
        <f>IF(AN49=21,I49,0)</f>
        <v>0</v>
      </c>
      <c r="AN49" s="38">
        <v>21</v>
      </c>
      <c r="AO49" s="38">
        <f>H49*0</f>
        <v>0</v>
      </c>
      <c r="AP49" s="38">
        <f>H49*(1-0)</f>
        <v>0</v>
      </c>
      <c r="AQ49" s="72" t="s">
        <v>132</v>
      </c>
      <c r="AV49" s="38">
        <f>AW49+AX49</f>
        <v>0</v>
      </c>
      <c r="AW49" s="38">
        <f>G49*AO49</f>
        <v>0</v>
      </c>
      <c r="AX49" s="38">
        <f>G49*AP49</f>
        <v>0</v>
      </c>
      <c r="AY49" s="72" t="s">
        <v>2287</v>
      </c>
      <c r="AZ49" s="72" t="s">
        <v>2554</v>
      </c>
      <c r="BA49" s="50" t="s">
        <v>2451</v>
      </c>
      <c r="BC49" s="38">
        <f>AW49+AX49</f>
        <v>0</v>
      </c>
      <c r="BD49" s="38">
        <f>H49/(100-BE49)*100</f>
        <v>0</v>
      </c>
      <c r="BE49" s="38">
        <v>0</v>
      </c>
      <c r="BF49" s="38">
        <f>K49</f>
        <v>0</v>
      </c>
      <c r="BH49" s="38">
        <f>G49*AO49</f>
        <v>0</v>
      </c>
      <c r="BI49" s="38">
        <f>G49*AP49</f>
        <v>0</v>
      </c>
      <c r="BJ49" s="38">
        <f>G49*H49</f>
        <v>0</v>
      </c>
      <c r="BK49" s="38"/>
      <c r="BL49" s="38"/>
      <c r="BW49" s="38">
        <v>21</v>
      </c>
    </row>
    <row r="50" spans="1:75" ht="13.5" customHeight="1">
      <c r="A50" s="3" t="s">
        <v>342</v>
      </c>
      <c r="B50" s="4" t="s">
        <v>91</v>
      </c>
      <c r="C50" s="4" t="s">
        <v>2289</v>
      </c>
      <c r="D50" s="200" t="s">
        <v>2290</v>
      </c>
      <c r="E50" s="106"/>
      <c r="F50" s="4" t="s">
        <v>2286</v>
      </c>
      <c r="G50" s="40">
        <f>'Stavební rozpočet'!G1332</f>
        <v>12</v>
      </c>
      <c r="H50" s="40">
        <f>'Stavební rozpočet'!H1332</f>
        <v>0</v>
      </c>
      <c r="I50" s="40">
        <f>G50*H50</f>
        <v>0</v>
      </c>
      <c r="J50" s="40">
        <f>'Stavební rozpočet'!J1332</f>
        <v>0</v>
      </c>
      <c r="K50" s="40">
        <f>G50*J50</f>
        <v>0</v>
      </c>
      <c r="L50" s="94" t="s">
        <v>207</v>
      </c>
      <c r="Z50" s="38">
        <f>IF(AQ50="5",BJ50,0)</f>
        <v>0</v>
      </c>
      <c r="AB50" s="38">
        <f>IF(AQ50="1",BH50,0)</f>
        <v>0</v>
      </c>
      <c r="AC50" s="38">
        <f>IF(AQ50="1",BI50,0)</f>
        <v>0</v>
      </c>
      <c r="AD50" s="38">
        <f>IF(AQ50="7",BH50,0)</f>
        <v>0</v>
      </c>
      <c r="AE50" s="38">
        <f>IF(AQ50="7",BI50,0)</f>
        <v>0</v>
      </c>
      <c r="AF50" s="38">
        <f>IF(AQ50="2",BH50,0)</f>
        <v>0</v>
      </c>
      <c r="AG50" s="38">
        <f>IF(AQ50="2",BI50,0)</f>
        <v>0</v>
      </c>
      <c r="AH50" s="38">
        <f>IF(AQ50="0",BJ50,0)</f>
        <v>0</v>
      </c>
      <c r="AI50" s="50" t="s">
        <v>91</v>
      </c>
      <c r="AJ50" s="38">
        <f>IF(AN50=0,I50,0)</f>
        <v>0</v>
      </c>
      <c r="AK50" s="38">
        <f>IF(AN50=12,I50,0)</f>
        <v>0</v>
      </c>
      <c r="AL50" s="38">
        <f>IF(AN50=21,I50,0)</f>
        <v>0</v>
      </c>
      <c r="AN50" s="38">
        <v>21</v>
      </c>
      <c r="AO50" s="38">
        <f>H50*0</f>
        <v>0</v>
      </c>
      <c r="AP50" s="38">
        <f>H50*(1-0)</f>
        <v>0</v>
      </c>
      <c r="AQ50" s="72" t="s">
        <v>132</v>
      </c>
      <c r="AV50" s="38">
        <f>AW50+AX50</f>
        <v>0</v>
      </c>
      <c r="AW50" s="38">
        <f>G50*AO50</f>
        <v>0</v>
      </c>
      <c r="AX50" s="38">
        <f>G50*AP50</f>
        <v>0</v>
      </c>
      <c r="AY50" s="72" t="s">
        <v>2287</v>
      </c>
      <c r="AZ50" s="72" t="s">
        <v>2554</v>
      </c>
      <c r="BA50" s="50" t="s">
        <v>2451</v>
      </c>
      <c r="BC50" s="38">
        <f>AW50+AX50</f>
        <v>0</v>
      </c>
      <c r="BD50" s="38">
        <f>H50/(100-BE50)*100</f>
        <v>0</v>
      </c>
      <c r="BE50" s="38">
        <v>0</v>
      </c>
      <c r="BF50" s="38">
        <f>K50</f>
        <v>0</v>
      </c>
      <c r="BH50" s="38">
        <f>G50*AO50</f>
        <v>0</v>
      </c>
      <c r="BI50" s="38">
        <f>G50*AP50</f>
        <v>0</v>
      </c>
      <c r="BJ50" s="38">
        <f>G50*H50</f>
        <v>0</v>
      </c>
      <c r="BK50" s="38"/>
      <c r="BL50" s="38"/>
      <c r="BW50" s="38">
        <v>21</v>
      </c>
    </row>
    <row r="51" ht="15">
      <c r="I51" s="42">
        <f>ROUND(I13+I48,0)</f>
        <v>0</v>
      </c>
    </row>
    <row r="52" ht="15">
      <c r="A52" s="43" t="s">
        <v>56</v>
      </c>
    </row>
    <row r="53" spans="1:12" ht="12.75" customHeight="1">
      <c r="A53" s="108" t="s">
        <v>4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</sheetData>
  <sheetProtection password="F483" sheet="1"/>
  <mergeCells count="68">
    <mergeCell ref="D50:E50"/>
    <mergeCell ref="A53:L53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22"/>
  <sheetViews>
    <sheetView workbookViewId="0" topLeftCell="A1">
      <pane ySplit="11" topLeftCell="A12" activePane="bottomLeft" state="frozen"/>
      <selection pane="bottomLeft" activeCell="A222" sqref="A222:L222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4.4218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01" t="s">
        <v>76</v>
      </c>
      <c r="G2" s="101"/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>
      <c r="A3" s="102"/>
      <c r="B3" s="103"/>
      <c r="C3" s="103"/>
      <c r="D3" s="111"/>
      <c r="E3" s="111"/>
      <c r="F3" s="103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 t="s">
        <v>9</v>
      </c>
      <c r="G4" s="103"/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 t="s">
        <v>10</v>
      </c>
      <c r="G6" s="103"/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 t="s">
        <v>77</v>
      </c>
      <c r="G8" s="103"/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86" t="s">
        <v>82</v>
      </c>
      <c r="E10" s="187"/>
      <c r="F10" s="46" t="s">
        <v>107</v>
      </c>
      <c r="G10" s="47" t="s">
        <v>108</v>
      </c>
      <c r="H10" s="92" t="s">
        <v>109</v>
      </c>
      <c r="I10" s="28" t="s">
        <v>79</v>
      </c>
      <c r="J10" s="188" t="s">
        <v>80</v>
      </c>
      <c r="K10" s="189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93</v>
      </c>
      <c r="C12" s="59" t="s">
        <v>4</v>
      </c>
      <c r="D12" s="190" t="s">
        <v>94</v>
      </c>
      <c r="E12" s="191"/>
      <c r="F12" s="60" t="s">
        <v>78</v>
      </c>
      <c r="G12" s="60" t="s">
        <v>78</v>
      </c>
      <c r="H12" s="60" t="s">
        <v>78</v>
      </c>
      <c r="I12" s="62">
        <f>I13+I110+I204+I207</f>
        <v>0</v>
      </c>
      <c r="J12" s="63" t="s">
        <v>4</v>
      </c>
      <c r="K12" s="62">
        <f>K13+K110+K204+K207</f>
        <v>0</v>
      </c>
      <c r="L12" s="64" t="s">
        <v>4</v>
      </c>
    </row>
    <row r="13" spans="1:47" ht="15">
      <c r="A13" s="65" t="s">
        <v>4</v>
      </c>
      <c r="B13" s="66" t="s">
        <v>93</v>
      </c>
      <c r="C13" s="66" t="s">
        <v>2556</v>
      </c>
      <c r="D13" s="192" t="s">
        <v>2557</v>
      </c>
      <c r="E13" s="193"/>
      <c r="F13" s="67" t="s">
        <v>78</v>
      </c>
      <c r="G13" s="67" t="s">
        <v>78</v>
      </c>
      <c r="H13" s="67" t="s">
        <v>78</v>
      </c>
      <c r="I13" s="44">
        <f>SUM(I14:I109)</f>
        <v>0</v>
      </c>
      <c r="J13" s="50" t="s">
        <v>4</v>
      </c>
      <c r="K13" s="44">
        <f>SUM(K14:K109)</f>
        <v>0</v>
      </c>
      <c r="L13" s="69" t="s">
        <v>4</v>
      </c>
      <c r="AI13" s="50" t="s">
        <v>93</v>
      </c>
      <c r="AS13" s="44">
        <f>SUM(AJ14:AJ109)</f>
        <v>0</v>
      </c>
      <c r="AT13" s="44">
        <f>SUM(AK14:AK109)</f>
        <v>0</v>
      </c>
      <c r="AU13" s="44">
        <f>SUM(AL14:AL109)</f>
        <v>0</v>
      </c>
    </row>
    <row r="14" spans="1:75" ht="27" customHeight="1">
      <c r="A14" s="1" t="s">
        <v>132</v>
      </c>
      <c r="B14" s="2" t="s">
        <v>93</v>
      </c>
      <c r="C14" s="2" t="s">
        <v>2559</v>
      </c>
      <c r="D14" s="108" t="s">
        <v>2560</v>
      </c>
      <c r="E14" s="103"/>
      <c r="F14" s="2" t="s">
        <v>199</v>
      </c>
      <c r="G14" s="38">
        <f>'Stavební rozpočet'!G1335</f>
        <v>1</v>
      </c>
      <c r="H14" s="38">
        <f>'Stavební rozpočet'!H1335</f>
        <v>0</v>
      </c>
      <c r="I14" s="38">
        <f aca="true" t="shared" si="0" ref="I14:I45">G14*H14</f>
        <v>0</v>
      </c>
      <c r="J14" s="38">
        <f>'Stavební rozpočet'!J1335</f>
        <v>0</v>
      </c>
      <c r="K14" s="38">
        <f aca="true" t="shared" si="1" ref="K14:K45">G14*J14</f>
        <v>0</v>
      </c>
      <c r="L14" s="71" t="s">
        <v>207</v>
      </c>
      <c r="Z14" s="38">
        <f aca="true" t="shared" si="2" ref="Z14:Z45">IF(AQ14="5",BJ14,0)</f>
        <v>0</v>
      </c>
      <c r="AB14" s="38">
        <f aca="true" t="shared" si="3" ref="AB14:AB45">IF(AQ14="1",BH14,0)</f>
        <v>0</v>
      </c>
      <c r="AC14" s="38">
        <f aca="true" t="shared" si="4" ref="AC14:AC45">IF(AQ14="1",BI14,0)</f>
        <v>0</v>
      </c>
      <c r="AD14" s="38">
        <f aca="true" t="shared" si="5" ref="AD14:AD45">IF(AQ14="7",BH14,0)</f>
        <v>0</v>
      </c>
      <c r="AE14" s="38">
        <f aca="true" t="shared" si="6" ref="AE14:AE45">IF(AQ14="7",BI14,0)</f>
        <v>0</v>
      </c>
      <c r="AF14" s="38">
        <f aca="true" t="shared" si="7" ref="AF14:AF45">IF(AQ14="2",BH14,0)</f>
        <v>0</v>
      </c>
      <c r="AG14" s="38">
        <f aca="true" t="shared" si="8" ref="AG14:AG45">IF(AQ14="2",BI14,0)</f>
        <v>0</v>
      </c>
      <c r="AH14" s="38">
        <f aca="true" t="shared" si="9" ref="AH14:AH45">IF(AQ14="0",BJ14,0)</f>
        <v>0</v>
      </c>
      <c r="AI14" s="50" t="s">
        <v>93</v>
      </c>
      <c r="AJ14" s="38">
        <f aca="true" t="shared" si="10" ref="AJ14:AJ45">IF(AN14=0,I14,0)</f>
        <v>0</v>
      </c>
      <c r="AK14" s="38">
        <f aca="true" t="shared" si="11" ref="AK14:AK45">IF(AN14=12,I14,0)</f>
        <v>0</v>
      </c>
      <c r="AL14" s="38">
        <f aca="true" t="shared" si="12" ref="AL14:AL45"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 aca="true" t="shared" si="13" ref="AV14:AV45">AW14+AX14</f>
        <v>0</v>
      </c>
      <c r="AW14" s="38">
        <f aca="true" t="shared" si="14" ref="AW14:AW45">G14*AO14</f>
        <v>0</v>
      </c>
      <c r="AX14" s="38">
        <f aca="true" t="shared" si="15" ref="AX14:AX45">G14*AP14</f>
        <v>0</v>
      </c>
      <c r="AY14" s="72" t="s">
        <v>2561</v>
      </c>
      <c r="AZ14" s="72" t="s">
        <v>2562</v>
      </c>
      <c r="BA14" s="50" t="s">
        <v>2563</v>
      </c>
      <c r="BC14" s="38">
        <f aca="true" t="shared" si="16" ref="BC14:BC45">AW14+AX14</f>
        <v>0</v>
      </c>
      <c r="BD14" s="38">
        <f aca="true" t="shared" si="17" ref="BD14:BD45">H14/(100-BE14)*100</f>
        <v>0</v>
      </c>
      <c r="BE14" s="38">
        <v>0</v>
      </c>
      <c r="BF14" s="38">
        <f aca="true" t="shared" si="18" ref="BF14:BF45">K14</f>
        <v>0</v>
      </c>
      <c r="BH14" s="38">
        <f aca="true" t="shared" si="19" ref="BH14:BH45">G14*AO14</f>
        <v>0</v>
      </c>
      <c r="BI14" s="38">
        <f aca="true" t="shared" si="20" ref="BI14:BI45">G14*AP14</f>
        <v>0</v>
      </c>
      <c r="BJ14" s="38">
        <f aca="true" t="shared" si="21" ref="BJ14:BJ45">G14*H14</f>
        <v>0</v>
      </c>
      <c r="BK14" s="38"/>
      <c r="BL14" s="38"/>
      <c r="BW14" s="38">
        <v>21</v>
      </c>
    </row>
    <row r="15" spans="1:75" ht="13.5" customHeight="1">
      <c r="A15" s="78" t="s">
        <v>143</v>
      </c>
      <c r="B15" s="79" t="s">
        <v>93</v>
      </c>
      <c r="C15" s="79" t="s">
        <v>2565</v>
      </c>
      <c r="D15" s="198" t="s">
        <v>2566</v>
      </c>
      <c r="E15" s="199"/>
      <c r="F15" s="79" t="s">
        <v>2567</v>
      </c>
      <c r="G15" s="80">
        <f>'Stavební rozpočet'!G1336</f>
        <v>1</v>
      </c>
      <c r="H15" s="80">
        <f>'Stavební rozpočet'!H1336</f>
        <v>0</v>
      </c>
      <c r="I15" s="80">
        <f t="shared" si="0"/>
        <v>0</v>
      </c>
      <c r="J15" s="80">
        <f>'Stavební rozpočet'!J1336</f>
        <v>0</v>
      </c>
      <c r="K15" s="80">
        <f t="shared" si="1"/>
        <v>0</v>
      </c>
      <c r="L15" s="82" t="s">
        <v>207</v>
      </c>
      <c r="Z15" s="38">
        <f t="shared" si="2"/>
        <v>0</v>
      </c>
      <c r="AB15" s="38">
        <f t="shared" si="3"/>
        <v>0</v>
      </c>
      <c r="AC15" s="38">
        <f t="shared" si="4"/>
        <v>0</v>
      </c>
      <c r="AD15" s="38">
        <f t="shared" si="5"/>
        <v>0</v>
      </c>
      <c r="AE15" s="38">
        <f t="shared" si="6"/>
        <v>0</v>
      </c>
      <c r="AF15" s="38">
        <f t="shared" si="7"/>
        <v>0</v>
      </c>
      <c r="AG15" s="38">
        <f t="shared" si="8"/>
        <v>0</v>
      </c>
      <c r="AH15" s="38">
        <f t="shared" si="9"/>
        <v>0</v>
      </c>
      <c r="AI15" s="50" t="s">
        <v>93</v>
      </c>
      <c r="AJ15" s="80">
        <f t="shared" si="10"/>
        <v>0</v>
      </c>
      <c r="AK15" s="80">
        <f t="shared" si="11"/>
        <v>0</v>
      </c>
      <c r="AL15" s="80">
        <f t="shared" si="12"/>
        <v>0</v>
      </c>
      <c r="AN15" s="38">
        <v>21</v>
      </c>
      <c r="AO15" s="38">
        <f>H15*1</f>
        <v>0</v>
      </c>
      <c r="AP15" s="38">
        <f>H15*(1-1)</f>
        <v>0</v>
      </c>
      <c r="AQ15" s="83" t="s">
        <v>132</v>
      </c>
      <c r="AV15" s="38">
        <f t="shared" si="13"/>
        <v>0</v>
      </c>
      <c r="AW15" s="38">
        <f t="shared" si="14"/>
        <v>0</v>
      </c>
      <c r="AX15" s="38">
        <f t="shared" si="15"/>
        <v>0</v>
      </c>
      <c r="AY15" s="72" t="s">
        <v>2561</v>
      </c>
      <c r="AZ15" s="72" t="s">
        <v>2562</v>
      </c>
      <c r="BA15" s="50" t="s">
        <v>2563</v>
      </c>
      <c r="BC15" s="38">
        <f t="shared" si="16"/>
        <v>0</v>
      </c>
      <c r="BD15" s="38">
        <f t="shared" si="17"/>
        <v>0</v>
      </c>
      <c r="BE15" s="38">
        <v>0</v>
      </c>
      <c r="BF15" s="38">
        <f t="shared" si="18"/>
        <v>0</v>
      </c>
      <c r="BH15" s="80">
        <f t="shared" si="19"/>
        <v>0</v>
      </c>
      <c r="BI15" s="80">
        <f t="shared" si="20"/>
        <v>0</v>
      </c>
      <c r="BJ15" s="80">
        <f t="shared" si="21"/>
        <v>0</v>
      </c>
      <c r="BK15" s="80"/>
      <c r="BL15" s="38"/>
      <c r="BW15" s="38">
        <v>21</v>
      </c>
    </row>
    <row r="16" spans="1:75" ht="13.5" customHeight="1">
      <c r="A16" s="78" t="s">
        <v>149</v>
      </c>
      <c r="B16" s="79" t="s">
        <v>93</v>
      </c>
      <c r="C16" s="79" t="s">
        <v>2569</v>
      </c>
      <c r="D16" s="198" t="s">
        <v>2570</v>
      </c>
      <c r="E16" s="199"/>
      <c r="F16" s="79" t="s">
        <v>2567</v>
      </c>
      <c r="G16" s="80">
        <f>'Stavební rozpočet'!G1337</f>
        <v>195</v>
      </c>
      <c r="H16" s="80">
        <f>'Stavební rozpočet'!H1337</f>
        <v>0</v>
      </c>
      <c r="I16" s="80">
        <f t="shared" si="0"/>
        <v>0</v>
      </c>
      <c r="J16" s="80">
        <f>'Stavební rozpočet'!J1337</f>
        <v>0</v>
      </c>
      <c r="K16" s="80">
        <f t="shared" si="1"/>
        <v>0</v>
      </c>
      <c r="L16" s="82" t="s">
        <v>207</v>
      </c>
      <c r="Z16" s="38">
        <f t="shared" si="2"/>
        <v>0</v>
      </c>
      <c r="AB16" s="38">
        <f t="shared" si="3"/>
        <v>0</v>
      </c>
      <c r="AC16" s="38">
        <f t="shared" si="4"/>
        <v>0</v>
      </c>
      <c r="AD16" s="38">
        <f t="shared" si="5"/>
        <v>0</v>
      </c>
      <c r="AE16" s="38">
        <f t="shared" si="6"/>
        <v>0</v>
      </c>
      <c r="AF16" s="38">
        <f t="shared" si="7"/>
        <v>0</v>
      </c>
      <c r="AG16" s="38">
        <f t="shared" si="8"/>
        <v>0</v>
      </c>
      <c r="AH16" s="38">
        <f t="shared" si="9"/>
        <v>0</v>
      </c>
      <c r="AI16" s="50" t="s">
        <v>93</v>
      </c>
      <c r="AJ16" s="80">
        <f t="shared" si="10"/>
        <v>0</v>
      </c>
      <c r="AK16" s="80">
        <f t="shared" si="11"/>
        <v>0</v>
      </c>
      <c r="AL16" s="80">
        <f t="shared" si="12"/>
        <v>0</v>
      </c>
      <c r="AN16" s="38">
        <v>21</v>
      </c>
      <c r="AO16" s="38">
        <f>H16*1</f>
        <v>0</v>
      </c>
      <c r="AP16" s="38">
        <f>H16*(1-1)</f>
        <v>0</v>
      </c>
      <c r="AQ16" s="83" t="s">
        <v>132</v>
      </c>
      <c r="AV16" s="38">
        <f t="shared" si="13"/>
        <v>0</v>
      </c>
      <c r="AW16" s="38">
        <f t="shared" si="14"/>
        <v>0</v>
      </c>
      <c r="AX16" s="38">
        <f t="shared" si="15"/>
        <v>0</v>
      </c>
      <c r="AY16" s="72" t="s">
        <v>2561</v>
      </c>
      <c r="AZ16" s="72" t="s">
        <v>2562</v>
      </c>
      <c r="BA16" s="50" t="s">
        <v>2563</v>
      </c>
      <c r="BC16" s="38">
        <f t="shared" si="16"/>
        <v>0</v>
      </c>
      <c r="BD16" s="38">
        <f t="shared" si="17"/>
        <v>0</v>
      </c>
      <c r="BE16" s="38">
        <v>0</v>
      </c>
      <c r="BF16" s="38">
        <f t="shared" si="18"/>
        <v>0</v>
      </c>
      <c r="BH16" s="80">
        <f t="shared" si="19"/>
        <v>0</v>
      </c>
      <c r="BI16" s="80">
        <f t="shared" si="20"/>
        <v>0</v>
      </c>
      <c r="BJ16" s="80">
        <f t="shared" si="21"/>
        <v>0</v>
      </c>
      <c r="BK16" s="80"/>
      <c r="BL16" s="38"/>
      <c r="BW16" s="38">
        <v>21</v>
      </c>
    </row>
    <row r="17" spans="1:75" ht="27" customHeight="1">
      <c r="A17" s="1" t="s">
        <v>157</v>
      </c>
      <c r="B17" s="2" t="s">
        <v>93</v>
      </c>
      <c r="C17" s="2" t="s">
        <v>2572</v>
      </c>
      <c r="D17" s="108" t="s">
        <v>2573</v>
      </c>
      <c r="E17" s="103"/>
      <c r="F17" s="2" t="s">
        <v>199</v>
      </c>
      <c r="G17" s="38">
        <f>'Stavební rozpočet'!G1338</f>
        <v>1</v>
      </c>
      <c r="H17" s="38">
        <f>'Stavební rozpočet'!H1338</f>
        <v>0</v>
      </c>
      <c r="I17" s="38">
        <f t="shared" si="0"/>
        <v>0</v>
      </c>
      <c r="J17" s="38">
        <f>'Stavební rozpočet'!J1338</f>
        <v>0</v>
      </c>
      <c r="K17" s="38">
        <f t="shared" si="1"/>
        <v>0</v>
      </c>
      <c r="L17" s="71" t="s">
        <v>207</v>
      </c>
      <c r="Z17" s="38">
        <f t="shared" si="2"/>
        <v>0</v>
      </c>
      <c r="AB17" s="38">
        <f t="shared" si="3"/>
        <v>0</v>
      </c>
      <c r="AC17" s="38">
        <f t="shared" si="4"/>
        <v>0</v>
      </c>
      <c r="AD17" s="38">
        <f t="shared" si="5"/>
        <v>0</v>
      </c>
      <c r="AE17" s="38">
        <f t="shared" si="6"/>
        <v>0</v>
      </c>
      <c r="AF17" s="38">
        <f t="shared" si="7"/>
        <v>0</v>
      </c>
      <c r="AG17" s="38">
        <f t="shared" si="8"/>
        <v>0</v>
      </c>
      <c r="AH17" s="38">
        <f t="shared" si="9"/>
        <v>0</v>
      </c>
      <c r="AI17" s="50" t="s">
        <v>93</v>
      </c>
      <c r="AJ17" s="38">
        <f t="shared" si="10"/>
        <v>0</v>
      </c>
      <c r="AK17" s="38">
        <f t="shared" si="11"/>
        <v>0</v>
      </c>
      <c r="AL17" s="38">
        <f t="shared" si="12"/>
        <v>0</v>
      </c>
      <c r="AN17" s="38">
        <v>21</v>
      </c>
      <c r="AO17" s="38">
        <f>H17*0</f>
        <v>0</v>
      </c>
      <c r="AP17" s="38">
        <f>H17*(1-0)</f>
        <v>0</v>
      </c>
      <c r="AQ17" s="72" t="s">
        <v>132</v>
      </c>
      <c r="AV17" s="38">
        <f t="shared" si="13"/>
        <v>0</v>
      </c>
      <c r="AW17" s="38">
        <f t="shared" si="14"/>
        <v>0</v>
      </c>
      <c r="AX17" s="38">
        <f t="shared" si="15"/>
        <v>0</v>
      </c>
      <c r="AY17" s="72" t="s">
        <v>2561</v>
      </c>
      <c r="AZ17" s="72" t="s">
        <v>2562</v>
      </c>
      <c r="BA17" s="50" t="s">
        <v>2563</v>
      </c>
      <c r="BC17" s="38">
        <f t="shared" si="16"/>
        <v>0</v>
      </c>
      <c r="BD17" s="38">
        <f t="shared" si="17"/>
        <v>0</v>
      </c>
      <c r="BE17" s="38">
        <v>0</v>
      </c>
      <c r="BF17" s="38">
        <f t="shared" si="18"/>
        <v>0</v>
      </c>
      <c r="BH17" s="38">
        <f t="shared" si="19"/>
        <v>0</v>
      </c>
      <c r="BI17" s="38">
        <f t="shared" si="20"/>
        <v>0</v>
      </c>
      <c r="BJ17" s="38">
        <f t="shared" si="21"/>
        <v>0</v>
      </c>
      <c r="BK17" s="38"/>
      <c r="BL17" s="38"/>
      <c r="BW17" s="38">
        <v>21</v>
      </c>
    </row>
    <row r="18" spans="1:75" ht="13.5" customHeight="1">
      <c r="A18" s="78" t="s">
        <v>162</v>
      </c>
      <c r="B18" s="79" t="s">
        <v>93</v>
      </c>
      <c r="C18" s="79" t="s">
        <v>2575</v>
      </c>
      <c r="D18" s="198" t="s">
        <v>2576</v>
      </c>
      <c r="E18" s="199"/>
      <c r="F18" s="79" t="s">
        <v>2567</v>
      </c>
      <c r="G18" s="80">
        <f>'Stavební rozpočet'!G1339</f>
        <v>1</v>
      </c>
      <c r="H18" s="80">
        <f>'Stavební rozpočet'!H1339</f>
        <v>0</v>
      </c>
      <c r="I18" s="80">
        <f t="shared" si="0"/>
        <v>0</v>
      </c>
      <c r="J18" s="80">
        <f>'Stavební rozpočet'!J1339</f>
        <v>0</v>
      </c>
      <c r="K18" s="80">
        <f t="shared" si="1"/>
        <v>0</v>
      </c>
      <c r="L18" s="82" t="s">
        <v>207</v>
      </c>
      <c r="Z18" s="38">
        <f t="shared" si="2"/>
        <v>0</v>
      </c>
      <c r="AB18" s="38">
        <f t="shared" si="3"/>
        <v>0</v>
      </c>
      <c r="AC18" s="38">
        <f t="shared" si="4"/>
        <v>0</v>
      </c>
      <c r="AD18" s="38">
        <f t="shared" si="5"/>
        <v>0</v>
      </c>
      <c r="AE18" s="38">
        <f t="shared" si="6"/>
        <v>0</v>
      </c>
      <c r="AF18" s="38">
        <f t="shared" si="7"/>
        <v>0</v>
      </c>
      <c r="AG18" s="38">
        <f t="shared" si="8"/>
        <v>0</v>
      </c>
      <c r="AH18" s="38">
        <f t="shared" si="9"/>
        <v>0</v>
      </c>
      <c r="AI18" s="50" t="s">
        <v>93</v>
      </c>
      <c r="AJ18" s="80">
        <f t="shared" si="10"/>
        <v>0</v>
      </c>
      <c r="AK18" s="80">
        <f t="shared" si="11"/>
        <v>0</v>
      </c>
      <c r="AL18" s="80">
        <f t="shared" si="12"/>
        <v>0</v>
      </c>
      <c r="AN18" s="38">
        <v>21</v>
      </c>
      <c r="AO18" s="38">
        <f>H18*1</f>
        <v>0</v>
      </c>
      <c r="AP18" s="38">
        <f>H18*(1-1)</f>
        <v>0</v>
      </c>
      <c r="AQ18" s="83" t="s">
        <v>132</v>
      </c>
      <c r="AV18" s="38">
        <f t="shared" si="13"/>
        <v>0</v>
      </c>
      <c r="AW18" s="38">
        <f t="shared" si="14"/>
        <v>0</v>
      </c>
      <c r="AX18" s="38">
        <f t="shared" si="15"/>
        <v>0</v>
      </c>
      <c r="AY18" s="72" t="s">
        <v>2561</v>
      </c>
      <c r="AZ18" s="72" t="s">
        <v>2562</v>
      </c>
      <c r="BA18" s="50" t="s">
        <v>2563</v>
      </c>
      <c r="BC18" s="38">
        <f t="shared" si="16"/>
        <v>0</v>
      </c>
      <c r="BD18" s="38">
        <f t="shared" si="17"/>
        <v>0</v>
      </c>
      <c r="BE18" s="38">
        <v>0</v>
      </c>
      <c r="BF18" s="38">
        <f t="shared" si="18"/>
        <v>0</v>
      </c>
      <c r="BH18" s="80">
        <f t="shared" si="19"/>
        <v>0</v>
      </c>
      <c r="BI18" s="80">
        <f t="shared" si="20"/>
        <v>0</v>
      </c>
      <c r="BJ18" s="80">
        <f t="shared" si="21"/>
        <v>0</v>
      </c>
      <c r="BK18" s="80"/>
      <c r="BL18" s="38"/>
      <c r="BW18" s="38">
        <v>21</v>
      </c>
    </row>
    <row r="19" spans="1:75" ht="13.5" customHeight="1">
      <c r="A19" s="78" t="s">
        <v>166</v>
      </c>
      <c r="B19" s="79" t="s">
        <v>93</v>
      </c>
      <c r="C19" s="79" t="s">
        <v>2578</v>
      </c>
      <c r="D19" s="198" t="s">
        <v>2579</v>
      </c>
      <c r="E19" s="199"/>
      <c r="F19" s="79" t="s">
        <v>2567</v>
      </c>
      <c r="G19" s="80">
        <f>'Stavební rozpočet'!G1340</f>
        <v>1</v>
      </c>
      <c r="H19" s="80">
        <f>'Stavební rozpočet'!H1340</f>
        <v>0</v>
      </c>
      <c r="I19" s="80">
        <f t="shared" si="0"/>
        <v>0</v>
      </c>
      <c r="J19" s="80">
        <f>'Stavební rozpočet'!J1340</f>
        <v>0</v>
      </c>
      <c r="K19" s="80">
        <f t="shared" si="1"/>
        <v>0</v>
      </c>
      <c r="L19" s="82" t="s">
        <v>207</v>
      </c>
      <c r="Z19" s="38">
        <f t="shared" si="2"/>
        <v>0</v>
      </c>
      <c r="AB19" s="38">
        <f t="shared" si="3"/>
        <v>0</v>
      </c>
      <c r="AC19" s="38">
        <f t="shared" si="4"/>
        <v>0</v>
      </c>
      <c r="AD19" s="38">
        <f t="shared" si="5"/>
        <v>0</v>
      </c>
      <c r="AE19" s="38">
        <f t="shared" si="6"/>
        <v>0</v>
      </c>
      <c r="AF19" s="38">
        <f t="shared" si="7"/>
        <v>0</v>
      </c>
      <c r="AG19" s="38">
        <f t="shared" si="8"/>
        <v>0</v>
      </c>
      <c r="AH19" s="38">
        <f t="shared" si="9"/>
        <v>0</v>
      </c>
      <c r="AI19" s="50" t="s">
        <v>93</v>
      </c>
      <c r="AJ19" s="80">
        <f t="shared" si="10"/>
        <v>0</v>
      </c>
      <c r="AK19" s="80">
        <f t="shared" si="11"/>
        <v>0</v>
      </c>
      <c r="AL19" s="80">
        <f t="shared" si="12"/>
        <v>0</v>
      </c>
      <c r="AN19" s="38">
        <v>21</v>
      </c>
      <c r="AO19" s="38">
        <f>H19*1</f>
        <v>0</v>
      </c>
      <c r="AP19" s="38">
        <f>H19*(1-1)</f>
        <v>0</v>
      </c>
      <c r="AQ19" s="83" t="s">
        <v>132</v>
      </c>
      <c r="AV19" s="38">
        <f t="shared" si="13"/>
        <v>0</v>
      </c>
      <c r="AW19" s="38">
        <f t="shared" si="14"/>
        <v>0</v>
      </c>
      <c r="AX19" s="38">
        <f t="shared" si="15"/>
        <v>0</v>
      </c>
      <c r="AY19" s="72" t="s">
        <v>2561</v>
      </c>
      <c r="AZ19" s="72" t="s">
        <v>2562</v>
      </c>
      <c r="BA19" s="50" t="s">
        <v>2563</v>
      </c>
      <c r="BC19" s="38">
        <f t="shared" si="16"/>
        <v>0</v>
      </c>
      <c r="BD19" s="38">
        <f t="shared" si="17"/>
        <v>0</v>
      </c>
      <c r="BE19" s="38">
        <v>0</v>
      </c>
      <c r="BF19" s="38">
        <f t="shared" si="18"/>
        <v>0</v>
      </c>
      <c r="BH19" s="80">
        <f t="shared" si="19"/>
        <v>0</v>
      </c>
      <c r="BI19" s="80">
        <f t="shared" si="20"/>
        <v>0</v>
      </c>
      <c r="BJ19" s="80">
        <f t="shared" si="21"/>
        <v>0</v>
      </c>
      <c r="BK19" s="80"/>
      <c r="BL19" s="38"/>
      <c r="BW19" s="38">
        <v>21</v>
      </c>
    </row>
    <row r="20" spans="1:75" ht="27" customHeight="1">
      <c r="A20" s="1" t="s">
        <v>169</v>
      </c>
      <c r="B20" s="2" t="s">
        <v>93</v>
      </c>
      <c r="C20" s="2" t="s">
        <v>2581</v>
      </c>
      <c r="D20" s="108" t="s">
        <v>2573</v>
      </c>
      <c r="E20" s="103"/>
      <c r="F20" s="2" t="s">
        <v>199</v>
      </c>
      <c r="G20" s="38">
        <f>'Stavební rozpočet'!G1341</f>
        <v>46</v>
      </c>
      <c r="H20" s="38">
        <f>'Stavební rozpočet'!H1341</f>
        <v>0</v>
      </c>
      <c r="I20" s="38">
        <f t="shared" si="0"/>
        <v>0</v>
      </c>
      <c r="J20" s="38">
        <f>'Stavební rozpočet'!J1341</f>
        <v>0</v>
      </c>
      <c r="K20" s="38">
        <f t="shared" si="1"/>
        <v>0</v>
      </c>
      <c r="L20" s="71" t="s">
        <v>207</v>
      </c>
      <c r="Z20" s="38">
        <f t="shared" si="2"/>
        <v>0</v>
      </c>
      <c r="AB20" s="38">
        <f t="shared" si="3"/>
        <v>0</v>
      </c>
      <c r="AC20" s="38">
        <f t="shared" si="4"/>
        <v>0</v>
      </c>
      <c r="AD20" s="38">
        <f t="shared" si="5"/>
        <v>0</v>
      </c>
      <c r="AE20" s="38">
        <f t="shared" si="6"/>
        <v>0</v>
      </c>
      <c r="AF20" s="38">
        <f t="shared" si="7"/>
        <v>0</v>
      </c>
      <c r="AG20" s="38">
        <f t="shared" si="8"/>
        <v>0</v>
      </c>
      <c r="AH20" s="38">
        <f t="shared" si="9"/>
        <v>0</v>
      </c>
      <c r="AI20" s="50" t="s">
        <v>93</v>
      </c>
      <c r="AJ20" s="38">
        <f t="shared" si="10"/>
        <v>0</v>
      </c>
      <c r="AK20" s="38">
        <f t="shared" si="11"/>
        <v>0</v>
      </c>
      <c r="AL20" s="38">
        <f t="shared" si="12"/>
        <v>0</v>
      </c>
      <c r="AN20" s="38">
        <v>21</v>
      </c>
      <c r="AO20" s="38">
        <f>H20*0</f>
        <v>0</v>
      </c>
      <c r="AP20" s="38">
        <f>H20*(1-0)</f>
        <v>0</v>
      </c>
      <c r="AQ20" s="72" t="s">
        <v>132</v>
      </c>
      <c r="AV20" s="38">
        <f t="shared" si="13"/>
        <v>0</v>
      </c>
      <c r="AW20" s="38">
        <f t="shared" si="14"/>
        <v>0</v>
      </c>
      <c r="AX20" s="38">
        <f t="shared" si="15"/>
        <v>0</v>
      </c>
      <c r="AY20" s="72" t="s">
        <v>2561</v>
      </c>
      <c r="AZ20" s="72" t="s">
        <v>2562</v>
      </c>
      <c r="BA20" s="50" t="s">
        <v>2563</v>
      </c>
      <c r="BC20" s="38">
        <f t="shared" si="16"/>
        <v>0</v>
      </c>
      <c r="BD20" s="38">
        <f t="shared" si="17"/>
        <v>0</v>
      </c>
      <c r="BE20" s="38">
        <v>0</v>
      </c>
      <c r="BF20" s="38">
        <f t="shared" si="18"/>
        <v>0</v>
      </c>
      <c r="BH20" s="38">
        <f t="shared" si="19"/>
        <v>0</v>
      </c>
      <c r="BI20" s="38">
        <f t="shared" si="20"/>
        <v>0</v>
      </c>
      <c r="BJ20" s="38">
        <f t="shared" si="21"/>
        <v>0</v>
      </c>
      <c r="BK20" s="38"/>
      <c r="BL20" s="38"/>
      <c r="BW20" s="38">
        <v>21</v>
      </c>
    </row>
    <row r="21" spans="1:75" ht="27" customHeight="1">
      <c r="A21" s="78" t="s">
        <v>174</v>
      </c>
      <c r="B21" s="79" t="s">
        <v>93</v>
      </c>
      <c r="C21" s="79" t="s">
        <v>2583</v>
      </c>
      <c r="D21" s="198" t="s">
        <v>2584</v>
      </c>
      <c r="E21" s="199"/>
      <c r="F21" s="79" t="s">
        <v>2567</v>
      </c>
      <c r="G21" s="80">
        <f>'Stavební rozpočet'!G1342</f>
        <v>46</v>
      </c>
      <c r="H21" s="80">
        <f>'Stavební rozpočet'!H1342</f>
        <v>0</v>
      </c>
      <c r="I21" s="80">
        <f t="shared" si="0"/>
        <v>0</v>
      </c>
      <c r="J21" s="80">
        <f>'Stavební rozpočet'!J1342</f>
        <v>0</v>
      </c>
      <c r="K21" s="80">
        <f t="shared" si="1"/>
        <v>0</v>
      </c>
      <c r="L21" s="82" t="s">
        <v>207</v>
      </c>
      <c r="Z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0</v>
      </c>
      <c r="AE21" s="38">
        <f t="shared" si="6"/>
        <v>0</v>
      </c>
      <c r="AF21" s="38">
        <f t="shared" si="7"/>
        <v>0</v>
      </c>
      <c r="AG21" s="38">
        <f t="shared" si="8"/>
        <v>0</v>
      </c>
      <c r="AH21" s="38">
        <f t="shared" si="9"/>
        <v>0</v>
      </c>
      <c r="AI21" s="50" t="s">
        <v>93</v>
      </c>
      <c r="AJ21" s="80">
        <f t="shared" si="10"/>
        <v>0</v>
      </c>
      <c r="AK21" s="80">
        <f t="shared" si="11"/>
        <v>0</v>
      </c>
      <c r="AL21" s="80">
        <f t="shared" si="12"/>
        <v>0</v>
      </c>
      <c r="AN21" s="38">
        <v>21</v>
      </c>
      <c r="AO21" s="38">
        <f>H21*1</f>
        <v>0</v>
      </c>
      <c r="AP21" s="38">
        <f>H21*(1-1)</f>
        <v>0</v>
      </c>
      <c r="AQ21" s="83" t="s">
        <v>132</v>
      </c>
      <c r="AV21" s="38">
        <f t="shared" si="13"/>
        <v>0</v>
      </c>
      <c r="AW21" s="38">
        <f t="shared" si="14"/>
        <v>0</v>
      </c>
      <c r="AX21" s="38">
        <f t="shared" si="15"/>
        <v>0</v>
      </c>
      <c r="AY21" s="72" t="s">
        <v>2561</v>
      </c>
      <c r="AZ21" s="72" t="s">
        <v>2562</v>
      </c>
      <c r="BA21" s="50" t="s">
        <v>2563</v>
      </c>
      <c r="BC21" s="38">
        <f t="shared" si="16"/>
        <v>0</v>
      </c>
      <c r="BD21" s="38">
        <f t="shared" si="17"/>
        <v>0</v>
      </c>
      <c r="BE21" s="38">
        <v>0</v>
      </c>
      <c r="BF21" s="38">
        <f t="shared" si="18"/>
        <v>0</v>
      </c>
      <c r="BH21" s="80">
        <f t="shared" si="19"/>
        <v>0</v>
      </c>
      <c r="BI21" s="80">
        <f t="shared" si="20"/>
        <v>0</v>
      </c>
      <c r="BJ21" s="80">
        <f t="shared" si="21"/>
        <v>0</v>
      </c>
      <c r="BK21" s="80"/>
      <c r="BL21" s="38"/>
      <c r="BW21" s="38">
        <v>21</v>
      </c>
    </row>
    <row r="22" spans="1:75" ht="13.5" customHeight="1">
      <c r="A22" s="78" t="s">
        <v>180</v>
      </c>
      <c r="B22" s="79" t="s">
        <v>93</v>
      </c>
      <c r="C22" s="79" t="s">
        <v>2586</v>
      </c>
      <c r="D22" s="198" t="s">
        <v>2587</v>
      </c>
      <c r="E22" s="199"/>
      <c r="F22" s="79" t="s">
        <v>2567</v>
      </c>
      <c r="G22" s="80">
        <f>'Stavební rozpočet'!G1343</f>
        <v>46</v>
      </c>
      <c r="H22" s="80">
        <f>'Stavební rozpočet'!H1343</f>
        <v>0</v>
      </c>
      <c r="I22" s="80">
        <f t="shared" si="0"/>
        <v>0</v>
      </c>
      <c r="J22" s="80">
        <f>'Stavební rozpočet'!J1343</f>
        <v>0</v>
      </c>
      <c r="K22" s="80">
        <f t="shared" si="1"/>
        <v>0</v>
      </c>
      <c r="L22" s="82" t="s">
        <v>207</v>
      </c>
      <c r="Z22" s="38">
        <f t="shared" si="2"/>
        <v>0</v>
      </c>
      <c r="AB22" s="38">
        <f t="shared" si="3"/>
        <v>0</v>
      </c>
      <c r="AC22" s="38">
        <f t="shared" si="4"/>
        <v>0</v>
      </c>
      <c r="AD22" s="38">
        <f t="shared" si="5"/>
        <v>0</v>
      </c>
      <c r="AE22" s="38">
        <f t="shared" si="6"/>
        <v>0</v>
      </c>
      <c r="AF22" s="38">
        <f t="shared" si="7"/>
        <v>0</v>
      </c>
      <c r="AG22" s="38">
        <f t="shared" si="8"/>
        <v>0</v>
      </c>
      <c r="AH22" s="38">
        <f t="shared" si="9"/>
        <v>0</v>
      </c>
      <c r="AI22" s="50" t="s">
        <v>93</v>
      </c>
      <c r="AJ22" s="80">
        <f t="shared" si="10"/>
        <v>0</v>
      </c>
      <c r="AK22" s="80">
        <f t="shared" si="11"/>
        <v>0</v>
      </c>
      <c r="AL22" s="80">
        <f t="shared" si="12"/>
        <v>0</v>
      </c>
      <c r="AN22" s="38">
        <v>21</v>
      </c>
      <c r="AO22" s="38">
        <f>H22*1</f>
        <v>0</v>
      </c>
      <c r="AP22" s="38">
        <f>H22*(1-1)</f>
        <v>0</v>
      </c>
      <c r="AQ22" s="83" t="s">
        <v>132</v>
      </c>
      <c r="AV22" s="38">
        <f t="shared" si="13"/>
        <v>0</v>
      </c>
      <c r="AW22" s="38">
        <f t="shared" si="14"/>
        <v>0</v>
      </c>
      <c r="AX22" s="38">
        <f t="shared" si="15"/>
        <v>0</v>
      </c>
      <c r="AY22" s="72" t="s">
        <v>2561</v>
      </c>
      <c r="AZ22" s="72" t="s">
        <v>2562</v>
      </c>
      <c r="BA22" s="50" t="s">
        <v>2563</v>
      </c>
      <c r="BC22" s="38">
        <f t="shared" si="16"/>
        <v>0</v>
      </c>
      <c r="BD22" s="38">
        <f t="shared" si="17"/>
        <v>0</v>
      </c>
      <c r="BE22" s="38">
        <v>0</v>
      </c>
      <c r="BF22" s="38">
        <f t="shared" si="18"/>
        <v>0</v>
      </c>
      <c r="BH22" s="80">
        <f t="shared" si="19"/>
        <v>0</v>
      </c>
      <c r="BI22" s="80">
        <f t="shared" si="20"/>
        <v>0</v>
      </c>
      <c r="BJ22" s="80">
        <f t="shared" si="21"/>
        <v>0</v>
      </c>
      <c r="BK22" s="80"/>
      <c r="BL22" s="38"/>
      <c r="BW22" s="38">
        <v>21</v>
      </c>
    </row>
    <row r="23" spans="1:75" ht="27" customHeight="1">
      <c r="A23" s="1" t="s">
        <v>186</v>
      </c>
      <c r="B23" s="2" t="s">
        <v>93</v>
      </c>
      <c r="C23" s="2" t="s">
        <v>2589</v>
      </c>
      <c r="D23" s="108" t="s">
        <v>2590</v>
      </c>
      <c r="E23" s="103"/>
      <c r="F23" s="2" t="s">
        <v>199</v>
      </c>
      <c r="G23" s="38">
        <f>'Stavební rozpočet'!G1344</f>
        <v>2</v>
      </c>
      <c r="H23" s="38">
        <f>'Stavební rozpočet'!H1344</f>
        <v>0</v>
      </c>
      <c r="I23" s="38">
        <f t="shared" si="0"/>
        <v>0</v>
      </c>
      <c r="J23" s="38">
        <f>'Stavební rozpočet'!J1344</f>
        <v>0</v>
      </c>
      <c r="K23" s="38">
        <f t="shared" si="1"/>
        <v>0</v>
      </c>
      <c r="L23" s="71" t="s">
        <v>207</v>
      </c>
      <c r="Z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0</v>
      </c>
      <c r="AF23" s="38">
        <f t="shared" si="7"/>
        <v>0</v>
      </c>
      <c r="AG23" s="38">
        <f t="shared" si="8"/>
        <v>0</v>
      </c>
      <c r="AH23" s="38">
        <f t="shared" si="9"/>
        <v>0</v>
      </c>
      <c r="AI23" s="50" t="s">
        <v>93</v>
      </c>
      <c r="AJ23" s="38">
        <f t="shared" si="10"/>
        <v>0</v>
      </c>
      <c r="AK23" s="38">
        <f t="shared" si="11"/>
        <v>0</v>
      </c>
      <c r="AL23" s="38">
        <f t="shared" si="12"/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132</v>
      </c>
      <c r="AV23" s="38">
        <f t="shared" si="13"/>
        <v>0</v>
      </c>
      <c r="AW23" s="38">
        <f t="shared" si="14"/>
        <v>0</v>
      </c>
      <c r="AX23" s="38">
        <f t="shared" si="15"/>
        <v>0</v>
      </c>
      <c r="AY23" s="72" t="s">
        <v>2561</v>
      </c>
      <c r="AZ23" s="72" t="s">
        <v>2562</v>
      </c>
      <c r="BA23" s="50" t="s">
        <v>2563</v>
      </c>
      <c r="BC23" s="38">
        <f t="shared" si="16"/>
        <v>0</v>
      </c>
      <c r="BD23" s="38">
        <f t="shared" si="17"/>
        <v>0</v>
      </c>
      <c r="BE23" s="38">
        <v>0</v>
      </c>
      <c r="BF23" s="38">
        <f t="shared" si="18"/>
        <v>0</v>
      </c>
      <c r="BH23" s="38">
        <f t="shared" si="19"/>
        <v>0</v>
      </c>
      <c r="BI23" s="38">
        <f t="shared" si="20"/>
        <v>0</v>
      </c>
      <c r="BJ23" s="38">
        <f t="shared" si="21"/>
        <v>0</v>
      </c>
      <c r="BK23" s="38"/>
      <c r="BL23" s="38"/>
      <c r="BW23" s="38">
        <v>21</v>
      </c>
    </row>
    <row r="24" spans="1:75" ht="27" customHeight="1">
      <c r="A24" s="78" t="s">
        <v>191</v>
      </c>
      <c r="B24" s="79" t="s">
        <v>93</v>
      </c>
      <c r="C24" s="79" t="s">
        <v>2592</v>
      </c>
      <c r="D24" s="198" t="s">
        <v>2593</v>
      </c>
      <c r="E24" s="199"/>
      <c r="F24" s="79" t="s">
        <v>2567</v>
      </c>
      <c r="G24" s="80">
        <f>'Stavební rozpočet'!G1345</f>
        <v>2</v>
      </c>
      <c r="H24" s="80">
        <f>'Stavební rozpočet'!H1345</f>
        <v>0</v>
      </c>
      <c r="I24" s="80">
        <f t="shared" si="0"/>
        <v>0</v>
      </c>
      <c r="J24" s="80">
        <f>'Stavební rozpočet'!J1345</f>
        <v>0</v>
      </c>
      <c r="K24" s="80">
        <f t="shared" si="1"/>
        <v>0</v>
      </c>
      <c r="L24" s="82" t="s">
        <v>207</v>
      </c>
      <c r="Z24" s="38">
        <f t="shared" si="2"/>
        <v>0</v>
      </c>
      <c r="AB24" s="38">
        <f t="shared" si="3"/>
        <v>0</v>
      </c>
      <c r="AC24" s="38">
        <f t="shared" si="4"/>
        <v>0</v>
      </c>
      <c r="AD24" s="38">
        <f t="shared" si="5"/>
        <v>0</v>
      </c>
      <c r="AE24" s="38">
        <f t="shared" si="6"/>
        <v>0</v>
      </c>
      <c r="AF24" s="38">
        <f t="shared" si="7"/>
        <v>0</v>
      </c>
      <c r="AG24" s="38">
        <f t="shared" si="8"/>
        <v>0</v>
      </c>
      <c r="AH24" s="38">
        <f t="shared" si="9"/>
        <v>0</v>
      </c>
      <c r="AI24" s="50" t="s">
        <v>93</v>
      </c>
      <c r="AJ24" s="80">
        <f t="shared" si="10"/>
        <v>0</v>
      </c>
      <c r="AK24" s="80">
        <f t="shared" si="11"/>
        <v>0</v>
      </c>
      <c r="AL24" s="80">
        <f t="shared" si="12"/>
        <v>0</v>
      </c>
      <c r="AN24" s="38">
        <v>21</v>
      </c>
      <c r="AO24" s="38">
        <f>H24*1</f>
        <v>0</v>
      </c>
      <c r="AP24" s="38">
        <f>H24*(1-1)</f>
        <v>0</v>
      </c>
      <c r="AQ24" s="83" t="s">
        <v>132</v>
      </c>
      <c r="AV24" s="38">
        <f t="shared" si="13"/>
        <v>0</v>
      </c>
      <c r="AW24" s="38">
        <f t="shared" si="14"/>
        <v>0</v>
      </c>
      <c r="AX24" s="38">
        <f t="shared" si="15"/>
        <v>0</v>
      </c>
      <c r="AY24" s="72" t="s">
        <v>2561</v>
      </c>
      <c r="AZ24" s="72" t="s">
        <v>2562</v>
      </c>
      <c r="BA24" s="50" t="s">
        <v>2563</v>
      </c>
      <c r="BC24" s="38">
        <f t="shared" si="16"/>
        <v>0</v>
      </c>
      <c r="BD24" s="38">
        <f t="shared" si="17"/>
        <v>0</v>
      </c>
      <c r="BE24" s="38">
        <v>0</v>
      </c>
      <c r="BF24" s="38">
        <f t="shared" si="18"/>
        <v>0</v>
      </c>
      <c r="BH24" s="80">
        <f t="shared" si="19"/>
        <v>0</v>
      </c>
      <c r="BI24" s="80">
        <f t="shared" si="20"/>
        <v>0</v>
      </c>
      <c r="BJ24" s="80">
        <f t="shared" si="21"/>
        <v>0</v>
      </c>
      <c r="BK24" s="80"/>
      <c r="BL24" s="38"/>
      <c r="BW24" s="38">
        <v>21</v>
      </c>
    </row>
    <row r="25" spans="1:75" ht="13.5" customHeight="1">
      <c r="A25" s="78" t="s">
        <v>130</v>
      </c>
      <c r="B25" s="79" t="s">
        <v>93</v>
      </c>
      <c r="C25" s="79" t="s">
        <v>2595</v>
      </c>
      <c r="D25" s="198" t="s">
        <v>2596</v>
      </c>
      <c r="E25" s="199"/>
      <c r="F25" s="79" t="s">
        <v>2567</v>
      </c>
      <c r="G25" s="80">
        <f>'Stavební rozpočet'!G1346</f>
        <v>2</v>
      </c>
      <c r="H25" s="80">
        <f>'Stavební rozpočet'!H1346</f>
        <v>0</v>
      </c>
      <c r="I25" s="80">
        <f t="shared" si="0"/>
        <v>0</v>
      </c>
      <c r="J25" s="80">
        <f>'Stavební rozpočet'!J1346</f>
        <v>0</v>
      </c>
      <c r="K25" s="80">
        <f t="shared" si="1"/>
        <v>0</v>
      </c>
      <c r="L25" s="82" t="s">
        <v>207</v>
      </c>
      <c r="Z25" s="38">
        <f t="shared" si="2"/>
        <v>0</v>
      </c>
      <c r="AB25" s="38">
        <f t="shared" si="3"/>
        <v>0</v>
      </c>
      <c r="AC25" s="38">
        <f t="shared" si="4"/>
        <v>0</v>
      </c>
      <c r="AD25" s="38">
        <f t="shared" si="5"/>
        <v>0</v>
      </c>
      <c r="AE25" s="38">
        <f t="shared" si="6"/>
        <v>0</v>
      </c>
      <c r="AF25" s="38">
        <f t="shared" si="7"/>
        <v>0</v>
      </c>
      <c r="AG25" s="38">
        <f t="shared" si="8"/>
        <v>0</v>
      </c>
      <c r="AH25" s="38">
        <f t="shared" si="9"/>
        <v>0</v>
      </c>
      <c r="AI25" s="50" t="s">
        <v>93</v>
      </c>
      <c r="AJ25" s="80">
        <f t="shared" si="10"/>
        <v>0</v>
      </c>
      <c r="AK25" s="80">
        <f t="shared" si="11"/>
        <v>0</v>
      </c>
      <c r="AL25" s="80">
        <f t="shared" si="12"/>
        <v>0</v>
      </c>
      <c r="AN25" s="38">
        <v>21</v>
      </c>
      <c r="AO25" s="38">
        <f>H25*1</f>
        <v>0</v>
      </c>
      <c r="AP25" s="38">
        <f>H25*(1-1)</f>
        <v>0</v>
      </c>
      <c r="AQ25" s="83" t="s">
        <v>132</v>
      </c>
      <c r="AV25" s="38">
        <f t="shared" si="13"/>
        <v>0</v>
      </c>
      <c r="AW25" s="38">
        <f t="shared" si="14"/>
        <v>0</v>
      </c>
      <c r="AX25" s="38">
        <f t="shared" si="15"/>
        <v>0</v>
      </c>
      <c r="AY25" s="72" t="s">
        <v>2561</v>
      </c>
      <c r="AZ25" s="72" t="s">
        <v>2562</v>
      </c>
      <c r="BA25" s="50" t="s">
        <v>2563</v>
      </c>
      <c r="BC25" s="38">
        <f t="shared" si="16"/>
        <v>0</v>
      </c>
      <c r="BD25" s="38">
        <f t="shared" si="17"/>
        <v>0</v>
      </c>
      <c r="BE25" s="38">
        <v>0</v>
      </c>
      <c r="BF25" s="38">
        <f t="shared" si="18"/>
        <v>0</v>
      </c>
      <c r="BH25" s="80">
        <f t="shared" si="19"/>
        <v>0</v>
      </c>
      <c r="BI25" s="80">
        <f t="shared" si="20"/>
        <v>0</v>
      </c>
      <c r="BJ25" s="80">
        <f t="shared" si="21"/>
        <v>0</v>
      </c>
      <c r="BK25" s="80"/>
      <c r="BL25" s="38"/>
      <c r="BW25" s="38">
        <v>21</v>
      </c>
    </row>
    <row r="26" spans="1:75" ht="13.5" customHeight="1">
      <c r="A26" s="78" t="s">
        <v>147</v>
      </c>
      <c r="B26" s="79" t="s">
        <v>93</v>
      </c>
      <c r="C26" s="79" t="s">
        <v>2598</v>
      </c>
      <c r="D26" s="198" t="s">
        <v>2599</v>
      </c>
      <c r="E26" s="199"/>
      <c r="F26" s="79" t="s">
        <v>2567</v>
      </c>
      <c r="G26" s="80">
        <f>'Stavební rozpočet'!G1347</f>
        <v>2</v>
      </c>
      <c r="H26" s="80">
        <f>'Stavební rozpočet'!H1347</f>
        <v>0</v>
      </c>
      <c r="I26" s="80">
        <f t="shared" si="0"/>
        <v>0</v>
      </c>
      <c r="J26" s="80">
        <f>'Stavební rozpočet'!J1347</f>
        <v>0</v>
      </c>
      <c r="K26" s="80">
        <f t="shared" si="1"/>
        <v>0</v>
      </c>
      <c r="L26" s="82" t="s">
        <v>207</v>
      </c>
      <c r="Z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0</v>
      </c>
      <c r="AF26" s="38">
        <f t="shared" si="7"/>
        <v>0</v>
      </c>
      <c r="AG26" s="38">
        <f t="shared" si="8"/>
        <v>0</v>
      </c>
      <c r="AH26" s="38">
        <f t="shared" si="9"/>
        <v>0</v>
      </c>
      <c r="AI26" s="50" t="s">
        <v>93</v>
      </c>
      <c r="AJ26" s="80">
        <f t="shared" si="10"/>
        <v>0</v>
      </c>
      <c r="AK26" s="80">
        <f t="shared" si="11"/>
        <v>0</v>
      </c>
      <c r="AL26" s="80">
        <f t="shared" si="12"/>
        <v>0</v>
      </c>
      <c r="AN26" s="38">
        <v>21</v>
      </c>
      <c r="AO26" s="38">
        <f>H26*1</f>
        <v>0</v>
      </c>
      <c r="AP26" s="38">
        <f>H26*(1-1)</f>
        <v>0</v>
      </c>
      <c r="AQ26" s="83" t="s">
        <v>132</v>
      </c>
      <c r="AV26" s="38">
        <f t="shared" si="13"/>
        <v>0</v>
      </c>
      <c r="AW26" s="38">
        <f t="shared" si="14"/>
        <v>0</v>
      </c>
      <c r="AX26" s="38">
        <f t="shared" si="15"/>
        <v>0</v>
      </c>
      <c r="AY26" s="72" t="s">
        <v>2561</v>
      </c>
      <c r="AZ26" s="72" t="s">
        <v>2562</v>
      </c>
      <c r="BA26" s="50" t="s">
        <v>2563</v>
      </c>
      <c r="BC26" s="38">
        <f t="shared" si="16"/>
        <v>0</v>
      </c>
      <c r="BD26" s="38">
        <f t="shared" si="17"/>
        <v>0</v>
      </c>
      <c r="BE26" s="38">
        <v>0</v>
      </c>
      <c r="BF26" s="38">
        <f t="shared" si="18"/>
        <v>0</v>
      </c>
      <c r="BH26" s="80">
        <f t="shared" si="19"/>
        <v>0</v>
      </c>
      <c r="BI26" s="80">
        <f t="shared" si="20"/>
        <v>0</v>
      </c>
      <c r="BJ26" s="80">
        <f t="shared" si="21"/>
        <v>0</v>
      </c>
      <c r="BK26" s="80"/>
      <c r="BL26" s="38"/>
      <c r="BW26" s="38">
        <v>21</v>
      </c>
    </row>
    <row r="27" spans="1:75" ht="27" customHeight="1">
      <c r="A27" s="1" t="s">
        <v>211</v>
      </c>
      <c r="B27" s="2" t="s">
        <v>93</v>
      </c>
      <c r="C27" s="2" t="s">
        <v>2601</v>
      </c>
      <c r="D27" s="108" t="s">
        <v>2602</v>
      </c>
      <c r="E27" s="103"/>
      <c r="F27" s="2" t="s">
        <v>199</v>
      </c>
      <c r="G27" s="38">
        <f>'Stavební rozpočet'!G1348</f>
        <v>1</v>
      </c>
      <c r="H27" s="38">
        <f>'Stavební rozpočet'!H1348</f>
        <v>0</v>
      </c>
      <c r="I27" s="38">
        <f t="shared" si="0"/>
        <v>0</v>
      </c>
      <c r="J27" s="38">
        <f>'Stavební rozpočet'!J1348</f>
        <v>0</v>
      </c>
      <c r="K27" s="38">
        <f t="shared" si="1"/>
        <v>0</v>
      </c>
      <c r="L27" s="71" t="s">
        <v>207</v>
      </c>
      <c r="Z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0</v>
      </c>
      <c r="AE27" s="38">
        <f t="shared" si="6"/>
        <v>0</v>
      </c>
      <c r="AF27" s="38">
        <f t="shared" si="7"/>
        <v>0</v>
      </c>
      <c r="AG27" s="38">
        <f t="shared" si="8"/>
        <v>0</v>
      </c>
      <c r="AH27" s="38">
        <f t="shared" si="9"/>
        <v>0</v>
      </c>
      <c r="AI27" s="50" t="s">
        <v>93</v>
      </c>
      <c r="AJ27" s="38">
        <f t="shared" si="10"/>
        <v>0</v>
      </c>
      <c r="AK27" s="38">
        <f t="shared" si="11"/>
        <v>0</v>
      </c>
      <c r="AL27" s="38">
        <f t="shared" si="12"/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132</v>
      </c>
      <c r="AV27" s="38">
        <f t="shared" si="13"/>
        <v>0</v>
      </c>
      <c r="AW27" s="38">
        <f t="shared" si="14"/>
        <v>0</v>
      </c>
      <c r="AX27" s="38">
        <f t="shared" si="15"/>
        <v>0</v>
      </c>
      <c r="AY27" s="72" t="s">
        <v>2561</v>
      </c>
      <c r="AZ27" s="72" t="s">
        <v>2562</v>
      </c>
      <c r="BA27" s="50" t="s">
        <v>2563</v>
      </c>
      <c r="BC27" s="38">
        <f t="shared" si="16"/>
        <v>0</v>
      </c>
      <c r="BD27" s="38">
        <f t="shared" si="17"/>
        <v>0</v>
      </c>
      <c r="BE27" s="38">
        <v>0</v>
      </c>
      <c r="BF27" s="38">
        <f t="shared" si="18"/>
        <v>0</v>
      </c>
      <c r="BH27" s="38">
        <f t="shared" si="19"/>
        <v>0</v>
      </c>
      <c r="BI27" s="38">
        <f t="shared" si="20"/>
        <v>0</v>
      </c>
      <c r="BJ27" s="38">
        <f t="shared" si="21"/>
        <v>0</v>
      </c>
      <c r="BK27" s="38"/>
      <c r="BL27" s="38"/>
      <c r="BW27" s="38">
        <v>21</v>
      </c>
    </row>
    <row r="28" spans="1:75" ht="27" customHeight="1">
      <c r="A28" s="1" t="s">
        <v>217</v>
      </c>
      <c r="B28" s="2" t="s">
        <v>93</v>
      </c>
      <c r="C28" s="2" t="s">
        <v>2604</v>
      </c>
      <c r="D28" s="108" t="s">
        <v>2605</v>
      </c>
      <c r="E28" s="103"/>
      <c r="F28" s="2" t="s">
        <v>199</v>
      </c>
      <c r="G28" s="38">
        <f>'Stavební rozpočet'!G1349</f>
        <v>5</v>
      </c>
      <c r="H28" s="38">
        <f>'Stavební rozpočet'!H1349</f>
        <v>0</v>
      </c>
      <c r="I28" s="38">
        <f t="shared" si="0"/>
        <v>0</v>
      </c>
      <c r="J28" s="38">
        <f>'Stavební rozpočet'!J1349</f>
        <v>0</v>
      </c>
      <c r="K28" s="38">
        <f t="shared" si="1"/>
        <v>0</v>
      </c>
      <c r="L28" s="71" t="s">
        <v>207</v>
      </c>
      <c r="Z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0</v>
      </c>
      <c r="AF28" s="38">
        <f t="shared" si="7"/>
        <v>0</v>
      </c>
      <c r="AG28" s="38">
        <f t="shared" si="8"/>
        <v>0</v>
      </c>
      <c r="AH28" s="38">
        <f t="shared" si="9"/>
        <v>0</v>
      </c>
      <c r="AI28" s="50" t="s">
        <v>93</v>
      </c>
      <c r="AJ28" s="38">
        <f t="shared" si="10"/>
        <v>0</v>
      </c>
      <c r="AK28" s="38">
        <f t="shared" si="11"/>
        <v>0</v>
      </c>
      <c r="AL28" s="38">
        <f t="shared" si="12"/>
        <v>0</v>
      </c>
      <c r="AN28" s="38">
        <v>21</v>
      </c>
      <c r="AO28" s="38">
        <f>H28*0</f>
        <v>0</v>
      </c>
      <c r="AP28" s="38">
        <f>H28*(1-0)</f>
        <v>0</v>
      </c>
      <c r="AQ28" s="72" t="s">
        <v>132</v>
      </c>
      <c r="AV28" s="38">
        <f t="shared" si="13"/>
        <v>0</v>
      </c>
      <c r="AW28" s="38">
        <f t="shared" si="14"/>
        <v>0</v>
      </c>
      <c r="AX28" s="38">
        <f t="shared" si="15"/>
        <v>0</v>
      </c>
      <c r="AY28" s="72" t="s">
        <v>2561</v>
      </c>
      <c r="AZ28" s="72" t="s">
        <v>2562</v>
      </c>
      <c r="BA28" s="50" t="s">
        <v>2563</v>
      </c>
      <c r="BC28" s="38">
        <f t="shared" si="16"/>
        <v>0</v>
      </c>
      <c r="BD28" s="38">
        <f t="shared" si="17"/>
        <v>0</v>
      </c>
      <c r="BE28" s="38">
        <v>0</v>
      </c>
      <c r="BF28" s="38">
        <f t="shared" si="18"/>
        <v>0</v>
      </c>
      <c r="BH28" s="38">
        <f t="shared" si="19"/>
        <v>0</v>
      </c>
      <c r="BI28" s="38">
        <f t="shared" si="20"/>
        <v>0</v>
      </c>
      <c r="BJ28" s="38">
        <f t="shared" si="21"/>
        <v>0</v>
      </c>
      <c r="BK28" s="38"/>
      <c r="BL28" s="38"/>
      <c r="BW28" s="38">
        <v>21</v>
      </c>
    </row>
    <row r="29" spans="1:75" ht="27" customHeight="1">
      <c r="A29" s="1" t="s">
        <v>155</v>
      </c>
      <c r="B29" s="2" t="s">
        <v>93</v>
      </c>
      <c r="C29" s="2" t="s">
        <v>2607</v>
      </c>
      <c r="D29" s="108" t="s">
        <v>2608</v>
      </c>
      <c r="E29" s="103"/>
      <c r="F29" s="2" t="s">
        <v>199</v>
      </c>
      <c r="G29" s="38">
        <f>'Stavební rozpočet'!G1350</f>
        <v>2</v>
      </c>
      <c r="H29" s="38">
        <f>'Stavební rozpočet'!H1350</f>
        <v>0</v>
      </c>
      <c r="I29" s="38">
        <f t="shared" si="0"/>
        <v>0</v>
      </c>
      <c r="J29" s="38">
        <f>'Stavební rozpočet'!J1350</f>
        <v>0</v>
      </c>
      <c r="K29" s="38">
        <f t="shared" si="1"/>
        <v>0</v>
      </c>
      <c r="L29" s="71" t="s">
        <v>207</v>
      </c>
      <c r="Z29" s="38">
        <f t="shared" si="2"/>
        <v>0</v>
      </c>
      <c r="AB29" s="38">
        <f t="shared" si="3"/>
        <v>0</v>
      </c>
      <c r="AC29" s="38">
        <f t="shared" si="4"/>
        <v>0</v>
      </c>
      <c r="AD29" s="38">
        <f t="shared" si="5"/>
        <v>0</v>
      </c>
      <c r="AE29" s="38">
        <f t="shared" si="6"/>
        <v>0</v>
      </c>
      <c r="AF29" s="38">
        <f t="shared" si="7"/>
        <v>0</v>
      </c>
      <c r="AG29" s="38">
        <f t="shared" si="8"/>
        <v>0</v>
      </c>
      <c r="AH29" s="38">
        <f t="shared" si="9"/>
        <v>0</v>
      </c>
      <c r="AI29" s="50" t="s">
        <v>93</v>
      </c>
      <c r="AJ29" s="38">
        <f t="shared" si="10"/>
        <v>0</v>
      </c>
      <c r="AK29" s="38">
        <f t="shared" si="11"/>
        <v>0</v>
      </c>
      <c r="AL29" s="38">
        <f t="shared" si="12"/>
        <v>0</v>
      </c>
      <c r="AN29" s="38">
        <v>21</v>
      </c>
      <c r="AO29" s="38">
        <f>H29*0</f>
        <v>0</v>
      </c>
      <c r="AP29" s="38">
        <f>H29*(1-0)</f>
        <v>0</v>
      </c>
      <c r="AQ29" s="72" t="s">
        <v>132</v>
      </c>
      <c r="AV29" s="38">
        <f t="shared" si="13"/>
        <v>0</v>
      </c>
      <c r="AW29" s="38">
        <f t="shared" si="14"/>
        <v>0</v>
      </c>
      <c r="AX29" s="38">
        <f t="shared" si="15"/>
        <v>0</v>
      </c>
      <c r="AY29" s="72" t="s">
        <v>2561</v>
      </c>
      <c r="AZ29" s="72" t="s">
        <v>2562</v>
      </c>
      <c r="BA29" s="50" t="s">
        <v>2563</v>
      </c>
      <c r="BC29" s="38">
        <f t="shared" si="16"/>
        <v>0</v>
      </c>
      <c r="BD29" s="38">
        <f t="shared" si="17"/>
        <v>0</v>
      </c>
      <c r="BE29" s="38">
        <v>0</v>
      </c>
      <c r="BF29" s="38">
        <f t="shared" si="18"/>
        <v>0</v>
      </c>
      <c r="BH29" s="38">
        <f t="shared" si="19"/>
        <v>0</v>
      </c>
      <c r="BI29" s="38">
        <f t="shared" si="20"/>
        <v>0</v>
      </c>
      <c r="BJ29" s="38">
        <f t="shared" si="21"/>
        <v>0</v>
      </c>
      <c r="BK29" s="38"/>
      <c r="BL29" s="38"/>
      <c r="BW29" s="38">
        <v>21</v>
      </c>
    </row>
    <row r="30" spans="1:75" ht="27" customHeight="1">
      <c r="A30" s="1" t="s">
        <v>178</v>
      </c>
      <c r="B30" s="2" t="s">
        <v>93</v>
      </c>
      <c r="C30" s="2" t="s">
        <v>2604</v>
      </c>
      <c r="D30" s="108" t="s">
        <v>2605</v>
      </c>
      <c r="E30" s="103"/>
      <c r="F30" s="2" t="s">
        <v>199</v>
      </c>
      <c r="G30" s="38">
        <f>'Stavební rozpočet'!G1351</f>
        <v>4</v>
      </c>
      <c r="H30" s="38">
        <f>'Stavební rozpočet'!H1351</f>
        <v>0</v>
      </c>
      <c r="I30" s="38">
        <f t="shared" si="0"/>
        <v>0</v>
      </c>
      <c r="J30" s="38">
        <f>'Stavební rozpočet'!J1351</f>
        <v>0</v>
      </c>
      <c r="K30" s="38">
        <f t="shared" si="1"/>
        <v>0</v>
      </c>
      <c r="L30" s="71" t="s">
        <v>207</v>
      </c>
      <c r="Z30" s="38">
        <f t="shared" si="2"/>
        <v>0</v>
      </c>
      <c r="AB30" s="38">
        <f t="shared" si="3"/>
        <v>0</v>
      </c>
      <c r="AC30" s="38">
        <f t="shared" si="4"/>
        <v>0</v>
      </c>
      <c r="AD30" s="38">
        <f t="shared" si="5"/>
        <v>0</v>
      </c>
      <c r="AE30" s="38">
        <f t="shared" si="6"/>
        <v>0</v>
      </c>
      <c r="AF30" s="38">
        <f t="shared" si="7"/>
        <v>0</v>
      </c>
      <c r="AG30" s="38">
        <f t="shared" si="8"/>
        <v>0</v>
      </c>
      <c r="AH30" s="38">
        <f t="shared" si="9"/>
        <v>0</v>
      </c>
      <c r="AI30" s="50" t="s">
        <v>93</v>
      </c>
      <c r="AJ30" s="38">
        <f t="shared" si="10"/>
        <v>0</v>
      </c>
      <c r="AK30" s="38">
        <f t="shared" si="11"/>
        <v>0</v>
      </c>
      <c r="AL30" s="38">
        <f t="shared" si="12"/>
        <v>0</v>
      </c>
      <c r="AN30" s="38">
        <v>21</v>
      </c>
      <c r="AO30" s="38">
        <f>H30*0</f>
        <v>0</v>
      </c>
      <c r="AP30" s="38">
        <f>H30*(1-0)</f>
        <v>0</v>
      </c>
      <c r="AQ30" s="72" t="s">
        <v>132</v>
      </c>
      <c r="AV30" s="38">
        <f t="shared" si="13"/>
        <v>0</v>
      </c>
      <c r="AW30" s="38">
        <f t="shared" si="14"/>
        <v>0</v>
      </c>
      <c r="AX30" s="38">
        <f t="shared" si="15"/>
        <v>0</v>
      </c>
      <c r="AY30" s="72" t="s">
        <v>2561</v>
      </c>
      <c r="AZ30" s="72" t="s">
        <v>2562</v>
      </c>
      <c r="BA30" s="50" t="s">
        <v>2563</v>
      </c>
      <c r="BC30" s="38">
        <f t="shared" si="16"/>
        <v>0</v>
      </c>
      <c r="BD30" s="38">
        <f t="shared" si="17"/>
        <v>0</v>
      </c>
      <c r="BE30" s="38">
        <v>0</v>
      </c>
      <c r="BF30" s="38">
        <f t="shared" si="18"/>
        <v>0</v>
      </c>
      <c r="BH30" s="38">
        <f t="shared" si="19"/>
        <v>0</v>
      </c>
      <c r="BI30" s="38">
        <f t="shared" si="20"/>
        <v>0</v>
      </c>
      <c r="BJ30" s="38">
        <f t="shared" si="21"/>
        <v>0</v>
      </c>
      <c r="BK30" s="38"/>
      <c r="BL30" s="38"/>
      <c r="BW30" s="38">
        <v>21</v>
      </c>
    </row>
    <row r="31" spans="1:75" ht="27" customHeight="1">
      <c r="A31" s="1" t="s">
        <v>241</v>
      </c>
      <c r="B31" s="2" t="s">
        <v>93</v>
      </c>
      <c r="C31" s="2" t="s">
        <v>2611</v>
      </c>
      <c r="D31" s="108" t="s">
        <v>2573</v>
      </c>
      <c r="E31" s="103"/>
      <c r="F31" s="2" t="s">
        <v>199</v>
      </c>
      <c r="G31" s="38">
        <f>'Stavební rozpočet'!G1352</f>
        <v>5</v>
      </c>
      <c r="H31" s="38">
        <f>'Stavební rozpočet'!H1352</f>
        <v>0</v>
      </c>
      <c r="I31" s="38">
        <f t="shared" si="0"/>
        <v>0</v>
      </c>
      <c r="J31" s="38">
        <f>'Stavební rozpočet'!J1352</f>
        <v>0</v>
      </c>
      <c r="K31" s="38">
        <f t="shared" si="1"/>
        <v>0</v>
      </c>
      <c r="L31" s="71" t="s">
        <v>207</v>
      </c>
      <c r="Z31" s="38">
        <f t="shared" si="2"/>
        <v>0</v>
      </c>
      <c r="AB31" s="38">
        <f t="shared" si="3"/>
        <v>0</v>
      </c>
      <c r="AC31" s="38">
        <f t="shared" si="4"/>
        <v>0</v>
      </c>
      <c r="AD31" s="38">
        <f t="shared" si="5"/>
        <v>0</v>
      </c>
      <c r="AE31" s="38">
        <f t="shared" si="6"/>
        <v>0</v>
      </c>
      <c r="AF31" s="38">
        <f t="shared" si="7"/>
        <v>0</v>
      </c>
      <c r="AG31" s="38">
        <f t="shared" si="8"/>
        <v>0</v>
      </c>
      <c r="AH31" s="38">
        <f t="shared" si="9"/>
        <v>0</v>
      </c>
      <c r="AI31" s="50" t="s">
        <v>93</v>
      </c>
      <c r="AJ31" s="38">
        <f t="shared" si="10"/>
        <v>0</v>
      </c>
      <c r="AK31" s="38">
        <f t="shared" si="11"/>
        <v>0</v>
      </c>
      <c r="AL31" s="38">
        <f t="shared" si="12"/>
        <v>0</v>
      </c>
      <c r="AN31" s="38">
        <v>21</v>
      </c>
      <c r="AO31" s="38">
        <f>H31*0</f>
        <v>0</v>
      </c>
      <c r="AP31" s="38">
        <f>H31*(1-0)</f>
        <v>0</v>
      </c>
      <c r="AQ31" s="72" t="s">
        <v>132</v>
      </c>
      <c r="AV31" s="38">
        <f t="shared" si="13"/>
        <v>0</v>
      </c>
      <c r="AW31" s="38">
        <f t="shared" si="14"/>
        <v>0</v>
      </c>
      <c r="AX31" s="38">
        <f t="shared" si="15"/>
        <v>0</v>
      </c>
      <c r="AY31" s="72" t="s">
        <v>2561</v>
      </c>
      <c r="AZ31" s="72" t="s">
        <v>2562</v>
      </c>
      <c r="BA31" s="50" t="s">
        <v>2563</v>
      </c>
      <c r="BC31" s="38">
        <f t="shared" si="16"/>
        <v>0</v>
      </c>
      <c r="BD31" s="38">
        <f t="shared" si="17"/>
        <v>0</v>
      </c>
      <c r="BE31" s="38">
        <v>0</v>
      </c>
      <c r="BF31" s="38">
        <f t="shared" si="18"/>
        <v>0</v>
      </c>
      <c r="BH31" s="38">
        <f t="shared" si="19"/>
        <v>0</v>
      </c>
      <c r="BI31" s="38">
        <f t="shared" si="20"/>
        <v>0</v>
      </c>
      <c r="BJ31" s="38">
        <f t="shared" si="21"/>
        <v>0</v>
      </c>
      <c r="BK31" s="38"/>
      <c r="BL31" s="38"/>
      <c r="BW31" s="38">
        <v>21</v>
      </c>
    </row>
    <row r="32" spans="1:75" ht="13.5" customHeight="1">
      <c r="A32" s="78" t="s">
        <v>246</v>
      </c>
      <c r="B32" s="79" t="s">
        <v>93</v>
      </c>
      <c r="C32" s="79" t="s">
        <v>2613</v>
      </c>
      <c r="D32" s="198" t="s">
        <v>2614</v>
      </c>
      <c r="E32" s="199"/>
      <c r="F32" s="79" t="s">
        <v>2567</v>
      </c>
      <c r="G32" s="80">
        <f>'Stavební rozpočet'!G1353</f>
        <v>5</v>
      </c>
      <c r="H32" s="80">
        <f>'Stavební rozpočet'!H1353</f>
        <v>0</v>
      </c>
      <c r="I32" s="80">
        <f t="shared" si="0"/>
        <v>0</v>
      </c>
      <c r="J32" s="80">
        <f>'Stavební rozpočet'!J1353</f>
        <v>0</v>
      </c>
      <c r="K32" s="80">
        <f t="shared" si="1"/>
        <v>0</v>
      </c>
      <c r="L32" s="82" t="s">
        <v>207</v>
      </c>
      <c r="Z32" s="38">
        <f t="shared" si="2"/>
        <v>0</v>
      </c>
      <c r="AB32" s="38">
        <f t="shared" si="3"/>
        <v>0</v>
      </c>
      <c r="AC32" s="38">
        <f t="shared" si="4"/>
        <v>0</v>
      </c>
      <c r="AD32" s="38">
        <f t="shared" si="5"/>
        <v>0</v>
      </c>
      <c r="AE32" s="38">
        <f t="shared" si="6"/>
        <v>0</v>
      </c>
      <c r="AF32" s="38">
        <f t="shared" si="7"/>
        <v>0</v>
      </c>
      <c r="AG32" s="38">
        <f t="shared" si="8"/>
        <v>0</v>
      </c>
      <c r="AH32" s="38">
        <f t="shared" si="9"/>
        <v>0</v>
      </c>
      <c r="AI32" s="50" t="s">
        <v>93</v>
      </c>
      <c r="AJ32" s="80">
        <f t="shared" si="10"/>
        <v>0</v>
      </c>
      <c r="AK32" s="80">
        <f t="shared" si="11"/>
        <v>0</v>
      </c>
      <c r="AL32" s="80">
        <f t="shared" si="12"/>
        <v>0</v>
      </c>
      <c r="AN32" s="38">
        <v>21</v>
      </c>
      <c r="AO32" s="38">
        <f>H32*1</f>
        <v>0</v>
      </c>
      <c r="AP32" s="38">
        <f>H32*(1-1)</f>
        <v>0</v>
      </c>
      <c r="AQ32" s="83" t="s">
        <v>132</v>
      </c>
      <c r="AV32" s="38">
        <f t="shared" si="13"/>
        <v>0</v>
      </c>
      <c r="AW32" s="38">
        <f t="shared" si="14"/>
        <v>0</v>
      </c>
      <c r="AX32" s="38">
        <f t="shared" si="15"/>
        <v>0</v>
      </c>
      <c r="AY32" s="72" t="s">
        <v>2561</v>
      </c>
      <c r="AZ32" s="72" t="s">
        <v>2562</v>
      </c>
      <c r="BA32" s="50" t="s">
        <v>2563</v>
      </c>
      <c r="BC32" s="38">
        <f t="shared" si="16"/>
        <v>0</v>
      </c>
      <c r="BD32" s="38">
        <f t="shared" si="17"/>
        <v>0</v>
      </c>
      <c r="BE32" s="38">
        <v>0</v>
      </c>
      <c r="BF32" s="38">
        <f t="shared" si="18"/>
        <v>0</v>
      </c>
      <c r="BH32" s="80">
        <f t="shared" si="19"/>
        <v>0</v>
      </c>
      <c r="BI32" s="80">
        <f t="shared" si="20"/>
        <v>0</v>
      </c>
      <c r="BJ32" s="80">
        <f t="shared" si="21"/>
        <v>0</v>
      </c>
      <c r="BK32" s="80"/>
      <c r="BL32" s="38"/>
      <c r="BW32" s="38">
        <v>21</v>
      </c>
    </row>
    <row r="33" spans="1:75" ht="13.5" customHeight="1">
      <c r="A33" s="78" t="s">
        <v>255</v>
      </c>
      <c r="B33" s="79" t="s">
        <v>93</v>
      </c>
      <c r="C33" s="79" t="s">
        <v>2616</v>
      </c>
      <c r="D33" s="198" t="s">
        <v>2617</v>
      </c>
      <c r="E33" s="199"/>
      <c r="F33" s="79" t="s">
        <v>2567</v>
      </c>
      <c r="G33" s="80">
        <f>'Stavební rozpočet'!G1354</f>
        <v>5</v>
      </c>
      <c r="H33" s="80">
        <f>'Stavební rozpočet'!H1354</f>
        <v>0</v>
      </c>
      <c r="I33" s="80">
        <f t="shared" si="0"/>
        <v>0</v>
      </c>
      <c r="J33" s="80">
        <f>'Stavební rozpočet'!J1354</f>
        <v>0</v>
      </c>
      <c r="K33" s="80">
        <f t="shared" si="1"/>
        <v>0</v>
      </c>
      <c r="L33" s="82" t="s">
        <v>207</v>
      </c>
      <c r="Z33" s="38">
        <f t="shared" si="2"/>
        <v>0</v>
      </c>
      <c r="AB33" s="38">
        <f t="shared" si="3"/>
        <v>0</v>
      </c>
      <c r="AC33" s="38">
        <f t="shared" si="4"/>
        <v>0</v>
      </c>
      <c r="AD33" s="38">
        <f t="shared" si="5"/>
        <v>0</v>
      </c>
      <c r="AE33" s="38">
        <f t="shared" si="6"/>
        <v>0</v>
      </c>
      <c r="AF33" s="38">
        <f t="shared" si="7"/>
        <v>0</v>
      </c>
      <c r="AG33" s="38">
        <f t="shared" si="8"/>
        <v>0</v>
      </c>
      <c r="AH33" s="38">
        <f t="shared" si="9"/>
        <v>0</v>
      </c>
      <c r="AI33" s="50" t="s">
        <v>93</v>
      </c>
      <c r="AJ33" s="80">
        <f t="shared" si="10"/>
        <v>0</v>
      </c>
      <c r="AK33" s="80">
        <f t="shared" si="11"/>
        <v>0</v>
      </c>
      <c r="AL33" s="80">
        <f t="shared" si="12"/>
        <v>0</v>
      </c>
      <c r="AN33" s="38">
        <v>21</v>
      </c>
      <c r="AO33" s="38">
        <f>H33*1</f>
        <v>0</v>
      </c>
      <c r="AP33" s="38">
        <f>H33*(1-1)</f>
        <v>0</v>
      </c>
      <c r="AQ33" s="83" t="s">
        <v>132</v>
      </c>
      <c r="AV33" s="38">
        <f t="shared" si="13"/>
        <v>0</v>
      </c>
      <c r="AW33" s="38">
        <f t="shared" si="14"/>
        <v>0</v>
      </c>
      <c r="AX33" s="38">
        <f t="shared" si="15"/>
        <v>0</v>
      </c>
      <c r="AY33" s="72" t="s">
        <v>2561</v>
      </c>
      <c r="AZ33" s="72" t="s">
        <v>2562</v>
      </c>
      <c r="BA33" s="50" t="s">
        <v>2563</v>
      </c>
      <c r="BC33" s="38">
        <f t="shared" si="16"/>
        <v>0</v>
      </c>
      <c r="BD33" s="38">
        <f t="shared" si="17"/>
        <v>0</v>
      </c>
      <c r="BE33" s="38">
        <v>0</v>
      </c>
      <c r="BF33" s="38">
        <f t="shared" si="18"/>
        <v>0</v>
      </c>
      <c r="BH33" s="80">
        <f t="shared" si="19"/>
        <v>0</v>
      </c>
      <c r="BI33" s="80">
        <f t="shared" si="20"/>
        <v>0</v>
      </c>
      <c r="BJ33" s="80">
        <f t="shared" si="21"/>
        <v>0</v>
      </c>
      <c r="BK33" s="80"/>
      <c r="BL33" s="38"/>
      <c r="BW33" s="38">
        <v>21</v>
      </c>
    </row>
    <row r="34" spans="1:75" ht="27" customHeight="1">
      <c r="A34" s="1" t="s">
        <v>260</v>
      </c>
      <c r="B34" s="2" t="s">
        <v>93</v>
      </c>
      <c r="C34" s="2" t="s">
        <v>2581</v>
      </c>
      <c r="D34" s="108" t="s">
        <v>2573</v>
      </c>
      <c r="E34" s="103"/>
      <c r="F34" s="2" t="s">
        <v>199</v>
      </c>
      <c r="G34" s="38">
        <f>'Stavební rozpočet'!G1355</f>
        <v>2</v>
      </c>
      <c r="H34" s="38">
        <f>'Stavební rozpočet'!H1355</f>
        <v>0</v>
      </c>
      <c r="I34" s="38">
        <f t="shared" si="0"/>
        <v>0</v>
      </c>
      <c r="J34" s="38">
        <f>'Stavební rozpočet'!J1355</f>
        <v>0</v>
      </c>
      <c r="K34" s="38">
        <f t="shared" si="1"/>
        <v>0</v>
      </c>
      <c r="L34" s="71" t="s">
        <v>207</v>
      </c>
      <c r="Z34" s="38">
        <f t="shared" si="2"/>
        <v>0</v>
      </c>
      <c r="AB34" s="38">
        <f t="shared" si="3"/>
        <v>0</v>
      </c>
      <c r="AC34" s="38">
        <f t="shared" si="4"/>
        <v>0</v>
      </c>
      <c r="AD34" s="38">
        <f t="shared" si="5"/>
        <v>0</v>
      </c>
      <c r="AE34" s="38">
        <f t="shared" si="6"/>
        <v>0</v>
      </c>
      <c r="AF34" s="38">
        <f t="shared" si="7"/>
        <v>0</v>
      </c>
      <c r="AG34" s="38">
        <f t="shared" si="8"/>
        <v>0</v>
      </c>
      <c r="AH34" s="38">
        <f t="shared" si="9"/>
        <v>0</v>
      </c>
      <c r="AI34" s="50" t="s">
        <v>93</v>
      </c>
      <c r="AJ34" s="38">
        <f t="shared" si="10"/>
        <v>0</v>
      </c>
      <c r="AK34" s="38">
        <f t="shared" si="11"/>
        <v>0</v>
      </c>
      <c r="AL34" s="38">
        <f t="shared" si="12"/>
        <v>0</v>
      </c>
      <c r="AN34" s="38">
        <v>21</v>
      </c>
      <c r="AO34" s="38">
        <f>H34*0</f>
        <v>0</v>
      </c>
      <c r="AP34" s="38">
        <f>H34*(1-0)</f>
        <v>0</v>
      </c>
      <c r="AQ34" s="72" t="s">
        <v>132</v>
      </c>
      <c r="AV34" s="38">
        <f t="shared" si="13"/>
        <v>0</v>
      </c>
      <c r="AW34" s="38">
        <f t="shared" si="14"/>
        <v>0</v>
      </c>
      <c r="AX34" s="38">
        <f t="shared" si="15"/>
        <v>0</v>
      </c>
      <c r="AY34" s="72" t="s">
        <v>2561</v>
      </c>
      <c r="AZ34" s="72" t="s">
        <v>2562</v>
      </c>
      <c r="BA34" s="50" t="s">
        <v>2563</v>
      </c>
      <c r="BC34" s="38">
        <f t="shared" si="16"/>
        <v>0</v>
      </c>
      <c r="BD34" s="38">
        <f t="shared" si="17"/>
        <v>0</v>
      </c>
      <c r="BE34" s="38">
        <v>0</v>
      </c>
      <c r="BF34" s="38">
        <f t="shared" si="18"/>
        <v>0</v>
      </c>
      <c r="BH34" s="38">
        <f t="shared" si="19"/>
        <v>0</v>
      </c>
      <c r="BI34" s="38">
        <f t="shared" si="20"/>
        <v>0</v>
      </c>
      <c r="BJ34" s="38">
        <f t="shared" si="21"/>
        <v>0</v>
      </c>
      <c r="BK34" s="38"/>
      <c r="BL34" s="38"/>
      <c r="BW34" s="38">
        <v>21</v>
      </c>
    </row>
    <row r="35" spans="1:75" ht="13.5" customHeight="1">
      <c r="A35" s="78" t="s">
        <v>267</v>
      </c>
      <c r="B35" s="79" t="s">
        <v>93</v>
      </c>
      <c r="C35" s="79" t="s">
        <v>2620</v>
      </c>
      <c r="D35" s="198" t="s">
        <v>2621</v>
      </c>
      <c r="E35" s="199"/>
      <c r="F35" s="79" t="s">
        <v>2567</v>
      </c>
      <c r="G35" s="80">
        <f>'Stavební rozpočet'!G1356</f>
        <v>2</v>
      </c>
      <c r="H35" s="80">
        <f>'Stavební rozpočet'!H1356</f>
        <v>0</v>
      </c>
      <c r="I35" s="80">
        <f t="shared" si="0"/>
        <v>0</v>
      </c>
      <c r="J35" s="80">
        <f>'Stavební rozpočet'!J1356</f>
        <v>0</v>
      </c>
      <c r="K35" s="80">
        <f t="shared" si="1"/>
        <v>0</v>
      </c>
      <c r="L35" s="82" t="s">
        <v>207</v>
      </c>
      <c r="Z35" s="38">
        <f t="shared" si="2"/>
        <v>0</v>
      </c>
      <c r="AB35" s="38">
        <f t="shared" si="3"/>
        <v>0</v>
      </c>
      <c r="AC35" s="38">
        <f t="shared" si="4"/>
        <v>0</v>
      </c>
      <c r="AD35" s="38">
        <f t="shared" si="5"/>
        <v>0</v>
      </c>
      <c r="AE35" s="38">
        <f t="shared" si="6"/>
        <v>0</v>
      </c>
      <c r="AF35" s="38">
        <f t="shared" si="7"/>
        <v>0</v>
      </c>
      <c r="AG35" s="38">
        <f t="shared" si="8"/>
        <v>0</v>
      </c>
      <c r="AH35" s="38">
        <f t="shared" si="9"/>
        <v>0</v>
      </c>
      <c r="AI35" s="50" t="s">
        <v>93</v>
      </c>
      <c r="AJ35" s="80">
        <f t="shared" si="10"/>
        <v>0</v>
      </c>
      <c r="AK35" s="80">
        <f t="shared" si="11"/>
        <v>0</v>
      </c>
      <c r="AL35" s="80">
        <f t="shared" si="12"/>
        <v>0</v>
      </c>
      <c r="AN35" s="38">
        <v>21</v>
      </c>
      <c r="AO35" s="38">
        <f>H35*1</f>
        <v>0</v>
      </c>
      <c r="AP35" s="38">
        <f>H35*(1-1)</f>
        <v>0</v>
      </c>
      <c r="AQ35" s="83" t="s">
        <v>132</v>
      </c>
      <c r="AV35" s="38">
        <f t="shared" si="13"/>
        <v>0</v>
      </c>
      <c r="AW35" s="38">
        <f t="shared" si="14"/>
        <v>0</v>
      </c>
      <c r="AX35" s="38">
        <f t="shared" si="15"/>
        <v>0</v>
      </c>
      <c r="AY35" s="72" t="s">
        <v>2561</v>
      </c>
      <c r="AZ35" s="72" t="s">
        <v>2562</v>
      </c>
      <c r="BA35" s="50" t="s">
        <v>2563</v>
      </c>
      <c r="BC35" s="38">
        <f t="shared" si="16"/>
        <v>0</v>
      </c>
      <c r="BD35" s="38">
        <f t="shared" si="17"/>
        <v>0</v>
      </c>
      <c r="BE35" s="38">
        <v>0</v>
      </c>
      <c r="BF35" s="38">
        <f t="shared" si="18"/>
        <v>0</v>
      </c>
      <c r="BH35" s="80">
        <f t="shared" si="19"/>
        <v>0</v>
      </c>
      <c r="BI35" s="80">
        <f t="shared" si="20"/>
        <v>0</v>
      </c>
      <c r="BJ35" s="80">
        <f t="shared" si="21"/>
        <v>0</v>
      </c>
      <c r="BK35" s="80"/>
      <c r="BL35" s="38"/>
      <c r="BW35" s="38">
        <v>21</v>
      </c>
    </row>
    <row r="36" spans="1:75" ht="13.5" customHeight="1">
      <c r="A36" s="78" t="s">
        <v>272</v>
      </c>
      <c r="B36" s="79" t="s">
        <v>93</v>
      </c>
      <c r="C36" s="79" t="s">
        <v>2623</v>
      </c>
      <c r="D36" s="198" t="s">
        <v>2624</v>
      </c>
      <c r="E36" s="199"/>
      <c r="F36" s="79" t="s">
        <v>2567</v>
      </c>
      <c r="G36" s="80">
        <f>'Stavební rozpočet'!G1357</f>
        <v>2</v>
      </c>
      <c r="H36" s="80">
        <f>'Stavební rozpočet'!H1357</f>
        <v>0</v>
      </c>
      <c r="I36" s="80">
        <f t="shared" si="0"/>
        <v>0</v>
      </c>
      <c r="J36" s="80">
        <f>'Stavební rozpočet'!J1357</f>
        <v>0</v>
      </c>
      <c r="K36" s="80">
        <f t="shared" si="1"/>
        <v>0</v>
      </c>
      <c r="L36" s="82" t="s">
        <v>207</v>
      </c>
      <c r="Z36" s="38">
        <f t="shared" si="2"/>
        <v>0</v>
      </c>
      <c r="AB36" s="38">
        <f t="shared" si="3"/>
        <v>0</v>
      </c>
      <c r="AC36" s="38">
        <f t="shared" si="4"/>
        <v>0</v>
      </c>
      <c r="AD36" s="38">
        <f t="shared" si="5"/>
        <v>0</v>
      </c>
      <c r="AE36" s="38">
        <f t="shared" si="6"/>
        <v>0</v>
      </c>
      <c r="AF36" s="38">
        <f t="shared" si="7"/>
        <v>0</v>
      </c>
      <c r="AG36" s="38">
        <f t="shared" si="8"/>
        <v>0</v>
      </c>
      <c r="AH36" s="38">
        <f t="shared" si="9"/>
        <v>0</v>
      </c>
      <c r="AI36" s="50" t="s">
        <v>93</v>
      </c>
      <c r="AJ36" s="80">
        <f t="shared" si="10"/>
        <v>0</v>
      </c>
      <c r="AK36" s="80">
        <f t="shared" si="11"/>
        <v>0</v>
      </c>
      <c r="AL36" s="80">
        <f t="shared" si="12"/>
        <v>0</v>
      </c>
      <c r="AN36" s="38">
        <v>21</v>
      </c>
      <c r="AO36" s="38">
        <f>H36*1</f>
        <v>0</v>
      </c>
      <c r="AP36" s="38">
        <f>H36*(1-1)</f>
        <v>0</v>
      </c>
      <c r="AQ36" s="83" t="s">
        <v>132</v>
      </c>
      <c r="AV36" s="38">
        <f t="shared" si="13"/>
        <v>0</v>
      </c>
      <c r="AW36" s="38">
        <f t="shared" si="14"/>
        <v>0</v>
      </c>
      <c r="AX36" s="38">
        <f t="shared" si="15"/>
        <v>0</v>
      </c>
      <c r="AY36" s="72" t="s">
        <v>2561</v>
      </c>
      <c r="AZ36" s="72" t="s">
        <v>2562</v>
      </c>
      <c r="BA36" s="50" t="s">
        <v>2563</v>
      </c>
      <c r="BC36" s="38">
        <f t="shared" si="16"/>
        <v>0</v>
      </c>
      <c r="BD36" s="38">
        <f t="shared" si="17"/>
        <v>0</v>
      </c>
      <c r="BE36" s="38">
        <v>0</v>
      </c>
      <c r="BF36" s="38">
        <f t="shared" si="18"/>
        <v>0</v>
      </c>
      <c r="BH36" s="80">
        <f t="shared" si="19"/>
        <v>0</v>
      </c>
      <c r="BI36" s="80">
        <f t="shared" si="20"/>
        <v>0</v>
      </c>
      <c r="BJ36" s="80">
        <f t="shared" si="21"/>
        <v>0</v>
      </c>
      <c r="BK36" s="80"/>
      <c r="BL36" s="38"/>
      <c r="BW36" s="38">
        <v>21</v>
      </c>
    </row>
    <row r="37" spans="1:75" ht="27" customHeight="1">
      <c r="A37" s="1" t="s">
        <v>276</v>
      </c>
      <c r="B37" s="2" t="s">
        <v>93</v>
      </c>
      <c r="C37" s="2" t="s">
        <v>2626</v>
      </c>
      <c r="D37" s="108" t="s">
        <v>2627</v>
      </c>
      <c r="E37" s="103"/>
      <c r="F37" s="2" t="s">
        <v>199</v>
      </c>
      <c r="G37" s="38">
        <f>'Stavební rozpočet'!G1358</f>
        <v>3</v>
      </c>
      <c r="H37" s="38">
        <f>'Stavební rozpočet'!H1358</f>
        <v>0</v>
      </c>
      <c r="I37" s="38">
        <f t="shared" si="0"/>
        <v>0</v>
      </c>
      <c r="J37" s="38">
        <f>'Stavební rozpočet'!J1358</f>
        <v>0</v>
      </c>
      <c r="K37" s="38">
        <f t="shared" si="1"/>
        <v>0</v>
      </c>
      <c r="L37" s="71" t="s">
        <v>207</v>
      </c>
      <c r="Z37" s="38">
        <f t="shared" si="2"/>
        <v>0</v>
      </c>
      <c r="AB37" s="38">
        <f t="shared" si="3"/>
        <v>0</v>
      </c>
      <c r="AC37" s="38">
        <f t="shared" si="4"/>
        <v>0</v>
      </c>
      <c r="AD37" s="38">
        <f t="shared" si="5"/>
        <v>0</v>
      </c>
      <c r="AE37" s="38">
        <f t="shared" si="6"/>
        <v>0</v>
      </c>
      <c r="AF37" s="38">
        <f t="shared" si="7"/>
        <v>0</v>
      </c>
      <c r="AG37" s="38">
        <f t="shared" si="8"/>
        <v>0</v>
      </c>
      <c r="AH37" s="38">
        <f t="shared" si="9"/>
        <v>0</v>
      </c>
      <c r="AI37" s="50" t="s">
        <v>93</v>
      </c>
      <c r="AJ37" s="38">
        <f t="shared" si="10"/>
        <v>0</v>
      </c>
      <c r="AK37" s="38">
        <f t="shared" si="11"/>
        <v>0</v>
      </c>
      <c r="AL37" s="38">
        <f t="shared" si="12"/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132</v>
      </c>
      <c r="AV37" s="38">
        <f t="shared" si="13"/>
        <v>0</v>
      </c>
      <c r="AW37" s="38">
        <f t="shared" si="14"/>
        <v>0</v>
      </c>
      <c r="AX37" s="38">
        <f t="shared" si="15"/>
        <v>0</v>
      </c>
      <c r="AY37" s="72" t="s">
        <v>2561</v>
      </c>
      <c r="AZ37" s="72" t="s">
        <v>2562</v>
      </c>
      <c r="BA37" s="50" t="s">
        <v>2563</v>
      </c>
      <c r="BC37" s="38">
        <f t="shared" si="16"/>
        <v>0</v>
      </c>
      <c r="BD37" s="38">
        <f t="shared" si="17"/>
        <v>0</v>
      </c>
      <c r="BE37" s="38">
        <v>0</v>
      </c>
      <c r="BF37" s="38">
        <f t="shared" si="18"/>
        <v>0</v>
      </c>
      <c r="BH37" s="38">
        <f t="shared" si="19"/>
        <v>0</v>
      </c>
      <c r="BI37" s="38">
        <f t="shared" si="20"/>
        <v>0</v>
      </c>
      <c r="BJ37" s="38">
        <f t="shared" si="21"/>
        <v>0</v>
      </c>
      <c r="BK37" s="38"/>
      <c r="BL37" s="38"/>
      <c r="BW37" s="38">
        <v>21</v>
      </c>
    </row>
    <row r="38" spans="1:75" ht="13.5" customHeight="1">
      <c r="A38" s="78" t="s">
        <v>280</v>
      </c>
      <c r="B38" s="79" t="s">
        <v>93</v>
      </c>
      <c r="C38" s="79" t="s">
        <v>2629</v>
      </c>
      <c r="D38" s="198" t="s">
        <v>2630</v>
      </c>
      <c r="E38" s="199"/>
      <c r="F38" s="79" t="s">
        <v>2567</v>
      </c>
      <c r="G38" s="80">
        <f>'Stavební rozpočet'!G1359</f>
        <v>3</v>
      </c>
      <c r="H38" s="80">
        <f>'Stavební rozpočet'!H1359</f>
        <v>0</v>
      </c>
      <c r="I38" s="80">
        <f t="shared" si="0"/>
        <v>0</v>
      </c>
      <c r="J38" s="80">
        <f>'Stavební rozpočet'!J1359</f>
        <v>0</v>
      </c>
      <c r="K38" s="80">
        <f t="shared" si="1"/>
        <v>0</v>
      </c>
      <c r="L38" s="82" t="s">
        <v>207</v>
      </c>
      <c r="Z38" s="38">
        <f t="shared" si="2"/>
        <v>0</v>
      </c>
      <c r="AB38" s="38">
        <f t="shared" si="3"/>
        <v>0</v>
      </c>
      <c r="AC38" s="38">
        <f t="shared" si="4"/>
        <v>0</v>
      </c>
      <c r="AD38" s="38">
        <f t="shared" si="5"/>
        <v>0</v>
      </c>
      <c r="AE38" s="38">
        <f t="shared" si="6"/>
        <v>0</v>
      </c>
      <c r="AF38" s="38">
        <f t="shared" si="7"/>
        <v>0</v>
      </c>
      <c r="AG38" s="38">
        <f t="shared" si="8"/>
        <v>0</v>
      </c>
      <c r="AH38" s="38">
        <f t="shared" si="9"/>
        <v>0</v>
      </c>
      <c r="AI38" s="50" t="s">
        <v>93</v>
      </c>
      <c r="AJ38" s="80">
        <f t="shared" si="10"/>
        <v>0</v>
      </c>
      <c r="AK38" s="80">
        <f t="shared" si="11"/>
        <v>0</v>
      </c>
      <c r="AL38" s="80">
        <f t="shared" si="12"/>
        <v>0</v>
      </c>
      <c r="AN38" s="38">
        <v>21</v>
      </c>
      <c r="AO38" s="38">
        <f>H38*1</f>
        <v>0</v>
      </c>
      <c r="AP38" s="38">
        <f>H38*(1-1)</f>
        <v>0</v>
      </c>
      <c r="AQ38" s="83" t="s">
        <v>132</v>
      </c>
      <c r="AV38" s="38">
        <f t="shared" si="13"/>
        <v>0</v>
      </c>
      <c r="AW38" s="38">
        <f t="shared" si="14"/>
        <v>0</v>
      </c>
      <c r="AX38" s="38">
        <f t="shared" si="15"/>
        <v>0</v>
      </c>
      <c r="AY38" s="72" t="s">
        <v>2561</v>
      </c>
      <c r="AZ38" s="72" t="s">
        <v>2562</v>
      </c>
      <c r="BA38" s="50" t="s">
        <v>2563</v>
      </c>
      <c r="BC38" s="38">
        <f t="shared" si="16"/>
        <v>0</v>
      </c>
      <c r="BD38" s="38">
        <f t="shared" si="17"/>
        <v>0</v>
      </c>
      <c r="BE38" s="38">
        <v>0</v>
      </c>
      <c r="BF38" s="38">
        <f t="shared" si="18"/>
        <v>0</v>
      </c>
      <c r="BH38" s="80">
        <f t="shared" si="19"/>
        <v>0</v>
      </c>
      <c r="BI38" s="80">
        <f t="shared" si="20"/>
        <v>0</v>
      </c>
      <c r="BJ38" s="80">
        <f t="shared" si="21"/>
        <v>0</v>
      </c>
      <c r="BK38" s="80"/>
      <c r="BL38" s="38"/>
      <c r="BW38" s="38">
        <v>21</v>
      </c>
    </row>
    <row r="39" spans="1:75" ht="13.5" customHeight="1">
      <c r="A39" s="78" t="s">
        <v>285</v>
      </c>
      <c r="B39" s="79" t="s">
        <v>93</v>
      </c>
      <c r="C39" s="79" t="s">
        <v>2632</v>
      </c>
      <c r="D39" s="198" t="s">
        <v>2633</v>
      </c>
      <c r="E39" s="199"/>
      <c r="F39" s="79" t="s">
        <v>2567</v>
      </c>
      <c r="G39" s="80">
        <f>'Stavební rozpočet'!G1360</f>
        <v>3</v>
      </c>
      <c r="H39" s="80">
        <f>'Stavební rozpočet'!H1360</f>
        <v>0</v>
      </c>
      <c r="I39" s="80">
        <f t="shared" si="0"/>
        <v>0</v>
      </c>
      <c r="J39" s="80">
        <f>'Stavební rozpočet'!J1360</f>
        <v>0</v>
      </c>
      <c r="K39" s="80">
        <f t="shared" si="1"/>
        <v>0</v>
      </c>
      <c r="L39" s="82" t="s">
        <v>207</v>
      </c>
      <c r="Z39" s="38">
        <f t="shared" si="2"/>
        <v>0</v>
      </c>
      <c r="AB39" s="38">
        <f t="shared" si="3"/>
        <v>0</v>
      </c>
      <c r="AC39" s="38">
        <f t="shared" si="4"/>
        <v>0</v>
      </c>
      <c r="AD39" s="38">
        <f t="shared" si="5"/>
        <v>0</v>
      </c>
      <c r="AE39" s="38">
        <f t="shared" si="6"/>
        <v>0</v>
      </c>
      <c r="AF39" s="38">
        <f t="shared" si="7"/>
        <v>0</v>
      </c>
      <c r="AG39" s="38">
        <f t="shared" si="8"/>
        <v>0</v>
      </c>
      <c r="AH39" s="38">
        <f t="shared" si="9"/>
        <v>0</v>
      </c>
      <c r="AI39" s="50" t="s">
        <v>93</v>
      </c>
      <c r="AJ39" s="80">
        <f t="shared" si="10"/>
        <v>0</v>
      </c>
      <c r="AK39" s="80">
        <f t="shared" si="11"/>
        <v>0</v>
      </c>
      <c r="AL39" s="80">
        <f t="shared" si="12"/>
        <v>0</v>
      </c>
      <c r="AN39" s="38">
        <v>21</v>
      </c>
      <c r="AO39" s="38">
        <f>H39*1</f>
        <v>0</v>
      </c>
      <c r="AP39" s="38">
        <f>H39*(1-1)</f>
        <v>0</v>
      </c>
      <c r="AQ39" s="83" t="s">
        <v>132</v>
      </c>
      <c r="AV39" s="38">
        <f t="shared" si="13"/>
        <v>0</v>
      </c>
      <c r="AW39" s="38">
        <f t="shared" si="14"/>
        <v>0</v>
      </c>
      <c r="AX39" s="38">
        <f t="shared" si="15"/>
        <v>0</v>
      </c>
      <c r="AY39" s="72" t="s">
        <v>2561</v>
      </c>
      <c r="AZ39" s="72" t="s">
        <v>2562</v>
      </c>
      <c r="BA39" s="50" t="s">
        <v>2563</v>
      </c>
      <c r="BC39" s="38">
        <f t="shared" si="16"/>
        <v>0</v>
      </c>
      <c r="BD39" s="38">
        <f t="shared" si="17"/>
        <v>0</v>
      </c>
      <c r="BE39" s="38">
        <v>0</v>
      </c>
      <c r="BF39" s="38">
        <f t="shared" si="18"/>
        <v>0</v>
      </c>
      <c r="BH39" s="80">
        <f t="shared" si="19"/>
        <v>0</v>
      </c>
      <c r="BI39" s="80">
        <f t="shared" si="20"/>
        <v>0</v>
      </c>
      <c r="BJ39" s="80">
        <f t="shared" si="21"/>
        <v>0</v>
      </c>
      <c r="BK39" s="80"/>
      <c r="BL39" s="38"/>
      <c r="BW39" s="38">
        <v>21</v>
      </c>
    </row>
    <row r="40" spans="1:75" ht="13.5" customHeight="1">
      <c r="A40" s="78" t="s">
        <v>291</v>
      </c>
      <c r="B40" s="79" t="s">
        <v>93</v>
      </c>
      <c r="C40" s="79" t="s">
        <v>2635</v>
      </c>
      <c r="D40" s="198" t="s">
        <v>2636</v>
      </c>
      <c r="E40" s="199"/>
      <c r="F40" s="79" t="s">
        <v>2567</v>
      </c>
      <c r="G40" s="80">
        <f>'Stavební rozpočet'!G1361</f>
        <v>3</v>
      </c>
      <c r="H40" s="80">
        <f>'Stavební rozpočet'!H1361</f>
        <v>0</v>
      </c>
      <c r="I40" s="80">
        <f t="shared" si="0"/>
        <v>0</v>
      </c>
      <c r="J40" s="80">
        <f>'Stavební rozpočet'!J1361</f>
        <v>0</v>
      </c>
      <c r="K40" s="80">
        <f t="shared" si="1"/>
        <v>0</v>
      </c>
      <c r="L40" s="82" t="s">
        <v>207</v>
      </c>
      <c r="Z40" s="38">
        <f t="shared" si="2"/>
        <v>0</v>
      </c>
      <c r="AB40" s="38">
        <f t="shared" si="3"/>
        <v>0</v>
      </c>
      <c r="AC40" s="38">
        <f t="shared" si="4"/>
        <v>0</v>
      </c>
      <c r="AD40" s="38">
        <f t="shared" si="5"/>
        <v>0</v>
      </c>
      <c r="AE40" s="38">
        <f t="shared" si="6"/>
        <v>0</v>
      </c>
      <c r="AF40" s="38">
        <f t="shared" si="7"/>
        <v>0</v>
      </c>
      <c r="AG40" s="38">
        <f t="shared" si="8"/>
        <v>0</v>
      </c>
      <c r="AH40" s="38">
        <f t="shared" si="9"/>
        <v>0</v>
      </c>
      <c r="AI40" s="50" t="s">
        <v>93</v>
      </c>
      <c r="AJ40" s="80">
        <f t="shared" si="10"/>
        <v>0</v>
      </c>
      <c r="AK40" s="80">
        <f t="shared" si="11"/>
        <v>0</v>
      </c>
      <c r="AL40" s="80">
        <f t="shared" si="12"/>
        <v>0</v>
      </c>
      <c r="AN40" s="38">
        <v>21</v>
      </c>
      <c r="AO40" s="38">
        <f>H40*1</f>
        <v>0</v>
      </c>
      <c r="AP40" s="38">
        <f>H40*(1-1)</f>
        <v>0</v>
      </c>
      <c r="AQ40" s="83" t="s">
        <v>132</v>
      </c>
      <c r="AV40" s="38">
        <f t="shared" si="13"/>
        <v>0</v>
      </c>
      <c r="AW40" s="38">
        <f t="shared" si="14"/>
        <v>0</v>
      </c>
      <c r="AX40" s="38">
        <f t="shared" si="15"/>
        <v>0</v>
      </c>
      <c r="AY40" s="72" t="s">
        <v>2561</v>
      </c>
      <c r="AZ40" s="72" t="s">
        <v>2562</v>
      </c>
      <c r="BA40" s="50" t="s">
        <v>2563</v>
      </c>
      <c r="BC40" s="38">
        <f t="shared" si="16"/>
        <v>0</v>
      </c>
      <c r="BD40" s="38">
        <f t="shared" si="17"/>
        <v>0</v>
      </c>
      <c r="BE40" s="38">
        <v>0</v>
      </c>
      <c r="BF40" s="38">
        <f t="shared" si="18"/>
        <v>0</v>
      </c>
      <c r="BH40" s="80">
        <f t="shared" si="19"/>
        <v>0</v>
      </c>
      <c r="BI40" s="80">
        <f t="shared" si="20"/>
        <v>0</v>
      </c>
      <c r="BJ40" s="80">
        <f t="shared" si="21"/>
        <v>0</v>
      </c>
      <c r="BK40" s="80"/>
      <c r="BL40" s="38"/>
      <c r="BW40" s="38">
        <v>21</v>
      </c>
    </row>
    <row r="41" spans="1:75" ht="27" customHeight="1">
      <c r="A41" s="1" t="s">
        <v>296</v>
      </c>
      <c r="B41" s="2" t="s">
        <v>93</v>
      </c>
      <c r="C41" s="2" t="s">
        <v>2638</v>
      </c>
      <c r="D41" s="108" t="s">
        <v>2627</v>
      </c>
      <c r="E41" s="103"/>
      <c r="F41" s="2" t="s">
        <v>199</v>
      </c>
      <c r="G41" s="38">
        <f>'Stavební rozpočet'!G1362</f>
        <v>3</v>
      </c>
      <c r="H41" s="38">
        <f>'Stavební rozpočet'!H1362</f>
        <v>0</v>
      </c>
      <c r="I41" s="38">
        <f t="shared" si="0"/>
        <v>0</v>
      </c>
      <c r="J41" s="38">
        <f>'Stavební rozpočet'!J1362</f>
        <v>0</v>
      </c>
      <c r="K41" s="38">
        <f t="shared" si="1"/>
        <v>0</v>
      </c>
      <c r="L41" s="71" t="s">
        <v>207</v>
      </c>
      <c r="Z41" s="38">
        <f t="shared" si="2"/>
        <v>0</v>
      </c>
      <c r="AB41" s="38">
        <f t="shared" si="3"/>
        <v>0</v>
      </c>
      <c r="AC41" s="38">
        <f t="shared" si="4"/>
        <v>0</v>
      </c>
      <c r="AD41" s="38">
        <f t="shared" si="5"/>
        <v>0</v>
      </c>
      <c r="AE41" s="38">
        <f t="shared" si="6"/>
        <v>0</v>
      </c>
      <c r="AF41" s="38">
        <f t="shared" si="7"/>
        <v>0</v>
      </c>
      <c r="AG41" s="38">
        <f t="shared" si="8"/>
        <v>0</v>
      </c>
      <c r="AH41" s="38">
        <f t="shared" si="9"/>
        <v>0</v>
      </c>
      <c r="AI41" s="50" t="s">
        <v>93</v>
      </c>
      <c r="AJ41" s="38">
        <f t="shared" si="10"/>
        <v>0</v>
      </c>
      <c r="AK41" s="38">
        <f t="shared" si="11"/>
        <v>0</v>
      </c>
      <c r="AL41" s="38">
        <f t="shared" si="12"/>
        <v>0</v>
      </c>
      <c r="AN41" s="38">
        <v>21</v>
      </c>
      <c r="AO41" s="38">
        <f>H41*0</f>
        <v>0</v>
      </c>
      <c r="AP41" s="38">
        <f>H41*(1-0)</f>
        <v>0</v>
      </c>
      <c r="AQ41" s="72" t="s">
        <v>132</v>
      </c>
      <c r="AV41" s="38">
        <f t="shared" si="13"/>
        <v>0</v>
      </c>
      <c r="AW41" s="38">
        <f t="shared" si="14"/>
        <v>0</v>
      </c>
      <c r="AX41" s="38">
        <f t="shared" si="15"/>
        <v>0</v>
      </c>
      <c r="AY41" s="72" t="s">
        <v>2561</v>
      </c>
      <c r="AZ41" s="72" t="s">
        <v>2562</v>
      </c>
      <c r="BA41" s="50" t="s">
        <v>2563</v>
      </c>
      <c r="BC41" s="38">
        <f t="shared" si="16"/>
        <v>0</v>
      </c>
      <c r="BD41" s="38">
        <f t="shared" si="17"/>
        <v>0</v>
      </c>
      <c r="BE41" s="38">
        <v>0</v>
      </c>
      <c r="BF41" s="38">
        <f t="shared" si="18"/>
        <v>0</v>
      </c>
      <c r="BH41" s="38">
        <f t="shared" si="19"/>
        <v>0</v>
      </c>
      <c r="BI41" s="38">
        <f t="shared" si="20"/>
        <v>0</v>
      </c>
      <c r="BJ41" s="38">
        <f t="shared" si="21"/>
        <v>0</v>
      </c>
      <c r="BK41" s="38"/>
      <c r="BL41" s="38"/>
      <c r="BW41" s="38">
        <v>21</v>
      </c>
    </row>
    <row r="42" spans="1:75" ht="13.5" customHeight="1">
      <c r="A42" s="78" t="s">
        <v>304</v>
      </c>
      <c r="B42" s="79" t="s">
        <v>93</v>
      </c>
      <c r="C42" s="79" t="s">
        <v>2640</v>
      </c>
      <c r="D42" s="198" t="s">
        <v>2641</v>
      </c>
      <c r="E42" s="199"/>
      <c r="F42" s="79" t="s">
        <v>2567</v>
      </c>
      <c r="G42" s="80">
        <f>'Stavební rozpočet'!G1363</f>
        <v>3</v>
      </c>
      <c r="H42" s="80">
        <f>'Stavební rozpočet'!H1363</f>
        <v>0</v>
      </c>
      <c r="I42" s="80">
        <f t="shared" si="0"/>
        <v>0</v>
      </c>
      <c r="J42" s="80">
        <f>'Stavební rozpočet'!J1363</f>
        <v>0</v>
      </c>
      <c r="K42" s="80">
        <f t="shared" si="1"/>
        <v>0</v>
      </c>
      <c r="L42" s="82" t="s">
        <v>207</v>
      </c>
      <c r="Z42" s="38">
        <f t="shared" si="2"/>
        <v>0</v>
      </c>
      <c r="AB42" s="38">
        <f t="shared" si="3"/>
        <v>0</v>
      </c>
      <c r="AC42" s="38">
        <f t="shared" si="4"/>
        <v>0</v>
      </c>
      <c r="AD42" s="38">
        <f t="shared" si="5"/>
        <v>0</v>
      </c>
      <c r="AE42" s="38">
        <f t="shared" si="6"/>
        <v>0</v>
      </c>
      <c r="AF42" s="38">
        <f t="shared" si="7"/>
        <v>0</v>
      </c>
      <c r="AG42" s="38">
        <f t="shared" si="8"/>
        <v>0</v>
      </c>
      <c r="AH42" s="38">
        <f t="shared" si="9"/>
        <v>0</v>
      </c>
      <c r="AI42" s="50" t="s">
        <v>93</v>
      </c>
      <c r="AJ42" s="80">
        <f t="shared" si="10"/>
        <v>0</v>
      </c>
      <c r="AK42" s="80">
        <f t="shared" si="11"/>
        <v>0</v>
      </c>
      <c r="AL42" s="80">
        <f t="shared" si="12"/>
        <v>0</v>
      </c>
      <c r="AN42" s="38">
        <v>21</v>
      </c>
      <c r="AO42" s="38">
        <f>H42*1</f>
        <v>0</v>
      </c>
      <c r="AP42" s="38">
        <f>H42*(1-1)</f>
        <v>0</v>
      </c>
      <c r="AQ42" s="83" t="s">
        <v>132</v>
      </c>
      <c r="AV42" s="38">
        <f t="shared" si="13"/>
        <v>0</v>
      </c>
      <c r="AW42" s="38">
        <f t="shared" si="14"/>
        <v>0</v>
      </c>
      <c r="AX42" s="38">
        <f t="shared" si="15"/>
        <v>0</v>
      </c>
      <c r="AY42" s="72" t="s">
        <v>2561</v>
      </c>
      <c r="AZ42" s="72" t="s">
        <v>2562</v>
      </c>
      <c r="BA42" s="50" t="s">
        <v>2563</v>
      </c>
      <c r="BC42" s="38">
        <f t="shared" si="16"/>
        <v>0</v>
      </c>
      <c r="BD42" s="38">
        <f t="shared" si="17"/>
        <v>0</v>
      </c>
      <c r="BE42" s="38">
        <v>0</v>
      </c>
      <c r="BF42" s="38">
        <f t="shared" si="18"/>
        <v>0</v>
      </c>
      <c r="BH42" s="80">
        <f t="shared" si="19"/>
        <v>0</v>
      </c>
      <c r="BI42" s="80">
        <f t="shared" si="20"/>
        <v>0</v>
      </c>
      <c r="BJ42" s="80">
        <f t="shared" si="21"/>
        <v>0</v>
      </c>
      <c r="BK42" s="80"/>
      <c r="BL42" s="38"/>
      <c r="BW42" s="38">
        <v>21</v>
      </c>
    </row>
    <row r="43" spans="1:75" ht="13.5" customHeight="1">
      <c r="A43" s="78" t="s">
        <v>311</v>
      </c>
      <c r="B43" s="79" t="s">
        <v>93</v>
      </c>
      <c r="C43" s="79" t="s">
        <v>2623</v>
      </c>
      <c r="D43" s="198" t="s">
        <v>2624</v>
      </c>
      <c r="E43" s="199"/>
      <c r="F43" s="79" t="s">
        <v>2567</v>
      </c>
      <c r="G43" s="80">
        <f>'Stavební rozpočet'!G1364</f>
        <v>3</v>
      </c>
      <c r="H43" s="80">
        <f>'Stavební rozpočet'!H1364</f>
        <v>0</v>
      </c>
      <c r="I43" s="80">
        <f t="shared" si="0"/>
        <v>0</v>
      </c>
      <c r="J43" s="80">
        <f>'Stavební rozpočet'!J1364</f>
        <v>0</v>
      </c>
      <c r="K43" s="80">
        <f t="shared" si="1"/>
        <v>0</v>
      </c>
      <c r="L43" s="82" t="s">
        <v>207</v>
      </c>
      <c r="Z43" s="38">
        <f t="shared" si="2"/>
        <v>0</v>
      </c>
      <c r="AB43" s="38">
        <f t="shared" si="3"/>
        <v>0</v>
      </c>
      <c r="AC43" s="38">
        <f t="shared" si="4"/>
        <v>0</v>
      </c>
      <c r="AD43" s="38">
        <f t="shared" si="5"/>
        <v>0</v>
      </c>
      <c r="AE43" s="38">
        <f t="shared" si="6"/>
        <v>0</v>
      </c>
      <c r="AF43" s="38">
        <f t="shared" si="7"/>
        <v>0</v>
      </c>
      <c r="AG43" s="38">
        <f t="shared" si="8"/>
        <v>0</v>
      </c>
      <c r="AH43" s="38">
        <f t="shared" si="9"/>
        <v>0</v>
      </c>
      <c r="AI43" s="50" t="s">
        <v>93</v>
      </c>
      <c r="AJ43" s="80">
        <f t="shared" si="10"/>
        <v>0</v>
      </c>
      <c r="AK43" s="80">
        <f t="shared" si="11"/>
        <v>0</v>
      </c>
      <c r="AL43" s="80">
        <f t="shared" si="12"/>
        <v>0</v>
      </c>
      <c r="AN43" s="38">
        <v>21</v>
      </c>
      <c r="AO43" s="38">
        <f>H43*1</f>
        <v>0</v>
      </c>
      <c r="AP43" s="38">
        <f>H43*(1-1)</f>
        <v>0</v>
      </c>
      <c r="AQ43" s="83" t="s">
        <v>132</v>
      </c>
      <c r="AV43" s="38">
        <f t="shared" si="13"/>
        <v>0</v>
      </c>
      <c r="AW43" s="38">
        <f t="shared" si="14"/>
        <v>0</v>
      </c>
      <c r="AX43" s="38">
        <f t="shared" si="15"/>
        <v>0</v>
      </c>
      <c r="AY43" s="72" t="s">
        <v>2561</v>
      </c>
      <c r="AZ43" s="72" t="s">
        <v>2562</v>
      </c>
      <c r="BA43" s="50" t="s">
        <v>2563</v>
      </c>
      <c r="BC43" s="38">
        <f t="shared" si="16"/>
        <v>0</v>
      </c>
      <c r="BD43" s="38">
        <f t="shared" si="17"/>
        <v>0</v>
      </c>
      <c r="BE43" s="38">
        <v>0</v>
      </c>
      <c r="BF43" s="38">
        <f t="shared" si="18"/>
        <v>0</v>
      </c>
      <c r="BH43" s="80">
        <f t="shared" si="19"/>
        <v>0</v>
      </c>
      <c r="BI43" s="80">
        <f t="shared" si="20"/>
        <v>0</v>
      </c>
      <c r="BJ43" s="80">
        <f t="shared" si="21"/>
        <v>0</v>
      </c>
      <c r="BK43" s="80"/>
      <c r="BL43" s="38"/>
      <c r="BW43" s="38">
        <v>21</v>
      </c>
    </row>
    <row r="44" spans="1:75" ht="27" customHeight="1">
      <c r="A44" s="1" t="s">
        <v>195</v>
      </c>
      <c r="B44" s="2" t="s">
        <v>93</v>
      </c>
      <c r="C44" s="2" t="s">
        <v>2644</v>
      </c>
      <c r="D44" s="108" t="s">
        <v>2645</v>
      </c>
      <c r="E44" s="103"/>
      <c r="F44" s="2" t="s">
        <v>199</v>
      </c>
      <c r="G44" s="38">
        <f>'Stavební rozpočet'!G1365</f>
        <v>7</v>
      </c>
      <c r="H44" s="38">
        <f>'Stavební rozpočet'!H1365</f>
        <v>0</v>
      </c>
      <c r="I44" s="38">
        <f t="shared" si="0"/>
        <v>0</v>
      </c>
      <c r="J44" s="38">
        <f>'Stavební rozpočet'!J1365</f>
        <v>0</v>
      </c>
      <c r="K44" s="38">
        <f t="shared" si="1"/>
        <v>0</v>
      </c>
      <c r="L44" s="71" t="s">
        <v>207</v>
      </c>
      <c r="Z44" s="38">
        <f t="shared" si="2"/>
        <v>0</v>
      </c>
      <c r="AB44" s="38">
        <f t="shared" si="3"/>
        <v>0</v>
      </c>
      <c r="AC44" s="38">
        <f t="shared" si="4"/>
        <v>0</v>
      </c>
      <c r="AD44" s="38">
        <f t="shared" si="5"/>
        <v>0</v>
      </c>
      <c r="AE44" s="38">
        <f t="shared" si="6"/>
        <v>0</v>
      </c>
      <c r="AF44" s="38">
        <f t="shared" si="7"/>
        <v>0</v>
      </c>
      <c r="AG44" s="38">
        <f t="shared" si="8"/>
        <v>0</v>
      </c>
      <c r="AH44" s="38">
        <f t="shared" si="9"/>
        <v>0</v>
      </c>
      <c r="AI44" s="50" t="s">
        <v>93</v>
      </c>
      <c r="AJ44" s="38">
        <f t="shared" si="10"/>
        <v>0</v>
      </c>
      <c r="AK44" s="38">
        <f t="shared" si="11"/>
        <v>0</v>
      </c>
      <c r="AL44" s="38">
        <f t="shared" si="12"/>
        <v>0</v>
      </c>
      <c r="AN44" s="38">
        <v>21</v>
      </c>
      <c r="AO44" s="38">
        <f>H44*0</f>
        <v>0</v>
      </c>
      <c r="AP44" s="38">
        <f>H44*(1-0)</f>
        <v>0</v>
      </c>
      <c r="AQ44" s="72" t="s">
        <v>132</v>
      </c>
      <c r="AV44" s="38">
        <f t="shared" si="13"/>
        <v>0</v>
      </c>
      <c r="AW44" s="38">
        <f t="shared" si="14"/>
        <v>0</v>
      </c>
      <c r="AX44" s="38">
        <f t="shared" si="15"/>
        <v>0</v>
      </c>
      <c r="AY44" s="72" t="s">
        <v>2561</v>
      </c>
      <c r="AZ44" s="72" t="s">
        <v>2562</v>
      </c>
      <c r="BA44" s="50" t="s">
        <v>2563</v>
      </c>
      <c r="BC44" s="38">
        <f t="shared" si="16"/>
        <v>0</v>
      </c>
      <c r="BD44" s="38">
        <f t="shared" si="17"/>
        <v>0</v>
      </c>
      <c r="BE44" s="38">
        <v>0</v>
      </c>
      <c r="BF44" s="38">
        <f t="shared" si="18"/>
        <v>0</v>
      </c>
      <c r="BH44" s="38">
        <f t="shared" si="19"/>
        <v>0</v>
      </c>
      <c r="BI44" s="38">
        <f t="shared" si="20"/>
        <v>0</v>
      </c>
      <c r="BJ44" s="38">
        <f t="shared" si="21"/>
        <v>0</v>
      </c>
      <c r="BK44" s="38"/>
      <c r="BL44" s="38"/>
      <c r="BW44" s="38">
        <v>21</v>
      </c>
    </row>
    <row r="45" spans="1:75" ht="13.5" customHeight="1">
      <c r="A45" s="78" t="s">
        <v>322</v>
      </c>
      <c r="B45" s="79" t="s">
        <v>93</v>
      </c>
      <c r="C45" s="79" t="s">
        <v>2647</v>
      </c>
      <c r="D45" s="198" t="s">
        <v>2648</v>
      </c>
      <c r="E45" s="199"/>
      <c r="F45" s="79" t="s">
        <v>2567</v>
      </c>
      <c r="G45" s="80">
        <f>'Stavební rozpočet'!G1366</f>
        <v>7</v>
      </c>
      <c r="H45" s="80">
        <f>'Stavební rozpočet'!H1366</f>
        <v>0</v>
      </c>
      <c r="I45" s="80">
        <f t="shared" si="0"/>
        <v>0</v>
      </c>
      <c r="J45" s="80">
        <f>'Stavební rozpočet'!J1366</f>
        <v>0</v>
      </c>
      <c r="K45" s="80">
        <f t="shared" si="1"/>
        <v>0</v>
      </c>
      <c r="L45" s="82" t="s">
        <v>207</v>
      </c>
      <c r="Z45" s="38">
        <f t="shared" si="2"/>
        <v>0</v>
      </c>
      <c r="AB45" s="38">
        <f t="shared" si="3"/>
        <v>0</v>
      </c>
      <c r="AC45" s="38">
        <f t="shared" si="4"/>
        <v>0</v>
      </c>
      <c r="AD45" s="38">
        <f t="shared" si="5"/>
        <v>0</v>
      </c>
      <c r="AE45" s="38">
        <f t="shared" si="6"/>
        <v>0</v>
      </c>
      <c r="AF45" s="38">
        <f t="shared" si="7"/>
        <v>0</v>
      </c>
      <c r="AG45" s="38">
        <f t="shared" si="8"/>
        <v>0</v>
      </c>
      <c r="AH45" s="38">
        <f t="shared" si="9"/>
        <v>0</v>
      </c>
      <c r="AI45" s="50" t="s">
        <v>93</v>
      </c>
      <c r="AJ45" s="80">
        <f t="shared" si="10"/>
        <v>0</v>
      </c>
      <c r="AK45" s="80">
        <f t="shared" si="11"/>
        <v>0</v>
      </c>
      <c r="AL45" s="80">
        <f t="shared" si="12"/>
        <v>0</v>
      </c>
      <c r="AN45" s="38">
        <v>21</v>
      </c>
      <c r="AO45" s="38">
        <f>H45*1</f>
        <v>0</v>
      </c>
      <c r="AP45" s="38">
        <f>H45*(1-1)</f>
        <v>0</v>
      </c>
      <c r="AQ45" s="83" t="s">
        <v>132</v>
      </c>
      <c r="AV45" s="38">
        <f t="shared" si="13"/>
        <v>0</v>
      </c>
      <c r="AW45" s="38">
        <f t="shared" si="14"/>
        <v>0</v>
      </c>
      <c r="AX45" s="38">
        <f t="shared" si="15"/>
        <v>0</v>
      </c>
      <c r="AY45" s="72" t="s">
        <v>2561</v>
      </c>
      <c r="AZ45" s="72" t="s">
        <v>2562</v>
      </c>
      <c r="BA45" s="50" t="s">
        <v>2563</v>
      </c>
      <c r="BC45" s="38">
        <f t="shared" si="16"/>
        <v>0</v>
      </c>
      <c r="BD45" s="38">
        <f t="shared" si="17"/>
        <v>0</v>
      </c>
      <c r="BE45" s="38">
        <v>0</v>
      </c>
      <c r="BF45" s="38">
        <f t="shared" si="18"/>
        <v>0</v>
      </c>
      <c r="BH45" s="80">
        <f t="shared" si="19"/>
        <v>0</v>
      </c>
      <c r="BI45" s="80">
        <f t="shared" si="20"/>
        <v>0</v>
      </c>
      <c r="BJ45" s="80">
        <f t="shared" si="21"/>
        <v>0</v>
      </c>
      <c r="BK45" s="80"/>
      <c r="BL45" s="38"/>
      <c r="BW45" s="38">
        <v>21</v>
      </c>
    </row>
    <row r="46" spans="1:75" ht="13.5" customHeight="1">
      <c r="A46" s="78" t="s">
        <v>328</v>
      </c>
      <c r="B46" s="79" t="s">
        <v>93</v>
      </c>
      <c r="C46" s="79" t="s">
        <v>2623</v>
      </c>
      <c r="D46" s="198" t="s">
        <v>2624</v>
      </c>
      <c r="E46" s="199"/>
      <c r="F46" s="79" t="s">
        <v>2567</v>
      </c>
      <c r="G46" s="80">
        <f>'Stavební rozpočet'!G1367</f>
        <v>7</v>
      </c>
      <c r="H46" s="80">
        <f>'Stavební rozpočet'!H1367</f>
        <v>0</v>
      </c>
      <c r="I46" s="80">
        <f aca="true" t="shared" si="22" ref="I46:I77">G46*H46</f>
        <v>0</v>
      </c>
      <c r="J46" s="80">
        <f>'Stavební rozpočet'!J1367</f>
        <v>0</v>
      </c>
      <c r="K46" s="80">
        <f aca="true" t="shared" si="23" ref="K46:K77">G46*J46</f>
        <v>0</v>
      </c>
      <c r="L46" s="82" t="s">
        <v>207</v>
      </c>
      <c r="Z46" s="38">
        <f aca="true" t="shared" si="24" ref="Z46:Z77">IF(AQ46="5",BJ46,0)</f>
        <v>0</v>
      </c>
      <c r="AB46" s="38">
        <f aca="true" t="shared" si="25" ref="AB46:AB77">IF(AQ46="1",BH46,0)</f>
        <v>0</v>
      </c>
      <c r="AC46" s="38">
        <f aca="true" t="shared" si="26" ref="AC46:AC77">IF(AQ46="1",BI46,0)</f>
        <v>0</v>
      </c>
      <c r="AD46" s="38">
        <f aca="true" t="shared" si="27" ref="AD46:AD77">IF(AQ46="7",BH46,0)</f>
        <v>0</v>
      </c>
      <c r="AE46" s="38">
        <f aca="true" t="shared" si="28" ref="AE46:AE77">IF(AQ46="7",BI46,0)</f>
        <v>0</v>
      </c>
      <c r="AF46" s="38">
        <f aca="true" t="shared" si="29" ref="AF46:AF77">IF(AQ46="2",BH46,0)</f>
        <v>0</v>
      </c>
      <c r="AG46" s="38">
        <f aca="true" t="shared" si="30" ref="AG46:AG77">IF(AQ46="2",BI46,0)</f>
        <v>0</v>
      </c>
      <c r="AH46" s="38">
        <f aca="true" t="shared" si="31" ref="AH46:AH77">IF(AQ46="0",BJ46,0)</f>
        <v>0</v>
      </c>
      <c r="AI46" s="50" t="s">
        <v>93</v>
      </c>
      <c r="AJ46" s="80">
        <f aca="true" t="shared" si="32" ref="AJ46:AJ77">IF(AN46=0,I46,0)</f>
        <v>0</v>
      </c>
      <c r="AK46" s="80">
        <f aca="true" t="shared" si="33" ref="AK46:AK77">IF(AN46=12,I46,0)</f>
        <v>0</v>
      </c>
      <c r="AL46" s="80">
        <f aca="true" t="shared" si="34" ref="AL46:AL77">IF(AN46=21,I46,0)</f>
        <v>0</v>
      </c>
      <c r="AN46" s="38">
        <v>21</v>
      </c>
      <c r="AO46" s="38">
        <f>H46*1</f>
        <v>0</v>
      </c>
      <c r="AP46" s="38">
        <f>H46*(1-1)</f>
        <v>0</v>
      </c>
      <c r="AQ46" s="83" t="s">
        <v>132</v>
      </c>
      <c r="AV46" s="38">
        <f aca="true" t="shared" si="35" ref="AV46:AV77">AW46+AX46</f>
        <v>0</v>
      </c>
      <c r="AW46" s="38">
        <f aca="true" t="shared" si="36" ref="AW46:AW77">G46*AO46</f>
        <v>0</v>
      </c>
      <c r="AX46" s="38">
        <f aca="true" t="shared" si="37" ref="AX46:AX77">G46*AP46</f>
        <v>0</v>
      </c>
      <c r="AY46" s="72" t="s">
        <v>2561</v>
      </c>
      <c r="AZ46" s="72" t="s">
        <v>2562</v>
      </c>
      <c r="BA46" s="50" t="s">
        <v>2563</v>
      </c>
      <c r="BC46" s="38">
        <f aca="true" t="shared" si="38" ref="BC46:BC77">AW46+AX46</f>
        <v>0</v>
      </c>
      <c r="BD46" s="38">
        <f aca="true" t="shared" si="39" ref="BD46:BD77">H46/(100-BE46)*100</f>
        <v>0</v>
      </c>
      <c r="BE46" s="38">
        <v>0</v>
      </c>
      <c r="BF46" s="38">
        <f aca="true" t="shared" si="40" ref="BF46:BF77">K46</f>
        <v>0</v>
      </c>
      <c r="BH46" s="80">
        <f aca="true" t="shared" si="41" ref="BH46:BH77">G46*AO46</f>
        <v>0</v>
      </c>
      <c r="BI46" s="80">
        <f aca="true" t="shared" si="42" ref="BI46:BI77">G46*AP46</f>
        <v>0</v>
      </c>
      <c r="BJ46" s="80">
        <f aca="true" t="shared" si="43" ref="BJ46:BJ77">G46*H46</f>
        <v>0</v>
      </c>
      <c r="BK46" s="80"/>
      <c r="BL46" s="38"/>
      <c r="BW46" s="38">
        <v>21</v>
      </c>
    </row>
    <row r="47" spans="1:75" ht="27" customHeight="1">
      <c r="A47" s="1" t="s">
        <v>289</v>
      </c>
      <c r="B47" s="2" t="s">
        <v>93</v>
      </c>
      <c r="C47" s="2" t="s">
        <v>2651</v>
      </c>
      <c r="D47" s="108" t="s">
        <v>2602</v>
      </c>
      <c r="E47" s="103"/>
      <c r="F47" s="2" t="s">
        <v>199</v>
      </c>
      <c r="G47" s="38">
        <f>'Stavební rozpočet'!G1368</f>
        <v>66</v>
      </c>
      <c r="H47" s="38">
        <f>'Stavební rozpočet'!H1368</f>
        <v>0</v>
      </c>
      <c r="I47" s="38">
        <f t="shared" si="22"/>
        <v>0</v>
      </c>
      <c r="J47" s="38">
        <f>'Stavební rozpočet'!J1368</f>
        <v>0</v>
      </c>
      <c r="K47" s="38">
        <f t="shared" si="23"/>
        <v>0</v>
      </c>
      <c r="L47" s="71" t="s">
        <v>207</v>
      </c>
      <c r="Z47" s="38">
        <f t="shared" si="24"/>
        <v>0</v>
      </c>
      <c r="AB47" s="38">
        <f t="shared" si="25"/>
        <v>0</v>
      </c>
      <c r="AC47" s="38">
        <f t="shared" si="26"/>
        <v>0</v>
      </c>
      <c r="AD47" s="38">
        <f t="shared" si="27"/>
        <v>0</v>
      </c>
      <c r="AE47" s="38">
        <f t="shared" si="28"/>
        <v>0</v>
      </c>
      <c r="AF47" s="38">
        <f t="shared" si="29"/>
        <v>0</v>
      </c>
      <c r="AG47" s="38">
        <f t="shared" si="30"/>
        <v>0</v>
      </c>
      <c r="AH47" s="38">
        <f t="shared" si="31"/>
        <v>0</v>
      </c>
      <c r="AI47" s="50" t="s">
        <v>93</v>
      </c>
      <c r="AJ47" s="38">
        <f t="shared" si="32"/>
        <v>0</v>
      </c>
      <c r="AK47" s="38">
        <f t="shared" si="33"/>
        <v>0</v>
      </c>
      <c r="AL47" s="38">
        <f t="shared" si="34"/>
        <v>0</v>
      </c>
      <c r="AN47" s="38">
        <v>21</v>
      </c>
      <c r="AO47" s="38">
        <f>H47*0</f>
        <v>0</v>
      </c>
      <c r="AP47" s="38">
        <f>H47*(1-0)</f>
        <v>0</v>
      </c>
      <c r="AQ47" s="72" t="s">
        <v>132</v>
      </c>
      <c r="AV47" s="38">
        <f t="shared" si="35"/>
        <v>0</v>
      </c>
      <c r="AW47" s="38">
        <f t="shared" si="36"/>
        <v>0</v>
      </c>
      <c r="AX47" s="38">
        <f t="shared" si="37"/>
        <v>0</v>
      </c>
      <c r="AY47" s="72" t="s">
        <v>2561</v>
      </c>
      <c r="AZ47" s="72" t="s">
        <v>2562</v>
      </c>
      <c r="BA47" s="50" t="s">
        <v>2563</v>
      </c>
      <c r="BC47" s="38">
        <f t="shared" si="38"/>
        <v>0</v>
      </c>
      <c r="BD47" s="38">
        <f t="shared" si="39"/>
        <v>0</v>
      </c>
      <c r="BE47" s="38">
        <v>0</v>
      </c>
      <c r="BF47" s="38">
        <f t="shared" si="40"/>
        <v>0</v>
      </c>
      <c r="BH47" s="38">
        <f t="shared" si="41"/>
        <v>0</v>
      </c>
      <c r="BI47" s="38">
        <f t="shared" si="42"/>
        <v>0</v>
      </c>
      <c r="BJ47" s="38">
        <f t="shared" si="43"/>
        <v>0</v>
      </c>
      <c r="BK47" s="38"/>
      <c r="BL47" s="38"/>
      <c r="BW47" s="38">
        <v>21</v>
      </c>
    </row>
    <row r="48" spans="1:75" ht="13.5" customHeight="1">
      <c r="A48" s="78" t="s">
        <v>336</v>
      </c>
      <c r="B48" s="79" t="s">
        <v>93</v>
      </c>
      <c r="C48" s="79" t="s">
        <v>2653</v>
      </c>
      <c r="D48" s="198" t="s">
        <v>2654</v>
      </c>
      <c r="E48" s="199"/>
      <c r="F48" s="79" t="s">
        <v>2567</v>
      </c>
      <c r="G48" s="80">
        <f>'Stavební rozpočet'!G1369</f>
        <v>66</v>
      </c>
      <c r="H48" s="80">
        <f>'Stavební rozpočet'!H1369</f>
        <v>0</v>
      </c>
      <c r="I48" s="80">
        <f t="shared" si="22"/>
        <v>0</v>
      </c>
      <c r="J48" s="80">
        <f>'Stavební rozpočet'!J1369</f>
        <v>0</v>
      </c>
      <c r="K48" s="80">
        <f t="shared" si="23"/>
        <v>0</v>
      </c>
      <c r="L48" s="82" t="s">
        <v>207</v>
      </c>
      <c r="Z48" s="38">
        <f t="shared" si="24"/>
        <v>0</v>
      </c>
      <c r="AB48" s="38">
        <f t="shared" si="25"/>
        <v>0</v>
      </c>
      <c r="AC48" s="38">
        <f t="shared" si="26"/>
        <v>0</v>
      </c>
      <c r="AD48" s="38">
        <f t="shared" si="27"/>
        <v>0</v>
      </c>
      <c r="AE48" s="38">
        <f t="shared" si="28"/>
        <v>0</v>
      </c>
      <c r="AF48" s="38">
        <f t="shared" si="29"/>
        <v>0</v>
      </c>
      <c r="AG48" s="38">
        <f t="shared" si="30"/>
        <v>0</v>
      </c>
      <c r="AH48" s="38">
        <f t="shared" si="31"/>
        <v>0</v>
      </c>
      <c r="AI48" s="50" t="s">
        <v>93</v>
      </c>
      <c r="AJ48" s="80">
        <f t="shared" si="32"/>
        <v>0</v>
      </c>
      <c r="AK48" s="80">
        <f t="shared" si="33"/>
        <v>0</v>
      </c>
      <c r="AL48" s="80">
        <f t="shared" si="34"/>
        <v>0</v>
      </c>
      <c r="AN48" s="38">
        <v>21</v>
      </c>
      <c r="AO48" s="38">
        <f>H48*1</f>
        <v>0</v>
      </c>
      <c r="AP48" s="38">
        <f>H48*(1-1)</f>
        <v>0</v>
      </c>
      <c r="AQ48" s="83" t="s">
        <v>132</v>
      </c>
      <c r="AV48" s="38">
        <f t="shared" si="35"/>
        <v>0</v>
      </c>
      <c r="AW48" s="38">
        <f t="shared" si="36"/>
        <v>0</v>
      </c>
      <c r="AX48" s="38">
        <f t="shared" si="37"/>
        <v>0</v>
      </c>
      <c r="AY48" s="72" t="s">
        <v>2561</v>
      </c>
      <c r="AZ48" s="72" t="s">
        <v>2562</v>
      </c>
      <c r="BA48" s="50" t="s">
        <v>2563</v>
      </c>
      <c r="BC48" s="38">
        <f t="shared" si="38"/>
        <v>0</v>
      </c>
      <c r="BD48" s="38">
        <f t="shared" si="39"/>
        <v>0</v>
      </c>
      <c r="BE48" s="38">
        <v>0</v>
      </c>
      <c r="BF48" s="38">
        <f t="shared" si="40"/>
        <v>0</v>
      </c>
      <c r="BH48" s="80">
        <f t="shared" si="41"/>
        <v>0</v>
      </c>
      <c r="BI48" s="80">
        <f t="shared" si="42"/>
        <v>0</v>
      </c>
      <c r="BJ48" s="80">
        <f t="shared" si="43"/>
        <v>0</v>
      </c>
      <c r="BK48" s="80"/>
      <c r="BL48" s="38"/>
      <c r="BW48" s="38">
        <v>21</v>
      </c>
    </row>
    <row r="49" spans="1:75" ht="27" customHeight="1">
      <c r="A49" s="1" t="s">
        <v>342</v>
      </c>
      <c r="B49" s="2" t="s">
        <v>93</v>
      </c>
      <c r="C49" s="2" t="s">
        <v>2656</v>
      </c>
      <c r="D49" s="108" t="s">
        <v>2657</v>
      </c>
      <c r="E49" s="103"/>
      <c r="F49" s="2" t="s">
        <v>214</v>
      </c>
      <c r="G49" s="38">
        <f>'Stavební rozpočet'!G1370</f>
        <v>1</v>
      </c>
      <c r="H49" s="38">
        <f>'Stavební rozpočet'!H1370</f>
        <v>0</v>
      </c>
      <c r="I49" s="38">
        <f t="shared" si="22"/>
        <v>0</v>
      </c>
      <c r="J49" s="38">
        <f>'Stavební rozpočet'!J1370</f>
        <v>0</v>
      </c>
      <c r="K49" s="38">
        <f t="shared" si="23"/>
        <v>0</v>
      </c>
      <c r="L49" s="71" t="s">
        <v>207</v>
      </c>
      <c r="Z49" s="38">
        <f t="shared" si="24"/>
        <v>0</v>
      </c>
      <c r="AB49" s="38">
        <f t="shared" si="25"/>
        <v>0</v>
      </c>
      <c r="AC49" s="38">
        <f t="shared" si="26"/>
        <v>0</v>
      </c>
      <c r="AD49" s="38">
        <f t="shared" si="27"/>
        <v>0</v>
      </c>
      <c r="AE49" s="38">
        <f t="shared" si="28"/>
        <v>0</v>
      </c>
      <c r="AF49" s="38">
        <f t="shared" si="29"/>
        <v>0</v>
      </c>
      <c r="AG49" s="38">
        <f t="shared" si="30"/>
        <v>0</v>
      </c>
      <c r="AH49" s="38">
        <f t="shared" si="31"/>
        <v>0</v>
      </c>
      <c r="AI49" s="50" t="s">
        <v>93</v>
      </c>
      <c r="AJ49" s="38">
        <f t="shared" si="32"/>
        <v>0</v>
      </c>
      <c r="AK49" s="38">
        <f t="shared" si="33"/>
        <v>0</v>
      </c>
      <c r="AL49" s="38">
        <f t="shared" si="34"/>
        <v>0</v>
      </c>
      <c r="AN49" s="38">
        <v>21</v>
      </c>
      <c r="AO49" s="38">
        <f>H49*0</f>
        <v>0</v>
      </c>
      <c r="AP49" s="38">
        <f>H49*(1-0)</f>
        <v>0</v>
      </c>
      <c r="AQ49" s="72" t="s">
        <v>132</v>
      </c>
      <c r="AV49" s="38">
        <f t="shared" si="35"/>
        <v>0</v>
      </c>
      <c r="AW49" s="38">
        <f t="shared" si="36"/>
        <v>0</v>
      </c>
      <c r="AX49" s="38">
        <f t="shared" si="37"/>
        <v>0</v>
      </c>
      <c r="AY49" s="72" t="s">
        <v>2561</v>
      </c>
      <c r="AZ49" s="72" t="s">
        <v>2562</v>
      </c>
      <c r="BA49" s="50" t="s">
        <v>2563</v>
      </c>
      <c r="BC49" s="38">
        <f t="shared" si="38"/>
        <v>0</v>
      </c>
      <c r="BD49" s="38">
        <f t="shared" si="39"/>
        <v>0</v>
      </c>
      <c r="BE49" s="38">
        <v>0</v>
      </c>
      <c r="BF49" s="38">
        <f t="shared" si="40"/>
        <v>0</v>
      </c>
      <c r="BH49" s="38">
        <f t="shared" si="41"/>
        <v>0</v>
      </c>
      <c r="BI49" s="38">
        <f t="shared" si="42"/>
        <v>0</v>
      </c>
      <c r="BJ49" s="38">
        <f t="shared" si="43"/>
        <v>0</v>
      </c>
      <c r="BK49" s="38"/>
      <c r="BL49" s="38"/>
      <c r="BW49" s="38">
        <v>21</v>
      </c>
    </row>
    <row r="50" spans="1:75" ht="13.5" customHeight="1">
      <c r="A50" s="78" t="s">
        <v>346</v>
      </c>
      <c r="B50" s="79" t="s">
        <v>93</v>
      </c>
      <c r="C50" s="79" t="s">
        <v>2659</v>
      </c>
      <c r="D50" s="198" t="s">
        <v>2660</v>
      </c>
      <c r="E50" s="199"/>
      <c r="F50" s="79" t="s">
        <v>2661</v>
      </c>
      <c r="G50" s="80">
        <f>'Stavební rozpočet'!G1371</f>
        <v>1</v>
      </c>
      <c r="H50" s="80">
        <f>'Stavební rozpočet'!H1371</f>
        <v>0</v>
      </c>
      <c r="I50" s="80">
        <f t="shared" si="22"/>
        <v>0</v>
      </c>
      <c r="J50" s="80">
        <f>'Stavební rozpočet'!J1371</f>
        <v>0</v>
      </c>
      <c r="K50" s="80">
        <f t="shared" si="23"/>
        <v>0</v>
      </c>
      <c r="L50" s="82" t="s">
        <v>207</v>
      </c>
      <c r="Z50" s="38">
        <f t="shared" si="24"/>
        <v>0</v>
      </c>
      <c r="AB50" s="38">
        <f t="shared" si="25"/>
        <v>0</v>
      </c>
      <c r="AC50" s="38">
        <f t="shared" si="26"/>
        <v>0</v>
      </c>
      <c r="AD50" s="38">
        <f t="shared" si="27"/>
        <v>0</v>
      </c>
      <c r="AE50" s="38">
        <f t="shared" si="28"/>
        <v>0</v>
      </c>
      <c r="AF50" s="38">
        <f t="shared" si="29"/>
        <v>0</v>
      </c>
      <c r="AG50" s="38">
        <f t="shared" si="30"/>
        <v>0</v>
      </c>
      <c r="AH50" s="38">
        <f t="shared" si="31"/>
        <v>0</v>
      </c>
      <c r="AI50" s="50" t="s">
        <v>93</v>
      </c>
      <c r="AJ50" s="80">
        <f t="shared" si="32"/>
        <v>0</v>
      </c>
      <c r="AK50" s="80">
        <f t="shared" si="33"/>
        <v>0</v>
      </c>
      <c r="AL50" s="80">
        <f t="shared" si="34"/>
        <v>0</v>
      </c>
      <c r="AN50" s="38">
        <v>21</v>
      </c>
      <c r="AO50" s="38">
        <f>H50*1</f>
        <v>0</v>
      </c>
      <c r="AP50" s="38">
        <f>H50*(1-1)</f>
        <v>0</v>
      </c>
      <c r="AQ50" s="83" t="s">
        <v>132</v>
      </c>
      <c r="AV50" s="38">
        <f t="shared" si="35"/>
        <v>0</v>
      </c>
      <c r="AW50" s="38">
        <f t="shared" si="36"/>
        <v>0</v>
      </c>
      <c r="AX50" s="38">
        <f t="shared" si="37"/>
        <v>0</v>
      </c>
      <c r="AY50" s="72" t="s">
        <v>2561</v>
      </c>
      <c r="AZ50" s="72" t="s">
        <v>2562</v>
      </c>
      <c r="BA50" s="50" t="s">
        <v>2563</v>
      </c>
      <c r="BC50" s="38">
        <f t="shared" si="38"/>
        <v>0</v>
      </c>
      <c r="BD50" s="38">
        <f t="shared" si="39"/>
        <v>0</v>
      </c>
      <c r="BE50" s="38">
        <v>0</v>
      </c>
      <c r="BF50" s="38">
        <f t="shared" si="40"/>
        <v>0</v>
      </c>
      <c r="BH50" s="80">
        <f t="shared" si="41"/>
        <v>0</v>
      </c>
      <c r="BI50" s="80">
        <f t="shared" si="42"/>
        <v>0</v>
      </c>
      <c r="BJ50" s="80">
        <f t="shared" si="43"/>
        <v>0</v>
      </c>
      <c r="BK50" s="80"/>
      <c r="BL50" s="38"/>
      <c r="BW50" s="38">
        <v>21</v>
      </c>
    </row>
    <row r="51" spans="1:75" ht="27" customHeight="1">
      <c r="A51" s="1" t="s">
        <v>351</v>
      </c>
      <c r="B51" s="2" t="s">
        <v>93</v>
      </c>
      <c r="C51" s="2" t="s">
        <v>2663</v>
      </c>
      <c r="D51" s="108" t="s">
        <v>2664</v>
      </c>
      <c r="E51" s="103"/>
      <c r="F51" s="2" t="s">
        <v>199</v>
      </c>
      <c r="G51" s="38">
        <f>'Stavební rozpočet'!G1372</f>
        <v>12</v>
      </c>
      <c r="H51" s="38">
        <f>'Stavební rozpočet'!H1372</f>
        <v>0</v>
      </c>
      <c r="I51" s="38">
        <f t="shared" si="22"/>
        <v>0</v>
      </c>
      <c r="J51" s="38">
        <f>'Stavební rozpočet'!J1372</f>
        <v>0</v>
      </c>
      <c r="K51" s="38">
        <f t="shared" si="23"/>
        <v>0</v>
      </c>
      <c r="L51" s="71" t="s">
        <v>207</v>
      </c>
      <c r="Z51" s="38">
        <f t="shared" si="24"/>
        <v>0</v>
      </c>
      <c r="AB51" s="38">
        <f t="shared" si="25"/>
        <v>0</v>
      </c>
      <c r="AC51" s="38">
        <f t="shared" si="26"/>
        <v>0</v>
      </c>
      <c r="AD51" s="38">
        <f t="shared" si="27"/>
        <v>0</v>
      </c>
      <c r="AE51" s="38">
        <f t="shared" si="28"/>
        <v>0</v>
      </c>
      <c r="AF51" s="38">
        <f t="shared" si="29"/>
        <v>0</v>
      </c>
      <c r="AG51" s="38">
        <f t="shared" si="30"/>
        <v>0</v>
      </c>
      <c r="AH51" s="38">
        <f t="shared" si="31"/>
        <v>0</v>
      </c>
      <c r="AI51" s="50" t="s">
        <v>93</v>
      </c>
      <c r="AJ51" s="38">
        <f t="shared" si="32"/>
        <v>0</v>
      </c>
      <c r="AK51" s="38">
        <f t="shared" si="33"/>
        <v>0</v>
      </c>
      <c r="AL51" s="38">
        <f t="shared" si="34"/>
        <v>0</v>
      </c>
      <c r="AN51" s="38">
        <v>21</v>
      </c>
      <c r="AO51" s="38">
        <f>H51*0</f>
        <v>0</v>
      </c>
      <c r="AP51" s="38">
        <f>H51*(1-0)</f>
        <v>0</v>
      </c>
      <c r="AQ51" s="72" t="s">
        <v>132</v>
      </c>
      <c r="AV51" s="38">
        <f t="shared" si="35"/>
        <v>0</v>
      </c>
      <c r="AW51" s="38">
        <f t="shared" si="36"/>
        <v>0</v>
      </c>
      <c r="AX51" s="38">
        <f t="shared" si="37"/>
        <v>0</v>
      </c>
      <c r="AY51" s="72" t="s">
        <v>2561</v>
      </c>
      <c r="AZ51" s="72" t="s">
        <v>2562</v>
      </c>
      <c r="BA51" s="50" t="s">
        <v>2563</v>
      </c>
      <c r="BC51" s="38">
        <f t="shared" si="38"/>
        <v>0</v>
      </c>
      <c r="BD51" s="38">
        <f t="shared" si="39"/>
        <v>0</v>
      </c>
      <c r="BE51" s="38">
        <v>0</v>
      </c>
      <c r="BF51" s="38">
        <f t="shared" si="40"/>
        <v>0</v>
      </c>
      <c r="BH51" s="38">
        <f t="shared" si="41"/>
        <v>0</v>
      </c>
      <c r="BI51" s="38">
        <f t="shared" si="42"/>
        <v>0</v>
      </c>
      <c r="BJ51" s="38">
        <f t="shared" si="43"/>
        <v>0</v>
      </c>
      <c r="BK51" s="38"/>
      <c r="BL51" s="38"/>
      <c r="BW51" s="38">
        <v>21</v>
      </c>
    </row>
    <row r="52" spans="1:75" ht="13.5" customHeight="1">
      <c r="A52" s="78" t="s">
        <v>356</v>
      </c>
      <c r="B52" s="79" t="s">
        <v>93</v>
      </c>
      <c r="C52" s="79" t="s">
        <v>2666</v>
      </c>
      <c r="D52" s="198" t="s">
        <v>2667</v>
      </c>
      <c r="E52" s="199"/>
      <c r="F52" s="79" t="s">
        <v>2567</v>
      </c>
      <c r="G52" s="80">
        <f>'Stavební rozpočet'!G1373</f>
        <v>12</v>
      </c>
      <c r="H52" s="80">
        <f>'Stavební rozpočet'!H1373</f>
        <v>0</v>
      </c>
      <c r="I52" s="80">
        <f t="shared" si="22"/>
        <v>0</v>
      </c>
      <c r="J52" s="80">
        <f>'Stavební rozpočet'!J1373</f>
        <v>0</v>
      </c>
      <c r="K52" s="80">
        <f t="shared" si="23"/>
        <v>0</v>
      </c>
      <c r="L52" s="82" t="s">
        <v>207</v>
      </c>
      <c r="Z52" s="38">
        <f t="shared" si="24"/>
        <v>0</v>
      </c>
      <c r="AB52" s="38">
        <f t="shared" si="25"/>
        <v>0</v>
      </c>
      <c r="AC52" s="38">
        <f t="shared" si="26"/>
        <v>0</v>
      </c>
      <c r="AD52" s="38">
        <f t="shared" si="27"/>
        <v>0</v>
      </c>
      <c r="AE52" s="38">
        <f t="shared" si="28"/>
        <v>0</v>
      </c>
      <c r="AF52" s="38">
        <f t="shared" si="29"/>
        <v>0</v>
      </c>
      <c r="AG52" s="38">
        <f t="shared" si="30"/>
        <v>0</v>
      </c>
      <c r="AH52" s="38">
        <f t="shared" si="31"/>
        <v>0</v>
      </c>
      <c r="AI52" s="50" t="s">
        <v>93</v>
      </c>
      <c r="AJ52" s="80">
        <f t="shared" si="32"/>
        <v>0</v>
      </c>
      <c r="AK52" s="80">
        <f t="shared" si="33"/>
        <v>0</v>
      </c>
      <c r="AL52" s="80">
        <f t="shared" si="34"/>
        <v>0</v>
      </c>
      <c r="AN52" s="38">
        <v>21</v>
      </c>
      <c r="AO52" s="38">
        <f>H52*1</f>
        <v>0</v>
      </c>
      <c r="AP52" s="38">
        <f>H52*(1-1)</f>
        <v>0</v>
      </c>
      <c r="AQ52" s="83" t="s">
        <v>132</v>
      </c>
      <c r="AV52" s="38">
        <f t="shared" si="35"/>
        <v>0</v>
      </c>
      <c r="AW52" s="38">
        <f t="shared" si="36"/>
        <v>0</v>
      </c>
      <c r="AX52" s="38">
        <f t="shared" si="37"/>
        <v>0</v>
      </c>
      <c r="AY52" s="72" t="s">
        <v>2561</v>
      </c>
      <c r="AZ52" s="72" t="s">
        <v>2562</v>
      </c>
      <c r="BA52" s="50" t="s">
        <v>2563</v>
      </c>
      <c r="BC52" s="38">
        <f t="shared" si="38"/>
        <v>0</v>
      </c>
      <c r="BD52" s="38">
        <f t="shared" si="39"/>
        <v>0</v>
      </c>
      <c r="BE52" s="38">
        <v>0</v>
      </c>
      <c r="BF52" s="38">
        <f t="shared" si="40"/>
        <v>0</v>
      </c>
      <c r="BH52" s="80">
        <f t="shared" si="41"/>
        <v>0</v>
      </c>
      <c r="BI52" s="80">
        <f t="shared" si="42"/>
        <v>0</v>
      </c>
      <c r="BJ52" s="80">
        <f t="shared" si="43"/>
        <v>0</v>
      </c>
      <c r="BK52" s="80"/>
      <c r="BL52" s="38"/>
      <c r="BW52" s="38">
        <v>21</v>
      </c>
    </row>
    <row r="53" spans="1:75" ht="27" customHeight="1">
      <c r="A53" s="1" t="s">
        <v>362</v>
      </c>
      <c r="B53" s="2" t="s">
        <v>93</v>
      </c>
      <c r="C53" s="2" t="s">
        <v>2669</v>
      </c>
      <c r="D53" s="108" t="s">
        <v>2670</v>
      </c>
      <c r="E53" s="103"/>
      <c r="F53" s="2" t="s">
        <v>199</v>
      </c>
      <c r="G53" s="38">
        <f>'Stavební rozpočet'!G1374</f>
        <v>195</v>
      </c>
      <c r="H53" s="38">
        <f>'Stavební rozpočet'!H1374</f>
        <v>0</v>
      </c>
      <c r="I53" s="38">
        <f t="shared" si="22"/>
        <v>0</v>
      </c>
      <c r="J53" s="38">
        <f>'Stavební rozpočet'!J1374</f>
        <v>0</v>
      </c>
      <c r="K53" s="38">
        <f t="shared" si="23"/>
        <v>0</v>
      </c>
      <c r="L53" s="71" t="s">
        <v>207</v>
      </c>
      <c r="Z53" s="38">
        <f t="shared" si="24"/>
        <v>0</v>
      </c>
      <c r="AB53" s="38">
        <f t="shared" si="25"/>
        <v>0</v>
      </c>
      <c r="AC53" s="38">
        <f t="shared" si="26"/>
        <v>0</v>
      </c>
      <c r="AD53" s="38">
        <f t="shared" si="27"/>
        <v>0</v>
      </c>
      <c r="AE53" s="38">
        <f t="shared" si="28"/>
        <v>0</v>
      </c>
      <c r="AF53" s="38">
        <f t="shared" si="29"/>
        <v>0</v>
      </c>
      <c r="AG53" s="38">
        <f t="shared" si="30"/>
        <v>0</v>
      </c>
      <c r="AH53" s="38">
        <f t="shared" si="31"/>
        <v>0</v>
      </c>
      <c r="AI53" s="50" t="s">
        <v>93</v>
      </c>
      <c r="AJ53" s="38">
        <f t="shared" si="32"/>
        <v>0</v>
      </c>
      <c r="AK53" s="38">
        <f t="shared" si="33"/>
        <v>0</v>
      </c>
      <c r="AL53" s="38">
        <f t="shared" si="34"/>
        <v>0</v>
      </c>
      <c r="AN53" s="38">
        <v>21</v>
      </c>
      <c r="AO53" s="38">
        <f>H53*0</f>
        <v>0</v>
      </c>
      <c r="AP53" s="38">
        <f>H53*(1-0)</f>
        <v>0</v>
      </c>
      <c r="AQ53" s="72" t="s">
        <v>132</v>
      </c>
      <c r="AV53" s="38">
        <f t="shared" si="35"/>
        <v>0</v>
      </c>
      <c r="AW53" s="38">
        <f t="shared" si="36"/>
        <v>0</v>
      </c>
      <c r="AX53" s="38">
        <f t="shared" si="37"/>
        <v>0</v>
      </c>
      <c r="AY53" s="72" t="s">
        <v>2561</v>
      </c>
      <c r="AZ53" s="72" t="s">
        <v>2562</v>
      </c>
      <c r="BA53" s="50" t="s">
        <v>2563</v>
      </c>
      <c r="BC53" s="38">
        <f t="shared" si="38"/>
        <v>0</v>
      </c>
      <c r="BD53" s="38">
        <f t="shared" si="39"/>
        <v>0</v>
      </c>
      <c r="BE53" s="38">
        <v>0</v>
      </c>
      <c r="BF53" s="38">
        <f t="shared" si="40"/>
        <v>0</v>
      </c>
      <c r="BH53" s="38">
        <f t="shared" si="41"/>
        <v>0</v>
      </c>
      <c r="BI53" s="38">
        <f t="shared" si="42"/>
        <v>0</v>
      </c>
      <c r="BJ53" s="38">
        <f t="shared" si="43"/>
        <v>0</v>
      </c>
      <c r="BK53" s="38"/>
      <c r="BL53" s="38"/>
      <c r="BW53" s="38">
        <v>21</v>
      </c>
    </row>
    <row r="54" spans="1:75" ht="27" customHeight="1">
      <c r="A54" s="78" t="s">
        <v>360</v>
      </c>
      <c r="B54" s="79" t="s">
        <v>93</v>
      </c>
      <c r="C54" s="79" t="s">
        <v>2672</v>
      </c>
      <c r="D54" s="198" t="s">
        <v>2673</v>
      </c>
      <c r="E54" s="199"/>
      <c r="F54" s="79" t="s">
        <v>2567</v>
      </c>
      <c r="G54" s="80">
        <f>'Stavební rozpočet'!G1375</f>
        <v>195</v>
      </c>
      <c r="H54" s="80">
        <f>'Stavební rozpočet'!H1375</f>
        <v>0</v>
      </c>
      <c r="I54" s="80">
        <f t="shared" si="22"/>
        <v>0</v>
      </c>
      <c r="J54" s="80">
        <f>'Stavební rozpočet'!J1375</f>
        <v>0</v>
      </c>
      <c r="K54" s="80">
        <f t="shared" si="23"/>
        <v>0</v>
      </c>
      <c r="L54" s="82" t="s">
        <v>207</v>
      </c>
      <c r="Z54" s="38">
        <f t="shared" si="24"/>
        <v>0</v>
      </c>
      <c r="AB54" s="38">
        <f t="shared" si="25"/>
        <v>0</v>
      </c>
      <c r="AC54" s="38">
        <f t="shared" si="26"/>
        <v>0</v>
      </c>
      <c r="AD54" s="38">
        <f t="shared" si="27"/>
        <v>0</v>
      </c>
      <c r="AE54" s="38">
        <f t="shared" si="28"/>
        <v>0</v>
      </c>
      <c r="AF54" s="38">
        <f t="shared" si="29"/>
        <v>0</v>
      </c>
      <c r="AG54" s="38">
        <f t="shared" si="30"/>
        <v>0</v>
      </c>
      <c r="AH54" s="38">
        <f t="shared" si="31"/>
        <v>0</v>
      </c>
      <c r="AI54" s="50" t="s">
        <v>93</v>
      </c>
      <c r="AJ54" s="80">
        <f t="shared" si="32"/>
        <v>0</v>
      </c>
      <c r="AK54" s="80">
        <f t="shared" si="33"/>
        <v>0</v>
      </c>
      <c r="AL54" s="80">
        <f t="shared" si="34"/>
        <v>0</v>
      </c>
      <c r="AN54" s="38">
        <v>21</v>
      </c>
      <c r="AO54" s="38">
        <f>H54*1</f>
        <v>0</v>
      </c>
      <c r="AP54" s="38">
        <f>H54*(1-1)</f>
        <v>0</v>
      </c>
      <c r="AQ54" s="83" t="s">
        <v>132</v>
      </c>
      <c r="AV54" s="38">
        <f t="shared" si="35"/>
        <v>0</v>
      </c>
      <c r="AW54" s="38">
        <f t="shared" si="36"/>
        <v>0</v>
      </c>
      <c r="AX54" s="38">
        <f t="shared" si="37"/>
        <v>0</v>
      </c>
      <c r="AY54" s="72" t="s">
        <v>2561</v>
      </c>
      <c r="AZ54" s="72" t="s">
        <v>2562</v>
      </c>
      <c r="BA54" s="50" t="s">
        <v>2563</v>
      </c>
      <c r="BC54" s="38">
        <f t="shared" si="38"/>
        <v>0</v>
      </c>
      <c r="BD54" s="38">
        <f t="shared" si="39"/>
        <v>0</v>
      </c>
      <c r="BE54" s="38">
        <v>0</v>
      </c>
      <c r="BF54" s="38">
        <f t="shared" si="40"/>
        <v>0</v>
      </c>
      <c r="BH54" s="80">
        <f t="shared" si="41"/>
        <v>0</v>
      </c>
      <c r="BI54" s="80">
        <f t="shared" si="42"/>
        <v>0</v>
      </c>
      <c r="BJ54" s="80">
        <f t="shared" si="43"/>
        <v>0</v>
      </c>
      <c r="BK54" s="80"/>
      <c r="BL54" s="38"/>
      <c r="BW54" s="38">
        <v>21</v>
      </c>
    </row>
    <row r="55" spans="1:75" ht="27" customHeight="1">
      <c r="A55" s="1" t="s">
        <v>372</v>
      </c>
      <c r="B55" s="2" t="s">
        <v>93</v>
      </c>
      <c r="C55" s="2" t="s">
        <v>2675</v>
      </c>
      <c r="D55" s="108" t="s">
        <v>2676</v>
      </c>
      <c r="E55" s="103"/>
      <c r="F55" s="2" t="s">
        <v>214</v>
      </c>
      <c r="G55" s="38">
        <f>'Stavební rozpočet'!G1376</f>
        <v>106</v>
      </c>
      <c r="H55" s="38">
        <f>'Stavební rozpočet'!H1376</f>
        <v>0</v>
      </c>
      <c r="I55" s="38">
        <f t="shared" si="22"/>
        <v>0</v>
      </c>
      <c r="J55" s="38">
        <f>'Stavební rozpočet'!J1376</f>
        <v>0</v>
      </c>
      <c r="K55" s="38">
        <f t="shared" si="23"/>
        <v>0</v>
      </c>
      <c r="L55" s="71" t="s">
        <v>207</v>
      </c>
      <c r="Z55" s="38">
        <f t="shared" si="24"/>
        <v>0</v>
      </c>
      <c r="AB55" s="38">
        <f t="shared" si="25"/>
        <v>0</v>
      </c>
      <c r="AC55" s="38">
        <f t="shared" si="26"/>
        <v>0</v>
      </c>
      <c r="AD55" s="38">
        <f t="shared" si="27"/>
        <v>0</v>
      </c>
      <c r="AE55" s="38">
        <f t="shared" si="28"/>
        <v>0</v>
      </c>
      <c r="AF55" s="38">
        <f t="shared" si="29"/>
        <v>0</v>
      </c>
      <c r="AG55" s="38">
        <f t="shared" si="30"/>
        <v>0</v>
      </c>
      <c r="AH55" s="38">
        <f t="shared" si="31"/>
        <v>0</v>
      </c>
      <c r="AI55" s="50" t="s">
        <v>93</v>
      </c>
      <c r="AJ55" s="38">
        <f t="shared" si="32"/>
        <v>0</v>
      </c>
      <c r="AK55" s="38">
        <f t="shared" si="33"/>
        <v>0</v>
      </c>
      <c r="AL55" s="38">
        <f t="shared" si="34"/>
        <v>0</v>
      </c>
      <c r="AN55" s="38">
        <v>21</v>
      </c>
      <c r="AO55" s="38">
        <f>H55*0</f>
        <v>0</v>
      </c>
      <c r="AP55" s="38">
        <f>H55*(1-0)</f>
        <v>0</v>
      </c>
      <c r="AQ55" s="72" t="s">
        <v>132</v>
      </c>
      <c r="AV55" s="38">
        <f t="shared" si="35"/>
        <v>0</v>
      </c>
      <c r="AW55" s="38">
        <f t="shared" si="36"/>
        <v>0</v>
      </c>
      <c r="AX55" s="38">
        <f t="shared" si="37"/>
        <v>0</v>
      </c>
      <c r="AY55" s="72" t="s">
        <v>2561</v>
      </c>
      <c r="AZ55" s="72" t="s">
        <v>2562</v>
      </c>
      <c r="BA55" s="50" t="s">
        <v>2563</v>
      </c>
      <c r="BC55" s="38">
        <f t="shared" si="38"/>
        <v>0</v>
      </c>
      <c r="BD55" s="38">
        <f t="shared" si="39"/>
        <v>0</v>
      </c>
      <c r="BE55" s="38">
        <v>0</v>
      </c>
      <c r="BF55" s="38">
        <f t="shared" si="40"/>
        <v>0</v>
      </c>
      <c r="BH55" s="38">
        <f t="shared" si="41"/>
        <v>0</v>
      </c>
      <c r="BI55" s="38">
        <f t="shared" si="42"/>
        <v>0</v>
      </c>
      <c r="BJ55" s="38">
        <f t="shared" si="43"/>
        <v>0</v>
      </c>
      <c r="BK55" s="38"/>
      <c r="BL55" s="38"/>
      <c r="BW55" s="38">
        <v>21</v>
      </c>
    </row>
    <row r="56" spans="1:75" ht="13.5" customHeight="1">
      <c r="A56" s="78" t="s">
        <v>375</v>
      </c>
      <c r="B56" s="79" t="s">
        <v>93</v>
      </c>
      <c r="C56" s="79" t="s">
        <v>2678</v>
      </c>
      <c r="D56" s="198" t="s">
        <v>2679</v>
      </c>
      <c r="E56" s="199"/>
      <c r="F56" s="79" t="s">
        <v>2661</v>
      </c>
      <c r="G56" s="80">
        <f>'Stavební rozpočet'!G1377</f>
        <v>106</v>
      </c>
      <c r="H56" s="80">
        <f>'Stavební rozpočet'!H1377</f>
        <v>0</v>
      </c>
      <c r="I56" s="80">
        <f t="shared" si="22"/>
        <v>0</v>
      </c>
      <c r="J56" s="80">
        <f>'Stavební rozpočet'!J1377</f>
        <v>0</v>
      </c>
      <c r="K56" s="80">
        <f t="shared" si="23"/>
        <v>0</v>
      </c>
      <c r="L56" s="82" t="s">
        <v>207</v>
      </c>
      <c r="Z56" s="38">
        <f t="shared" si="24"/>
        <v>0</v>
      </c>
      <c r="AB56" s="38">
        <f t="shared" si="25"/>
        <v>0</v>
      </c>
      <c r="AC56" s="38">
        <f t="shared" si="26"/>
        <v>0</v>
      </c>
      <c r="AD56" s="38">
        <f t="shared" si="27"/>
        <v>0</v>
      </c>
      <c r="AE56" s="38">
        <f t="shared" si="28"/>
        <v>0</v>
      </c>
      <c r="AF56" s="38">
        <f t="shared" si="29"/>
        <v>0</v>
      </c>
      <c r="AG56" s="38">
        <f t="shared" si="30"/>
        <v>0</v>
      </c>
      <c r="AH56" s="38">
        <f t="shared" si="31"/>
        <v>0</v>
      </c>
      <c r="AI56" s="50" t="s">
        <v>93</v>
      </c>
      <c r="AJ56" s="80">
        <f t="shared" si="32"/>
        <v>0</v>
      </c>
      <c r="AK56" s="80">
        <f t="shared" si="33"/>
        <v>0</v>
      </c>
      <c r="AL56" s="80">
        <f t="shared" si="34"/>
        <v>0</v>
      </c>
      <c r="AN56" s="38">
        <v>21</v>
      </c>
      <c r="AO56" s="38">
        <f>H56*1</f>
        <v>0</v>
      </c>
      <c r="AP56" s="38">
        <f>H56*(1-1)</f>
        <v>0</v>
      </c>
      <c r="AQ56" s="83" t="s">
        <v>132</v>
      </c>
      <c r="AV56" s="38">
        <f t="shared" si="35"/>
        <v>0</v>
      </c>
      <c r="AW56" s="38">
        <f t="shared" si="36"/>
        <v>0</v>
      </c>
      <c r="AX56" s="38">
        <f t="shared" si="37"/>
        <v>0</v>
      </c>
      <c r="AY56" s="72" t="s">
        <v>2561</v>
      </c>
      <c r="AZ56" s="72" t="s">
        <v>2562</v>
      </c>
      <c r="BA56" s="50" t="s">
        <v>2563</v>
      </c>
      <c r="BC56" s="38">
        <f t="shared" si="38"/>
        <v>0</v>
      </c>
      <c r="BD56" s="38">
        <f t="shared" si="39"/>
        <v>0</v>
      </c>
      <c r="BE56" s="38">
        <v>0</v>
      </c>
      <c r="BF56" s="38">
        <f t="shared" si="40"/>
        <v>0</v>
      </c>
      <c r="BH56" s="80">
        <f t="shared" si="41"/>
        <v>0</v>
      </c>
      <c r="BI56" s="80">
        <f t="shared" si="42"/>
        <v>0</v>
      </c>
      <c r="BJ56" s="80">
        <f t="shared" si="43"/>
        <v>0</v>
      </c>
      <c r="BK56" s="80"/>
      <c r="BL56" s="38"/>
      <c r="BW56" s="38">
        <v>21</v>
      </c>
    </row>
    <row r="57" spans="1:75" ht="27" customHeight="1">
      <c r="A57" s="1" t="s">
        <v>379</v>
      </c>
      <c r="B57" s="2" t="s">
        <v>93</v>
      </c>
      <c r="C57" s="2" t="s">
        <v>2681</v>
      </c>
      <c r="D57" s="108" t="s">
        <v>2682</v>
      </c>
      <c r="E57" s="103"/>
      <c r="F57" s="2" t="s">
        <v>214</v>
      </c>
      <c r="G57" s="38">
        <f>'Stavební rozpočet'!G1378</f>
        <v>51</v>
      </c>
      <c r="H57" s="38">
        <f>'Stavební rozpočet'!H1378</f>
        <v>0</v>
      </c>
      <c r="I57" s="38">
        <f t="shared" si="22"/>
        <v>0</v>
      </c>
      <c r="J57" s="38">
        <f>'Stavební rozpočet'!J1378</f>
        <v>0</v>
      </c>
      <c r="K57" s="38">
        <f t="shared" si="23"/>
        <v>0</v>
      </c>
      <c r="L57" s="71" t="s">
        <v>207</v>
      </c>
      <c r="Z57" s="38">
        <f t="shared" si="24"/>
        <v>0</v>
      </c>
      <c r="AB57" s="38">
        <f t="shared" si="25"/>
        <v>0</v>
      </c>
      <c r="AC57" s="38">
        <f t="shared" si="26"/>
        <v>0</v>
      </c>
      <c r="AD57" s="38">
        <f t="shared" si="27"/>
        <v>0</v>
      </c>
      <c r="AE57" s="38">
        <f t="shared" si="28"/>
        <v>0</v>
      </c>
      <c r="AF57" s="38">
        <f t="shared" si="29"/>
        <v>0</v>
      </c>
      <c r="AG57" s="38">
        <f t="shared" si="30"/>
        <v>0</v>
      </c>
      <c r="AH57" s="38">
        <f t="shared" si="31"/>
        <v>0</v>
      </c>
      <c r="AI57" s="50" t="s">
        <v>93</v>
      </c>
      <c r="AJ57" s="38">
        <f t="shared" si="32"/>
        <v>0</v>
      </c>
      <c r="AK57" s="38">
        <f t="shared" si="33"/>
        <v>0</v>
      </c>
      <c r="AL57" s="38">
        <f t="shared" si="34"/>
        <v>0</v>
      </c>
      <c r="AN57" s="38">
        <v>21</v>
      </c>
      <c r="AO57" s="38">
        <f>H57*0</f>
        <v>0</v>
      </c>
      <c r="AP57" s="38">
        <f>H57*(1-0)</f>
        <v>0</v>
      </c>
      <c r="AQ57" s="72" t="s">
        <v>132</v>
      </c>
      <c r="AV57" s="38">
        <f t="shared" si="35"/>
        <v>0</v>
      </c>
      <c r="AW57" s="38">
        <f t="shared" si="36"/>
        <v>0</v>
      </c>
      <c r="AX57" s="38">
        <f t="shared" si="37"/>
        <v>0</v>
      </c>
      <c r="AY57" s="72" t="s">
        <v>2561</v>
      </c>
      <c r="AZ57" s="72" t="s">
        <v>2562</v>
      </c>
      <c r="BA57" s="50" t="s">
        <v>2563</v>
      </c>
      <c r="BC57" s="38">
        <f t="shared" si="38"/>
        <v>0</v>
      </c>
      <c r="BD57" s="38">
        <f t="shared" si="39"/>
        <v>0</v>
      </c>
      <c r="BE57" s="38">
        <v>0</v>
      </c>
      <c r="BF57" s="38">
        <f t="shared" si="40"/>
        <v>0</v>
      </c>
      <c r="BH57" s="38">
        <f t="shared" si="41"/>
        <v>0</v>
      </c>
      <c r="BI57" s="38">
        <f t="shared" si="42"/>
        <v>0</v>
      </c>
      <c r="BJ57" s="38">
        <f t="shared" si="43"/>
        <v>0</v>
      </c>
      <c r="BK57" s="38"/>
      <c r="BL57" s="38"/>
      <c r="BW57" s="38">
        <v>21</v>
      </c>
    </row>
    <row r="58" spans="1:75" ht="13.5" customHeight="1">
      <c r="A58" s="78" t="s">
        <v>382</v>
      </c>
      <c r="B58" s="79" t="s">
        <v>93</v>
      </c>
      <c r="C58" s="79" t="s">
        <v>2684</v>
      </c>
      <c r="D58" s="198" t="s">
        <v>2685</v>
      </c>
      <c r="E58" s="199"/>
      <c r="F58" s="79" t="s">
        <v>2661</v>
      </c>
      <c r="G58" s="80">
        <f>'Stavební rozpočet'!G1379</f>
        <v>51</v>
      </c>
      <c r="H58" s="80">
        <f>'Stavební rozpočet'!H1379</f>
        <v>0</v>
      </c>
      <c r="I58" s="80">
        <f t="shared" si="22"/>
        <v>0</v>
      </c>
      <c r="J58" s="80">
        <f>'Stavební rozpočet'!J1379</f>
        <v>0</v>
      </c>
      <c r="K58" s="80">
        <f t="shared" si="23"/>
        <v>0</v>
      </c>
      <c r="L58" s="82" t="s">
        <v>207</v>
      </c>
      <c r="Z58" s="38">
        <f t="shared" si="24"/>
        <v>0</v>
      </c>
      <c r="AB58" s="38">
        <f t="shared" si="25"/>
        <v>0</v>
      </c>
      <c r="AC58" s="38">
        <f t="shared" si="26"/>
        <v>0</v>
      </c>
      <c r="AD58" s="38">
        <f t="shared" si="27"/>
        <v>0</v>
      </c>
      <c r="AE58" s="38">
        <f t="shared" si="28"/>
        <v>0</v>
      </c>
      <c r="AF58" s="38">
        <f t="shared" si="29"/>
        <v>0</v>
      </c>
      <c r="AG58" s="38">
        <f t="shared" si="30"/>
        <v>0</v>
      </c>
      <c r="AH58" s="38">
        <f t="shared" si="31"/>
        <v>0</v>
      </c>
      <c r="AI58" s="50" t="s">
        <v>93</v>
      </c>
      <c r="AJ58" s="80">
        <f t="shared" si="32"/>
        <v>0</v>
      </c>
      <c r="AK58" s="80">
        <f t="shared" si="33"/>
        <v>0</v>
      </c>
      <c r="AL58" s="80">
        <f t="shared" si="34"/>
        <v>0</v>
      </c>
      <c r="AN58" s="38">
        <v>21</v>
      </c>
      <c r="AO58" s="38">
        <f>H58*1</f>
        <v>0</v>
      </c>
      <c r="AP58" s="38">
        <f>H58*(1-1)</f>
        <v>0</v>
      </c>
      <c r="AQ58" s="83" t="s">
        <v>132</v>
      </c>
      <c r="AV58" s="38">
        <f t="shared" si="35"/>
        <v>0</v>
      </c>
      <c r="AW58" s="38">
        <f t="shared" si="36"/>
        <v>0</v>
      </c>
      <c r="AX58" s="38">
        <f t="shared" si="37"/>
        <v>0</v>
      </c>
      <c r="AY58" s="72" t="s">
        <v>2561</v>
      </c>
      <c r="AZ58" s="72" t="s">
        <v>2562</v>
      </c>
      <c r="BA58" s="50" t="s">
        <v>2563</v>
      </c>
      <c r="BC58" s="38">
        <f t="shared" si="38"/>
        <v>0</v>
      </c>
      <c r="BD58" s="38">
        <f t="shared" si="39"/>
        <v>0</v>
      </c>
      <c r="BE58" s="38">
        <v>0</v>
      </c>
      <c r="BF58" s="38">
        <f t="shared" si="40"/>
        <v>0</v>
      </c>
      <c r="BH58" s="80">
        <f t="shared" si="41"/>
        <v>0</v>
      </c>
      <c r="BI58" s="80">
        <f t="shared" si="42"/>
        <v>0</v>
      </c>
      <c r="BJ58" s="80">
        <f t="shared" si="43"/>
        <v>0</v>
      </c>
      <c r="BK58" s="80"/>
      <c r="BL58" s="38"/>
      <c r="BW58" s="38">
        <v>21</v>
      </c>
    </row>
    <row r="59" spans="1:75" ht="27" customHeight="1">
      <c r="A59" s="1" t="s">
        <v>387</v>
      </c>
      <c r="B59" s="2" t="s">
        <v>93</v>
      </c>
      <c r="C59" s="2" t="s">
        <v>2687</v>
      </c>
      <c r="D59" s="108" t="s">
        <v>2688</v>
      </c>
      <c r="E59" s="103"/>
      <c r="F59" s="2" t="s">
        <v>214</v>
      </c>
      <c r="G59" s="38">
        <f>'Stavební rozpočet'!G1380</f>
        <v>560</v>
      </c>
      <c r="H59" s="38">
        <f>'Stavební rozpočet'!H1380</f>
        <v>0</v>
      </c>
      <c r="I59" s="38">
        <f t="shared" si="22"/>
        <v>0</v>
      </c>
      <c r="J59" s="38">
        <f>'Stavební rozpočet'!J1380</f>
        <v>0</v>
      </c>
      <c r="K59" s="38">
        <f t="shared" si="23"/>
        <v>0</v>
      </c>
      <c r="L59" s="71" t="s">
        <v>207</v>
      </c>
      <c r="Z59" s="38">
        <f t="shared" si="24"/>
        <v>0</v>
      </c>
      <c r="AB59" s="38">
        <f t="shared" si="25"/>
        <v>0</v>
      </c>
      <c r="AC59" s="38">
        <f t="shared" si="26"/>
        <v>0</v>
      </c>
      <c r="AD59" s="38">
        <f t="shared" si="27"/>
        <v>0</v>
      </c>
      <c r="AE59" s="38">
        <f t="shared" si="28"/>
        <v>0</v>
      </c>
      <c r="AF59" s="38">
        <f t="shared" si="29"/>
        <v>0</v>
      </c>
      <c r="AG59" s="38">
        <f t="shared" si="30"/>
        <v>0</v>
      </c>
      <c r="AH59" s="38">
        <f t="shared" si="31"/>
        <v>0</v>
      </c>
      <c r="AI59" s="50" t="s">
        <v>93</v>
      </c>
      <c r="AJ59" s="38">
        <f t="shared" si="32"/>
        <v>0</v>
      </c>
      <c r="AK59" s="38">
        <f t="shared" si="33"/>
        <v>0</v>
      </c>
      <c r="AL59" s="38">
        <f t="shared" si="34"/>
        <v>0</v>
      </c>
      <c r="AN59" s="38">
        <v>21</v>
      </c>
      <c r="AO59" s="38">
        <f>H59*0</f>
        <v>0</v>
      </c>
      <c r="AP59" s="38">
        <f>H59*(1-0)</f>
        <v>0</v>
      </c>
      <c r="AQ59" s="72" t="s">
        <v>132</v>
      </c>
      <c r="AV59" s="38">
        <f t="shared" si="35"/>
        <v>0</v>
      </c>
      <c r="AW59" s="38">
        <f t="shared" si="36"/>
        <v>0</v>
      </c>
      <c r="AX59" s="38">
        <f t="shared" si="37"/>
        <v>0</v>
      </c>
      <c r="AY59" s="72" t="s">
        <v>2561</v>
      </c>
      <c r="AZ59" s="72" t="s">
        <v>2562</v>
      </c>
      <c r="BA59" s="50" t="s">
        <v>2563</v>
      </c>
      <c r="BC59" s="38">
        <f t="shared" si="38"/>
        <v>0</v>
      </c>
      <c r="BD59" s="38">
        <f t="shared" si="39"/>
        <v>0</v>
      </c>
      <c r="BE59" s="38">
        <v>0</v>
      </c>
      <c r="BF59" s="38">
        <f t="shared" si="40"/>
        <v>0</v>
      </c>
      <c r="BH59" s="38">
        <f t="shared" si="41"/>
        <v>0</v>
      </c>
      <c r="BI59" s="38">
        <f t="shared" si="42"/>
        <v>0</v>
      </c>
      <c r="BJ59" s="38">
        <f t="shared" si="43"/>
        <v>0</v>
      </c>
      <c r="BK59" s="38"/>
      <c r="BL59" s="38"/>
      <c r="BW59" s="38">
        <v>21</v>
      </c>
    </row>
    <row r="60" spans="1:75" ht="13.5" customHeight="1">
      <c r="A60" s="78" t="s">
        <v>392</v>
      </c>
      <c r="B60" s="79" t="s">
        <v>93</v>
      </c>
      <c r="C60" s="79" t="s">
        <v>2690</v>
      </c>
      <c r="D60" s="198" t="s">
        <v>2691</v>
      </c>
      <c r="E60" s="199"/>
      <c r="F60" s="79" t="s">
        <v>2661</v>
      </c>
      <c r="G60" s="80">
        <f>'Stavební rozpočet'!G1381</f>
        <v>560</v>
      </c>
      <c r="H60" s="80">
        <f>'Stavební rozpočet'!H1381</f>
        <v>0</v>
      </c>
      <c r="I60" s="80">
        <f t="shared" si="22"/>
        <v>0</v>
      </c>
      <c r="J60" s="80">
        <f>'Stavební rozpočet'!J1381</f>
        <v>0</v>
      </c>
      <c r="K60" s="80">
        <f t="shared" si="23"/>
        <v>0</v>
      </c>
      <c r="L60" s="82" t="s">
        <v>207</v>
      </c>
      <c r="Z60" s="38">
        <f t="shared" si="24"/>
        <v>0</v>
      </c>
      <c r="AB60" s="38">
        <f t="shared" si="25"/>
        <v>0</v>
      </c>
      <c r="AC60" s="38">
        <f t="shared" si="26"/>
        <v>0</v>
      </c>
      <c r="AD60" s="38">
        <f t="shared" si="27"/>
        <v>0</v>
      </c>
      <c r="AE60" s="38">
        <f t="shared" si="28"/>
        <v>0</v>
      </c>
      <c r="AF60" s="38">
        <f t="shared" si="29"/>
        <v>0</v>
      </c>
      <c r="AG60" s="38">
        <f t="shared" si="30"/>
        <v>0</v>
      </c>
      <c r="AH60" s="38">
        <f t="shared" si="31"/>
        <v>0</v>
      </c>
      <c r="AI60" s="50" t="s">
        <v>93</v>
      </c>
      <c r="AJ60" s="80">
        <f t="shared" si="32"/>
        <v>0</v>
      </c>
      <c r="AK60" s="80">
        <f t="shared" si="33"/>
        <v>0</v>
      </c>
      <c r="AL60" s="80">
        <f t="shared" si="34"/>
        <v>0</v>
      </c>
      <c r="AN60" s="38">
        <v>21</v>
      </c>
      <c r="AO60" s="38">
        <f>H60*1</f>
        <v>0</v>
      </c>
      <c r="AP60" s="38">
        <f>H60*(1-1)</f>
        <v>0</v>
      </c>
      <c r="AQ60" s="83" t="s">
        <v>132</v>
      </c>
      <c r="AV60" s="38">
        <f t="shared" si="35"/>
        <v>0</v>
      </c>
      <c r="AW60" s="38">
        <f t="shared" si="36"/>
        <v>0</v>
      </c>
      <c r="AX60" s="38">
        <f t="shared" si="37"/>
        <v>0</v>
      </c>
      <c r="AY60" s="72" t="s">
        <v>2561</v>
      </c>
      <c r="AZ60" s="72" t="s">
        <v>2562</v>
      </c>
      <c r="BA60" s="50" t="s">
        <v>2563</v>
      </c>
      <c r="BC60" s="38">
        <f t="shared" si="38"/>
        <v>0</v>
      </c>
      <c r="BD60" s="38">
        <f t="shared" si="39"/>
        <v>0</v>
      </c>
      <c r="BE60" s="38">
        <v>0</v>
      </c>
      <c r="BF60" s="38">
        <f t="shared" si="40"/>
        <v>0</v>
      </c>
      <c r="BH60" s="80">
        <f t="shared" si="41"/>
        <v>0</v>
      </c>
      <c r="BI60" s="80">
        <f t="shared" si="42"/>
        <v>0</v>
      </c>
      <c r="BJ60" s="80">
        <f t="shared" si="43"/>
        <v>0</v>
      </c>
      <c r="BK60" s="80"/>
      <c r="BL60" s="38"/>
      <c r="BW60" s="38">
        <v>21</v>
      </c>
    </row>
    <row r="61" spans="1:75" ht="27" customHeight="1">
      <c r="A61" s="1" t="s">
        <v>401</v>
      </c>
      <c r="B61" s="2" t="s">
        <v>93</v>
      </c>
      <c r="C61" s="2" t="s">
        <v>2693</v>
      </c>
      <c r="D61" s="108" t="s">
        <v>2694</v>
      </c>
      <c r="E61" s="103"/>
      <c r="F61" s="2" t="s">
        <v>214</v>
      </c>
      <c r="G61" s="38">
        <f>'Stavební rozpočet'!G1382</f>
        <v>1063</v>
      </c>
      <c r="H61" s="38">
        <f>'Stavební rozpočet'!H1382</f>
        <v>0</v>
      </c>
      <c r="I61" s="38">
        <f t="shared" si="22"/>
        <v>0</v>
      </c>
      <c r="J61" s="38">
        <f>'Stavební rozpočet'!J1382</f>
        <v>0</v>
      </c>
      <c r="K61" s="38">
        <f t="shared" si="23"/>
        <v>0</v>
      </c>
      <c r="L61" s="71" t="s">
        <v>207</v>
      </c>
      <c r="Z61" s="38">
        <f t="shared" si="24"/>
        <v>0</v>
      </c>
      <c r="AB61" s="38">
        <f t="shared" si="25"/>
        <v>0</v>
      </c>
      <c r="AC61" s="38">
        <f t="shared" si="26"/>
        <v>0</v>
      </c>
      <c r="AD61" s="38">
        <f t="shared" si="27"/>
        <v>0</v>
      </c>
      <c r="AE61" s="38">
        <f t="shared" si="28"/>
        <v>0</v>
      </c>
      <c r="AF61" s="38">
        <f t="shared" si="29"/>
        <v>0</v>
      </c>
      <c r="AG61" s="38">
        <f t="shared" si="30"/>
        <v>0</v>
      </c>
      <c r="AH61" s="38">
        <f t="shared" si="31"/>
        <v>0</v>
      </c>
      <c r="AI61" s="50" t="s">
        <v>93</v>
      </c>
      <c r="AJ61" s="38">
        <f t="shared" si="32"/>
        <v>0</v>
      </c>
      <c r="AK61" s="38">
        <f t="shared" si="33"/>
        <v>0</v>
      </c>
      <c r="AL61" s="38">
        <f t="shared" si="34"/>
        <v>0</v>
      </c>
      <c r="AN61" s="38">
        <v>21</v>
      </c>
      <c r="AO61" s="38">
        <f>H61*0</f>
        <v>0</v>
      </c>
      <c r="AP61" s="38">
        <f>H61*(1-0)</f>
        <v>0</v>
      </c>
      <c r="AQ61" s="72" t="s">
        <v>132</v>
      </c>
      <c r="AV61" s="38">
        <f t="shared" si="35"/>
        <v>0</v>
      </c>
      <c r="AW61" s="38">
        <f t="shared" si="36"/>
        <v>0</v>
      </c>
      <c r="AX61" s="38">
        <f t="shared" si="37"/>
        <v>0</v>
      </c>
      <c r="AY61" s="72" t="s">
        <v>2561</v>
      </c>
      <c r="AZ61" s="72" t="s">
        <v>2562</v>
      </c>
      <c r="BA61" s="50" t="s">
        <v>2563</v>
      </c>
      <c r="BC61" s="38">
        <f t="shared" si="38"/>
        <v>0</v>
      </c>
      <c r="BD61" s="38">
        <f t="shared" si="39"/>
        <v>0</v>
      </c>
      <c r="BE61" s="38">
        <v>0</v>
      </c>
      <c r="BF61" s="38">
        <f t="shared" si="40"/>
        <v>0</v>
      </c>
      <c r="BH61" s="38">
        <f t="shared" si="41"/>
        <v>0</v>
      </c>
      <c r="BI61" s="38">
        <f t="shared" si="42"/>
        <v>0</v>
      </c>
      <c r="BJ61" s="38">
        <f t="shared" si="43"/>
        <v>0</v>
      </c>
      <c r="BK61" s="38"/>
      <c r="BL61" s="38"/>
      <c r="BW61" s="38">
        <v>21</v>
      </c>
    </row>
    <row r="62" spans="1:75" ht="13.5" customHeight="1">
      <c r="A62" s="78" t="s">
        <v>406</v>
      </c>
      <c r="B62" s="79" t="s">
        <v>93</v>
      </c>
      <c r="C62" s="79" t="s">
        <v>2696</v>
      </c>
      <c r="D62" s="198" t="s">
        <v>2697</v>
      </c>
      <c r="E62" s="199"/>
      <c r="F62" s="79" t="s">
        <v>2661</v>
      </c>
      <c r="G62" s="80">
        <f>'Stavební rozpočet'!G1383</f>
        <v>1063</v>
      </c>
      <c r="H62" s="80">
        <f>'Stavební rozpočet'!H1383</f>
        <v>0</v>
      </c>
      <c r="I62" s="80">
        <f t="shared" si="22"/>
        <v>0</v>
      </c>
      <c r="J62" s="80">
        <f>'Stavební rozpočet'!J1383</f>
        <v>0</v>
      </c>
      <c r="K62" s="80">
        <f t="shared" si="23"/>
        <v>0</v>
      </c>
      <c r="L62" s="82" t="s">
        <v>207</v>
      </c>
      <c r="Z62" s="38">
        <f t="shared" si="24"/>
        <v>0</v>
      </c>
      <c r="AB62" s="38">
        <f t="shared" si="25"/>
        <v>0</v>
      </c>
      <c r="AC62" s="38">
        <f t="shared" si="26"/>
        <v>0</v>
      </c>
      <c r="AD62" s="38">
        <f t="shared" si="27"/>
        <v>0</v>
      </c>
      <c r="AE62" s="38">
        <f t="shared" si="28"/>
        <v>0</v>
      </c>
      <c r="AF62" s="38">
        <f t="shared" si="29"/>
        <v>0</v>
      </c>
      <c r="AG62" s="38">
        <f t="shared" si="30"/>
        <v>0</v>
      </c>
      <c r="AH62" s="38">
        <f t="shared" si="31"/>
        <v>0</v>
      </c>
      <c r="AI62" s="50" t="s">
        <v>93</v>
      </c>
      <c r="AJ62" s="80">
        <f t="shared" si="32"/>
        <v>0</v>
      </c>
      <c r="AK62" s="80">
        <f t="shared" si="33"/>
        <v>0</v>
      </c>
      <c r="AL62" s="80">
        <f t="shared" si="34"/>
        <v>0</v>
      </c>
      <c r="AN62" s="38">
        <v>21</v>
      </c>
      <c r="AO62" s="38">
        <f>H62*1</f>
        <v>0</v>
      </c>
      <c r="AP62" s="38">
        <f>H62*(1-1)</f>
        <v>0</v>
      </c>
      <c r="AQ62" s="83" t="s">
        <v>132</v>
      </c>
      <c r="AV62" s="38">
        <f t="shared" si="35"/>
        <v>0</v>
      </c>
      <c r="AW62" s="38">
        <f t="shared" si="36"/>
        <v>0</v>
      </c>
      <c r="AX62" s="38">
        <f t="shared" si="37"/>
        <v>0</v>
      </c>
      <c r="AY62" s="72" t="s">
        <v>2561</v>
      </c>
      <c r="AZ62" s="72" t="s">
        <v>2562</v>
      </c>
      <c r="BA62" s="50" t="s">
        <v>2563</v>
      </c>
      <c r="BC62" s="38">
        <f t="shared" si="38"/>
        <v>0</v>
      </c>
      <c r="BD62" s="38">
        <f t="shared" si="39"/>
        <v>0</v>
      </c>
      <c r="BE62" s="38">
        <v>0</v>
      </c>
      <c r="BF62" s="38">
        <f t="shared" si="40"/>
        <v>0</v>
      </c>
      <c r="BH62" s="80">
        <f t="shared" si="41"/>
        <v>0</v>
      </c>
      <c r="BI62" s="80">
        <f t="shared" si="42"/>
        <v>0</v>
      </c>
      <c r="BJ62" s="80">
        <f t="shared" si="43"/>
        <v>0</v>
      </c>
      <c r="BK62" s="80"/>
      <c r="BL62" s="38"/>
      <c r="BW62" s="38">
        <v>21</v>
      </c>
    </row>
    <row r="63" spans="1:75" ht="27" customHeight="1">
      <c r="A63" s="1" t="s">
        <v>412</v>
      </c>
      <c r="B63" s="2" t="s">
        <v>93</v>
      </c>
      <c r="C63" s="2" t="s">
        <v>2693</v>
      </c>
      <c r="D63" s="108" t="s">
        <v>2694</v>
      </c>
      <c r="E63" s="103"/>
      <c r="F63" s="2" t="s">
        <v>214</v>
      </c>
      <c r="G63" s="38">
        <f>'Stavební rozpočet'!G1384</f>
        <v>1416</v>
      </c>
      <c r="H63" s="38">
        <f>'Stavební rozpočet'!H1384</f>
        <v>0</v>
      </c>
      <c r="I63" s="38">
        <f t="shared" si="22"/>
        <v>0</v>
      </c>
      <c r="J63" s="38">
        <f>'Stavební rozpočet'!J1384</f>
        <v>0</v>
      </c>
      <c r="K63" s="38">
        <f t="shared" si="23"/>
        <v>0</v>
      </c>
      <c r="L63" s="71" t="s">
        <v>207</v>
      </c>
      <c r="Z63" s="38">
        <f t="shared" si="24"/>
        <v>0</v>
      </c>
      <c r="AB63" s="38">
        <f t="shared" si="25"/>
        <v>0</v>
      </c>
      <c r="AC63" s="38">
        <f t="shared" si="26"/>
        <v>0</v>
      </c>
      <c r="AD63" s="38">
        <f t="shared" si="27"/>
        <v>0</v>
      </c>
      <c r="AE63" s="38">
        <f t="shared" si="28"/>
        <v>0</v>
      </c>
      <c r="AF63" s="38">
        <f t="shared" si="29"/>
        <v>0</v>
      </c>
      <c r="AG63" s="38">
        <f t="shared" si="30"/>
        <v>0</v>
      </c>
      <c r="AH63" s="38">
        <f t="shared" si="31"/>
        <v>0</v>
      </c>
      <c r="AI63" s="50" t="s">
        <v>93</v>
      </c>
      <c r="AJ63" s="38">
        <f t="shared" si="32"/>
        <v>0</v>
      </c>
      <c r="AK63" s="38">
        <f t="shared" si="33"/>
        <v>0</v>
      </c>
      <c r="AL63" s="38">
        <f t="shared" si="34"/>
        <v>0</v>
      </c>
      <c r="AN63" s="38">
        <v>21</v>
      </c>
      <c r="AO63" s="38">
        <f>H63*0</f>
        <v>0</v>
      </c>
      <c r="AP63" s="38">
        <f>H63*(1-0)</f>
        <v>0</v>
      </c>
      <c r="AQ63" s="72" t="s">
        <v>132</v>
      </c>
      <c r="AV63" s="38">
        <f t="shared" si="35"/>
        <v>0</v>
      </c>
      <c r="AW63" s="38">
        <f t="shared" si="36"/>
        <v>0</v>
      </c>
      <c r="AX63" s="38">
        <f t="shared" si="37"/>
        <v>0</v>
      </c>
      <c r="AY63" s="72" t="s">
        <v>2561</v>
      </c>
      <c r="AZ63" s="72" t="s">
        <v>2562</v>
      </c>
      <c r="BA63" s="50" t="s">
        <v>2563</v>
      </c>
      <c r="BC63" s="38">
        <f t="shared" si="38"/>
        <v>0</v>
      </c>
      <c r="BD63" s="38">
        <f t="shared" si="39"/>
        <v>0</v>
      </c>
      <c r="BE63" s="38">
        <v>0</v>
      </c>
      <c r="BF63" s="38">
        <f t="shared" si="40"/>
        <v>0</v>
      </c>
      <c r="BH63" s="38">
        <f t="shared" si="41"/>
        <v>0</v>
      </c>
      <c r="BI63" s="38">
        <f t="shared" si="42"/>
        <v>0</v>
      </c>
      <c r="BJ63" s="38">
        <f t="shared" si="43"/>
        <v>0</v>
      </c>
      <c r="BK63" s="38"/>
      <c r="BL63" s="38"/>
      <c r="BW63" s="38">
        <v>21</v>
      </c>
    </row>
    <row r="64" spans="1:75" ht="13.5" customHeight="1">
      <c r="A64" s="78" t="s">
        <v>422</v>
      </c>
      <c r="B64" s="79" t="s">
        <v>93</v>
      </c>
      <c r="C64" s="79" t="s">
        <v>2700</v>
      </c>
      <c r="D64" s="198" t="s">
        <v>2701</v>
      </c>
      <c r="E64" s="199"/>
      <c r="F64" s="79" t="s">
        <v>2661</v>
      </c>
      <c r="G64" s="80">
        <f>'Stavební rozpočet'!G1385</f>
        <v>1416</v>
      </c>
      <c r="H64" s="80">
        <f>'Stavební rozpočet'!H1385</f>
        <v>0</v>
      </c>
      <c r="I64" s="80">
        <f t="shared" si="22"/>
        <v>0</v>
      </c>
      <c r="J64" s="80">
        <f>'Stavební rozpočet'!J1385</f>
        <v>0</v>
      </c>
      <c r="K64" s="80">
        <f t="shared" si="23"/>
        <v>0</v>
      </c>
      <c r="L64" s="82" t="s">
        <v>207</v>
      </c>
      <c r="Z64" s="38">
        <f t="shared" si="24"/>
        <v>0</v>
      </c>
      <c r="AB64" s="38">
        <f t="shared" si="25"/>
        <v>0</v>
      </c>
      <c r="AC64" s="38">
        <f t="shared" si="26"/>
        <v>0</v>
      </c>
      <c r="AD64" s="38">
        <f t="shared" si="27"/>
        <v>0</v>
      </c>
      <c r="AE64" s="38">
        <f t="shared" si="28"/>
        <v>0</v>
      </c>
      <c r="AF64" s="38">
        <f t="shared" si="29"/>
        <v>0</v>
      </c>
      <c r="AG64" s="38">
        <f t="shared" si="30"/>
        <v>0</v>
      </c>
      <c r="AH64" s="38">
        <f t="shared" si="31"/>
        <v>0</v>
      </c>
      <c r="AI64" s="50" t="s">
        <v>93</v>
      </c>
      <c r="AJ64" s="80">
        <f t="shared" si="32"/>
        <v>0</v>
      </c>
      <c r="AK64" s="80">
        <f t="shared" si="33"/>
        <v>0</v>
      </c>
      <c r="AL64" s="80">
        <f t="shared" si="34"/>
        <v>0</v>
      </c>
      <c r="AN64" s="38">
        <v>21</v>
      </c>
      <c r="AO64" s="38">
        <f>H64*1</f>
        <v>0</v>
      </c>
      <c r="AP64" s="38">
        <f>H64*(1-1)</f>
        <v>0</v>
      </c>
      <c r="AQ64" s="83" t="s">
        <v>132</v>
      </c>
      <c r="AV64" s="38">
        <f t="shared" si="35"/>
        <v>0</v>
      </c>
      <c r="AW64" s="38">
        <f t="shared" si="36"/>
        <v>0</v>
      </c>
      <c r="AX64" s="38">
        <f t="shared" si="37"/>
        <v>0</v>
      </c>
      <c r="AY64" s="72" t="s">
        <v>2561</v>
      </c>
      <c r="AZ64" s="72" t="s">
        <v>2562</v>
      </c>
      <c r="BA64" s="50" t="s">
        <v>2563</v>
      </c>
      <c r="BC64" s="38">
        <f t="shared" si="38"/>
        <v>0</v>
      </c>
      <c r="BD64" s="38">
        <f t="shared" si="39"/>
        <v>0</v>
      </c>
      <c r="BE64" s="38">
        <v>0</v>
      </c>
      <c r="BF64" s="38">
        <f t="shared" si="40"/>
        <v>0</v>
      </c>
      <c r="BH64" s="80">
        <f t="shared" si="41"/>
        <v>0</v>
      </c>
      <c r="BI64" s="80">
        <f t="shared" si="42"/>
        <v>0</v>
      </c>
      <c r="BJ64" s="80">
        <f t="shared" si="43"/>
        <v>0</v>
      </c>
      <c r="BK64" s="80"/>
      <c r="BL64" s="38"/>
      <c r="BW64" s="38">
        <v>21</v>
      </c>
    </row>
    <row r="65" spans="1:75" ht="27" customHeight="1">
      <c r="A65" s="1" t="s">
        <v>427</v>
      </c>
      <c r="B65" s="2" t="s">
        <v>93</v>
      </c>
      <c r="C65" s="2" t="s">
        <v>2703</v>
      </c>
      <c r="D65" s="108" t="s">
        <v>2704</v>
      </c>
      <c r="E65" s="103"/>
      <c r="F65" s="2" t="s">
        <v>214</v>
      </c>
      <c r="G65" s="38">
        <f>'Stavební rozpočet'!G1386</f>
        <v>343</v>
      </c>
      <c r="H65" s="38">
        <f>'Stavební rozpočet'!H1386</f>
        <v>0</v>
      </c>
      <c r="I65" s="38">
        <f t="shared" si="22"/>
        <v>0</v>
      </c>
      <c r="J65" s="38">
        <f>'Stavební rozpočet'!J1386</f>
        <v>0</v>
      </c>
      <c r="K65" s="38">
        <f t="shared" si="23"/>
        <v>0</v>
      </c>
      <c r="L65" s="71" t="s">
        <v>207</v>
      </c>
      <c r="Z65" s="38">
        <f t="shared" si="24"/>
        <v>0</v>
      </c>
      <c r="AB65" s="38">
        <f t="shared" si="25"/>
        <v>0</v>
      </c>
      <c r="AC65" s="38">
        <f t="shared" si="26"/>
        <v>0</v>
      </c>
      <c r="AD65" s="38">
        <f t="shared" si="27"/>
        <v>0</v>
      </c>
      <c r="AE65" s="38">
        <f t="shared" si="28"/>
        <v>0</v>
      </c>
      <c r="AF65" s="38">
        <f t="shared" si="29"/>
        <v>0</v>
      </c>
      <c r="AG65" s="38">
        <f t="shared" si="30"/>
        <v>0</v>
      </c>
      <c r="AH65" s="38">
        <f t="shared" si="31"/>
        <v>0</v>
      </c>
      <c r="AI65" s="50" t="s">
        <v>93</v>
      </c>
      <c r="AJ65" s="38">
        <f t="shared" si="32"/>
        <v>0</v>
      </c>
      <c r="AK65" s="38">
        <f t="shared" si="33"/>
        <v>0</v>
      </c>
      <c r="AL65" s="38">
        <f t="shared" si="34"/>
        <v>0</v>
      </c>
      <c r="AN65" s="38">
        <v>21</v>
      </c>
      <c r="AO65" s="38">
        <f>H65*0</f>
        <v>0</v>
      </c>
      <c r="AP65" s="38">
        <f>H65*(1-0)</f>
        <v>0</v>
      </c>
      <c r="AQ65" s="72" t="s">
        <v>132</v>
      </c>
      <c r="AV65" s="38">
        <f t="shared" si="35"/>
        <v>0</v>
      </c>
      <c r="AW65" s="38">
        <f t="shared" si="36"/>
        <v>0</v>
      </c>
      <c r="AX65" s="38">
        <f t="shared" si="37"/>
        <v>0</v>
      </c>
      <c r="AY65" s="72" t="s">
        <v>2561</v>
      </c>
      <c r="AZ65" s="72" t="s">
        <v>2562</v>
      </c>
      <c r="BA65" s="50" t="s">
        <v>2563</v>
      </c>
      <c r="BC65" s="38">
        <f t="shared" si="38"/>
        <v>0</v>
      </c>
      <c r="BD65" s="38">
        <f t="shared" si="39"/>
        <v>0</v>
      </c>
      <c r="BE65" s="38">
        <v>0</v>
      </c>
      <c r="BF65" s="38">
        <f t="shared" si="40"/>
        <v>0</v>
      </c>
      <c r="BH65" s="38">
        <f t="shared" si="41"/>
        <v>0</v>
      </c>
      <c r="BI65" s="38">
        <f t="shared" si="42"/>
        <v>0</v>
      </c>
      <c r="BJ65" s="38">
        <f t="shared" si="43"/>
        <v>0</v>
      </c>
      <c r="BK65" s="38"/>
      <c r="BL65" s="38"/>
      <c r="BW65" s="38">
        <v>21</v>
      </c>
    </row>
    <row r="66" spans="1:75" ht="13.5" customHeight="1">
      <c r="A66" s="78" t="s">
        <v>437</v>
      </c>
      <c r="B66" s="79" t="s">
        <v>93</v>
      </c>
      <c r="C66" s="79" t="s">
        <v>2706</v>
      </c>
      <c r="D66" s="198" t="s">
        <v>2707</v>
      </c>
      <c r="E66" s="199"/>
      <c r="F66" s="79" t="s">
        <v>2661</v>
      </c>
      <c r="G66" s="80">
        <f>'Stavební rozpočet'!G1387</f>
        <v>220</v>
      </c>
      <c r="H66" s="80">
        <f>'Stavební rozpočet'!H1387</f>
        <v>0</v>
      </c>
      <c r="I66" s="80">
        <f t="shared" si="22"/>
        <v>0</v>
      </c>
      <c r="J66" s="80">
        <f>'Stavební rozpočet'!J1387</f>
        <v>0</v>
      </c>
      <c r="K66" s="80">
        <f t="shared" si="23"/>
        <v>0</v>
      </c>
      <c r="L66" s="82" t="s">
        <v>207</v>
      </c>
      <c r="Z66" s="38">
        <f t="shared" si="24"/>
        <v>0</v>
      </c>
      <c r="AB66" s="38">
        <f t="shared" si="25"/>
        <v>0</v>
      </c>
      <c r="AC66" s="38">
        <f t="shared" si="26"/>
        <v>0</v>
      </c>
      <c r="AD66" s="38">
        <f t="shared" si="27"/>
        <v>0</v>
      </c>
      <c r="AE66" s="38">
        <f t="shared" si="28"/>
        <v>0</v>
      </c>
      <c r="AF66" s="38">
        <f t="shared" si="29"/>
        <v>0</v>
      </c>
      <c r="AG66" s="38">
        <f t="shared" si="30"/>
        <v>0</v>
      </c>
      <c r="AH66" s="38">
        <f t="shared" si="31"/>
        <v>0</v>
      </c>
      <c r="AI66" s="50" t="s">
        <v>93</v>
      </c>
      <c r="AJ66" s="80">
        <f t="shared" si="32"/>
        <v>0</v>
      </c>
      <c r="AK66" s="80">
        <f t="shared" si="33"/>
        <v>0</v>
      </c>
      <c r="AL66" s="80">
        <f t="shared" si="34"/>
        <v>0</v>
      </c>
      <c r="AN66" s="38">
        <v>21</v>
      </c>
      <c r="AO66" s="38">
        <f>H66*1</f>
        <v>0</v>
      </c>
      <c r="AP66" s="38">
        <f>H66*(1-1)</f>
        <v>0</v>
      </c>
      <c r="AQ66" s="83" t="s">
        <v>132</v>
      </c>
      <c r="AV66" s="38">
        <f t="shared" si="35"/>
        <v>0</v>
      </c>
      <c r="AW66" s="38">
        <f t="shared" si="36"/>
        <v>0</v>
      </c>
      <c r="AX66" s="38">
        <f t="shared" si="37"/>
        <v>0</v>
      </c>
      <c r="AY66" s="72" t="s">
        <v>2561</v>
      </c>
      <c r="AZ66" s="72" t="s">
        <v>2562</v>
      </c>
      <c r="BA66" s="50" t="s">
        <v>2563</v>
      </c>
      <c r="BC66" s="38">
        <f t="shared" si="38"/>
        <v>0</v>
      </c>
      <c r="BD66" s="38">
        <f t="shared" si="39"/>
        <v>0</v>
      </c>
      <c r="BE66" s="38">
        <v>0</v>
      </c>
      <c r="BF66" s="38">
        <f t="shared" si="40"/>
        <v>0</v>
      </c>
      <c r="BH66" s="80">
        <f t="shared" si="41"/>
        <v>0</v>
      </c>
      <c r="BI66" s="80">
        <f t="shared" si="42"/>
        <v>0</v>
      </c>
      <c r="BJ66" s="80">
        <f t="shared" si="43"/>
        <v>0</v>
      </c>
      <c r="BK66" s="80"/>
      <c r="BL66" s="38"/>
      <c r="BW66" s="38">
        <v>21</v>
      </c>
    </row>
    <row r="67" spans="1:75" ht="13.5" customHeight="1">
      <c r="A67" s="78" t="s">
        <v>441</v>
      </c>
      <c r="B67" s="79" t="s">
        <v>93</v>
      </c>
      <c r="C67" s="79" t="s">
        <v>2709</v>
      </c>
      <c r="D67" s="198" t="s">
        <v>2710</v>
      </c>
      <c r="E67" s="199"/>
      <c r="F67" s="79" t="s">
        <v>2661</v>
      </c>
      <c r="G67" s="80">
        <f>'Stavební rozpočet'!G1388</f>
        <v>123</v>
      </c>
      <c r="H67" s="80">
        <f>'Stavební rozpočet'!H1388</f>
        <v>0</v>
      </c>
      <c r="I67" s="80">
        <f t="shared" si="22"/>
        <v>0</v>
      </c>
      <c r="J67" s="80">
        <f>'Stavební rozpočet'!J1388</f>
        <v>0</v>
      </c>
      <c r="K67" s="80">
        <f t="shared" si="23"/>
        <v>0</v>
      </c>
      <c r="L67" s="82" t="s">
        <v>207</v>
      </c>
      <c r="Z67" s="38">
        <f t="shared" si="24"/>
        <v>0</v>
      </c>
      <c r="AB67" s="38">
        <f t="shared" si="25"/>
        <v>0</v>
      </c>
      <c r="AC67" s="38">
        <f t="shared" si="26"/>
        <v>0</v>
      </c>
      <c r="AD67" s="38">
        <f t="shared" si="27"/>
        <v>0</v>
      </c>
      <c r="AE67" s="38">
        <f t="shared" si="28"/>
        <v>0</v>
      </c>
      <c r="AF67" s="38">
        <f t="shared" si="29"/>
        <v>0</v>
      </c>
      <c r="AG67" s="38">
        <f t="shared" si="30"/>
        <v>0</v>
      </c>
      <c r="AH67" s="38">
        <f t="shared" si="31"/>
        <v>0</v>
      </c>
      <c r="AI67" s="50" t="s">
        <v>93</v>
      </c>
      <c r="AJ67" s="80">
        <f t="shared" si="32"/>
        <v>0</v>
      </c>
      <c r="AK67" s="80">
        <f t="shared" si="33"/>
        <v>0</v>
      </c>
      <c r="AL67" s="80">
        <f t="shared" si="34"/>
        <v>0</v>
      </c>
      <c r="AN67" s="38">
        <v>21</v>
      </c>
      <c r="AO67" s="38">
        <f>H67*1</f>
        <v>0</v>
      </c>
      <c r="AP67" s="38">
        <f>H67*(1-1)</f>
        <v>0</v>
      </c>
      <c r="AQ67" s="83" t="s">
        <v>132</v>
      </c>
      <c r="AV67" s="38">
        <f t="shared" si="35"/>
        <v>0</v>
      </c>
      <c r="AW67" s="38">
        <f t="shared" si="36"/>
        <v>0</v>
      </c>
      <c r="AX67" s="38">
        <f t="shared" si="37"/>
        <v>0</v>
      </c>
      <c r="AY67" s="72" t="s">
        <v>2561</v>
      </c>
      <c r="AZ67" s="72" t="s">
        <v>2562</v>
      </c>
      <c r="BA67" s="50" t="s">
        <v>2563</v>
      </c>
      <c r="BC67" s="38">
        <f t="shared" si="38"/>
        <v>0</v>
      </c>
      <c r="BD67" s="38">
        <f t="shared" si="39"/>
        <v>0</v>
      </c>
      <c r="BE67" s="38">
        <v>0</v>
      </c>
      <c r="BF67" s="38">
        <f t="shared" si="40"/>
        <v>0</v>
      </c>
      <c r="BH67" s="80">
        <f t="shared" si="41"/>
        <v>0</v>
      </c>
      <c r="BI67" s="80">
        <f t="shared" si="42"/>
        <v>0</v>
      </c>
      <c r="BJ67" s="80">
        <f t="shared" si="43"/>
        <v>0</v>
      </c>
      <c r="BK67" s="80"/>
      <c r="BL67" s="38"/>
      <c r="BW67" s="38">
        <v>21</v>
      </c>
    </row>
    <row r="68" spans="1:75" ht="27" customHeight="1">
      <c r="A68" s="1" t="s">
        <v>448</v>
      </c>
      <c r="B68" s="2" t="s">
        <v>93</v>
      </c>
      <c r="C68" s="2" t="s">
        <v>2712</v>
      </c>
      <c r="D68" s="108" t="s">
        <v>2713</v>
      </c>
      <c r="E68" s="103"/>
      <c r="F68" s="2" t="s">
        <v>214</v>
      </c>
      <c r="G68" s="38">
        <f>'Stavební rozpočet'!G1389</f>
        <v>105</v>
      </c>
      <c r="H68" s="38">
        <f>'Stavební rozpočet'!H1389</f>
        <v>0</v>
      </c>
      <c r="I68" s="38">
        <f t="shared" si="22"/>
        <v>0</v>
      </c>
      <c r="J68" s="38">
        <f>'Stavební rozpočet'!J1389</f>
        <v>0</v>
      </c>
      <c r="K68" s="38">
        <f t="shared" si="23"/>
        <v>0</v>
      </c>
      <c r="L68" s="71" t="s">
        <v>207</v>
      </c>
      <c r="Z68" s="38">
        <f t="shared" si="24"/>
        <v>0</v>
      </c>
      <c r="AB68" s="38">
        <f t="shared" si="25"/>
        <v>0</v>
      </c>
      <c r="AC68" s="38">
        <f t="shared" si="26"/>
        <v>0</v>
      </c>
      <c r="AD68" s="38">
        <f t="shared" si="27"/>
        <v>0</v>
      </c>
      <c r="AE68" s="38">
        <f t="shared" si="28"/>
        <v>0</v>
      </c>
      <c r="AF68" s="38">
        <f t="shared" si="29"/>
        <v>0</v>
      </c>
      <c r="AG68" s="38">
        <f t="shared" si="30"/>
        <v>0</v>
      </c>
      <c r="AH68" s="38">
        <f t="shared" si="31"/>
        <v>0</v>
      </c>
      <c r="AI68" s="50" t="s">
        <v>93</v>
      </c>
      <c r="AJ68" s="38">
        <f t="shared" si="32"/>
        <v>0</v>
      </c>
      <c r="AK68" s="38">
        <f t="shared" si="33"/>
        <v>0</v>
      </c>
      <c r="AL68" s="38">
        <f t="shared" si="34"/>
        <v>0</v>
      </c>
      <c r="AN68" s="38">
        <v>21</v>
      </c>
      <c r="AO68" s="38">
        <f>H68*0</f>
        <v>0</v>
      </c>
      <c r="AP68" s="38">
        <f>H68*(1-0)</f>
        <v>0</v>
      </c>
      <c r="AQ68" s="72" t="s">
        <v>132</v>
      </c>
      <c r="AV68" s="38">
        <f t="shared" si="35"/>
        <v>0</v>
      </c>
      <c r="AW68" s="38">
        <f t="shared" si="36"/>
        <v>0</v>
      </c>
      <c r="AX68" s="38">
        <f t="shared" si="37"/>
        <v>0</v>
      </c>
      <c r="AY68" s="72" t="s">
        <v>2561</v>
      </c>
      <c r="AZ68" s="72" t="s">
        <v>2562</v>
      </c>
      <c r="BA68" s="50" t="s">
        <v>2563</v>
      </c>
      <c r="BC68" s="38">
        <f t="shared" si="38"/>
        <v>0</v>
      </c>
      <c r="BD68" s="38">
        <f t="shared" si="39"/>
        <v>0</v>
      </c>
      <c r="BE68" s="38">
        <v>0</v>
      </c>
      <c r="BF68" s="38">
        <f t="shared" si="40"/>
        <v>0</v>
      </c>
      <c r="BH68" s="38">
        <f t="shared" si="41"/>
        <v>0</v>
      </c>
      <c r="BI68" s="38">
        <f t="shared" si="42"/>
        <v>0</v>
      </c>
      <c r="BJ68" s="38">
        <f t="shared" si="43"/>
        <v>0</v>
      </c>
      <c r="BK68" s="38"/>
      <c r="BL68" s="38"/>
      <c r="BW68" s="38">
        <v>21</v>
      </c>
    </row>
    <row r="69" spans="1:75" ht="13.5" customHeight="1">
      <c r="A69" s="78" t="s">
        <v>455</v>
      </c>
      <c r="B69" s="79" t="s">
        <v>93</v>
      </c>
      <c r="C69" s="79" t="s">
        <v>2715</v>
      </c>
      <c r="D69" s="198" t="s">
        <v>2716</v>
      </c>
      <c r="E69" s="199"/>
      <c r="F69" s="79" t="s">
        <v>2661</v>
      </c>
      <c r="G69" s="80">
        <f>'Stavební rozpočet'!G1390</f>
        <v>105</v>
      </c>
      <c r="H69" s="80">
        <f>'Stavební rozpočet'!H1390</f>
        <v>0</v>
      </c>
      <c r="I69" s="80">
        <f t="shared" si="22"/>
        <v>0</v>
      </c>
      <c r="J69" s="80">
        <f>'Stavební rozpočet'!J1390</f>
        <v>0</v>
      </c>
      <c r="K69" s="80">
        <f t="shared" si="23"/>
        <v>0</v>
      </c>
      <c r="L69" s="82" t="s">
        <v>207</v>
      </c>
      <c r="Z69" s="38">
        <f t="shared" si="24"/>
        <v>0</v>
      </c>
      <c r="AB69" s="38">
        <f t="shared" si="25"/>
        <v>0</v>
      </c>
      <c r="AC69" s="38">
        <f t="shared" si="26"/>
        <v>0</v>
      </c>
      <c r="AD69" s="38">
        <f t="shared" si="27"/>
        <v>0</v>
      </c>
      <c r="AE69" s="38">
        <f t="shared" si="28"/>
        <v>0</v>
      </c>
      <c r="AF69" s="38">
        <f t="shared" si="29"/>
        <v>0</v>
      </c>
      <c r="AG69" s="38">
        <f t="shared" si="30"/>
        <v>0</v>
      </c>
      <c r="AH69" s="38">
        <f t="shared" si="31"/>
        <v>0</v>
      </c>
      <c r="AI69" s="50" t="s">
        <v>93</v>
      </c>
      <c r="AJ69" s="80">
        <f t="shared" si="32"/>
        <v>0</v>
      </c>
      <c r="AK69" s="80">
        <f t="shared" si="33"/>
        <v>0</v>
      </c>
      <c r="AL69" s="80">
        <f t="shared" si="34"/>
        <v>0</v>
      </c>
      <c r="AN69" s="38">
        <v>21</v>
      </c>
      <c r="AO69" s="38">
        <f>H69*1</f>
        <v>0</v>
      </c>
      <c r="AP69" s="38">
        <f>H69*(1-1)</f>
        <v>0</v>
      </c>
      <c r="AQ69" s="83" t="s">
        <v>132</v>
      </c>
      <c r="AV69" s="38">
        <f t="shared" si="35"/>
        <v>0</v>
      </c>
      <c r="AW69" s="38">
        <f t="shared" si="36"/>
        <v>0</v>
      </c>
      <c r="AX69" s="38">
        <f t="shared" si="37"/>
        <v>0</v>
      </c>
      <c r="AY69" s="72" t="s">
        <v>2561</v>
      </c>
      <c r="AZ69" s="72" t="s">
        <v>2562</v>
      </c>
      <c r="BA69" s="50" t="s">
        <v>2563</v>
      </c>
      <c r="BC69" s="38">
        <f t="shared" si="38"/>
        <v>0</v>
      </c>
      <c r="BD69" s="38">
        <f t="shared" si="39"/>
        <v>0</v>
      </c>
      <c r="BE69" s="38">
        <v>0</v>
      </c>
      <c r="BF69" s="38">
        <f t="shared" si="40"/>
        <v>0</v>
      </c>
      <c r="BH69" s="80">
        <f t="shared" si="41"/>
        <v>0</v>
      </c>
      <c r="BI69" s="80">
        <f t="shared" si="42"/>
        <v>0</v>
      </c>
      <c r="BJ69" s="80">
        <f t="shared" si="43"/>
        <v>0</v>
      </c>
      <c r="BK69" s="80"/>
      <c r="BL69" s="38"/>
      <c r="BW69" s="38">
        <v>21</v>
      </c>
    </row>
    <row r="70" spans="1:75" ht="27" customHeight="1">
      <c r="A70" s="1" t="s">
        <v>459</v>
      </c>
      <c r="B70" s="2" t="s">
        <v>93</v>
      </c>
      <c r="C70" s="2" t="s">
        <v>2718</v>
      </c>
      <c r="D70" s="108" t="s">
        <v>2719</v>
      </c>
      <c r="E70" s="103"/>
      <c r="F70" s="2" t="s">
        <v>214</v>
      </c>
      <c r="G70" s="38">
        <f>'Stavební rozpočet'!G1391</f>
        <v>60</v>
      </c>
      <c r="H70" s="38">
        <f>'Stavební rozpočet'!H1391</f>
        <v>0</v>
      </c>
      <c r="I70" s="38">
        <f t="shared" si="22"/>
        <v>0</v>
      </c>
      <c r="J70" s="38">
        <f>'Stavební rozpočet'!J1391</f>
        <v>0</v>
      </c>
      <c r="K70" s="38">
        <f t="shared" si="23"/>
        <v>0</v>
      </c>
      <c r="L70" s="71" t="s">
        <v>207</v>
      </c>
      <c r="Z70" s="38">
        <f t="shared" si="24"/>
        <v>0</v>
      </c>
      <c r="AB70" s="38">
        <f t="shared" si="25"/>
        <v>0</v>
      </c>
      <c r="AC70" s="38">
        <f t="shared" si="26"/>
        <v>0</v>
      </c>
      <c r="AD70" s="38">
        <f t="shared" si="27"/>
        <v>0</v>
      </c>
      <c r="AE70" s="38">
        <f t="shared" si="28"/>
        <v>0</v>
      </c>
      <c r="AF70" s="38">
        <f t="shared" si="29"/>
        <v>0</v>
      </c>
      <c r="AG70" s="38">
        <f t="shared" si="30"/>
        <v>0</v>
      </c>
      <c r="AH70" s="38">
        <f t="shared" si="31"/>
        <v>0</v>
      </c>
      <c r="AI70" s="50" t="s">
        <v>93</v>
      </c>
      <c r="AJ70" s="38">
        <f t="shared" si="32"/>
        <v>0</v>
      </c>
      <c r="AK70" s="38">
        <f t="shared" si="33"/>
        <v>0</v>
      </c>
      <c r="AL70" s="38">
        <f t="shared" si="34"/>
        <v>0</v>
      </c>
      <c r="AN70" s="38">
        <v>21</v>
      </c>
      <c r="AO70" s="38">
        <f>H70*0</f>
        <v>0</v>
      </c>
      <c r="AP70" s="38">
        <f>H70*(1-0)</f>
        <v>0</v>
      </c>
      <c r="AQ70" s="72" t="s">
        <v>132</v>
      </c>
      <c r="AV70" s="38">
        <f t="shared" si="35"/>
        <v>0</v>
      </c>
      <c r="AW70" s="38">
        <f t="shared" si="36"/>
        <v>0</v>
      </c>
      <c r="AX70" s="38">
        <f t="shared" si="37"/>
        <v>0</v>
      </c>
      <c r="AY70" s="72" t="s">
        <v>2561</v>
      </c>
      <c r="AZ70" s="72" t="s">
        <v>2562</v>
      </c>
      <c r="BA70" s="50" t="s">
        <v>2563</v>
      </c>
      <c r="BC70" s="38">
        <f t="shared" si="38"/>
        <v>0</v>
      </c>
      <c r="BD70" s="38">
        <f t="shared" si="39"/>
        <v>0</v>
      </c>
      <c r="BE70" s="38">
        <v>0</v>
      </c>
      <c r="BF70" s="38">
        <f t="shared" si="40"/>
        <v>0</v>
      </c>
      <c r="BH70" s="38">
        <f t="shared" si="41"/>
        <v>0</v>
      </c>
      <c r="BI70" s="38">
        <f t="shared" si="42"/>
        <v>0</v>
      </c>
      <c r="BJ70" s="38">
        <f t="shared" si="43"/>
        <v>0</v>
      </c>
      <c r="BK70" s="38"/>
      <c r="BL70" s="38"/>
      <c r="BW70" s="38">
        <v>21</v>
      </c>
    </row>
    <row r="71" spans="1:75" ht="13.5" customHeight="1">
      <c r="A71" s="78" t="s">
        <v>464</v>
      </c>
      <c r="B71" s="79" t="s">
        <v>93</v>
      </c>
      <c r="C71" s="79" t="s">
        <v>2721</v>
      </c>
      <c r="D71" s="198" t="s">
        <v>2722</v>
      </c>
      <c r="E71" s="199"/>
      <c r="F71" s="79" t="s">
        <v>2661</v>
      </c>
      <c r="G71" s="80">
        <f>'Stavební rozpočet'!G1392</f>
        <v>60</v>
      </c>
      <c r="H71" s="80">
        <f>'Stavební rozpočet'!H1392</f>
        <v>0</v>
      </c>
      <c r="I71" s="80">
        <f t="shared" si="22"/>
        <v>0</v>
      </c>
      <c r="J71" s="80">
        <f>'Stavební rozpočet'!J1392</f>
        <v>0</v>
      </c>
      <c r="K71" s="80">
        <f t="shared" si="23"/>
        <v>0</v>
      </c>
      <c r="L71" s="82" t="s">
        <v>207</v>
      </c>
      <c r="Z71" s="38">
        <f t="shared" si="24"/>
        <v>0</v>
      </c>
      <c r="AB71" s="38">
        <f t="shared" si="25"/>
        <v>0</v>
      </c>
      <c r="AC71" s="38">
        <f t="shared" si="26"/>
        <v>0</v>
      </c>
      <c r="AD71" s="38">
        <f t="shared" si="27"/>
        <v>0</v>
      </c>
      <c r="AE71" s="38">
        <f t="shared" si="28"/>
        <v>0</v>
      </c>
      <c r="AF71" s="38">
        <f t="shared" si="29"/>
        <v>0</v>
      </c>
      <c r="AG71" s="38">
        <f t="shared" si="30"/>
        <v>0</v>
      </c>
      <c r="AH71" s="38">
        <f t="shared" si="31"/>
        <v>0</v>
      </c>
      <c r="AI71" s="50" t="s">
        <v>93</v>
      </c>
      <c r="AJ71" s="80">
        <f t="shared" si="32"/>
        <v>0</v>
      </c>
      <c r="AK71" s="80">
        <f t="shared" si="33"/>
        <v>0</v>
      </c>
      <c r="AL71" s="80">
        <f t="shared" si="34"/>
        <v>0</v>
      </c>
      <c r="AN71" s="38">
        <v>21</v>
      </c>
      <c r="AO71" s="38">
        <f>H71*1</f>
        <v>0</v>
      </c>
      <c r="AP71" s="38">
        <f>H71*(1-1)</f>
        <v>0</v>
      </c>
      <c r="AQ71" s="83" t="s">
        <v>132</v>
      </c>
      <c r="AV71" s="38">
        <f t="shared" si="35"/>
        <v>0</v>
      </c>
      <c r="AW71" s="38">
        <f t="shared" si="36"/>
        <v>0</v>
      </c>
      <c r="AX71" s="38">
        <f t="shared" si="37"/>
        <v>0</v>
      </c>
      <c r="AY71" s="72" t="s">
        <v>2561</v>
      </c>
      <c r="AZ71" s="72" t="s">
        <v>2562</v>
      </c>
      <c r="BA71" s="50" t="s">
        <v>2563</v>
      </c>
      <c r="BC71" s="38">
        <f t="shared" si="38"/>
        <v>0</v>
      </c>
      <c r="BD71" s="38">
        <f t="shared" si="39"/>
        <v>0</v>
      </c>
      <c r="BE71" s="38">
        <v>0</v>
      </c>
      <c r="BF71" s="38">
        <f t="shared" si="40"/>
        <v>0</v>
      </c>
      <c r="BH71" s="80">
        <f t="shared" si="41"/>
        <v>0</v>
      </c>
      <c r="BI71" s="80">
        <f t="shared" si="42"/>
        <v>0</v>
      </c>
      <c r="BJ71" s="80">
        <f t="shared" si="43"/>
        <v>0</v>
      </c>
      <c r="BK71" s="80"/>
      <c r="BL71" s="38"/>
      <c r="BW71" s="38">
        <v>21</v>
      </c>
    </row>
    <row r="72" spans="1:75" ht="27" customHeight="1">
      <c r="A72" s="1" t="s">
        <v>468</v>
      </c>
      <c r="B72" s="2" t="s">
        <v>93</v>
      </c>
      <c r="C72" s="2" t="s">
        <v>2724</v>
      </c>
      <c r="D72" s="108" t="s">
        <v>2725</v>
      </c>
      <c r="E72" s="103"/>
      <c r="F72" s="2" t="s">
        <v>214</v>
      </c>
      <c r="G72" s="38">
        <f>'Stavební rozpočet'!G1393</f>
        <v>60</v>
      </c>
      <c r="H72" s="38">
        <f>'Stavební rozpočet'!H1393</f>
        <v>0</v>
      </c>
      <c r="I72" s="38">
        <f t="shared" si="22"/>
        <v>0</v>
      </c>
      <c r="J72" s="38">
        <f>'Stavební rozpočet'!J1393</f>
        <v>0</v>
      </c>
      <c r="K72" s="38">
        <f t="shared" si="23"/>
        <v>0</v>
      </c>
      <c r="L72" s="71" t="s">
        <v>207</v>
      </c>
      <c r="Z72" s="38">
        <f t="shared" si="24"/>
        <v>0</v>
      </c>
      <c r="AB72" s="38">
        <f t="shared" si="25"/>
        <v>0</v>
      </c>
      <c r="AC72" s="38">
        <f t="shared" si="26"/>
        <v>0</v>
      </c>
      <c r="AD72" s="38">
        <f t="shared" si="27"/>
        <v>0</v>
      </c>
      <c r="AE72" s="38">
        <f t="shared" si="28"/>
        <v>0</v>
      </c>
      <c r="AF72" s="38">
        <f t="shared" si="29"/>
        <v>0</v>
      </c>
      <c r="AG72" s="38">
        <f t="shared" si="30"/>
        <v>0</v>
      </c>
      <c r="AH72" s="38">
        <f t="shared" si="31"/>
        <v>0</v>
      </c>
      <c r="AI72" s="50" t="s">
        <v>93</v>
      </c>
      <c r="AJ72" s="38">
        <f t="shared" si="32"/>
        <v>0</v>
      </c>
      <c r="AK72" s="38">
        <f t="shared" si="33"/>
        <v>0</v>
      </c>
      <c r="AL72" s="38">
        <f t="shared" si="34"/>
        <v>0</v>
      </c>
      <c r="AN72" s="38">
        <v>21</v>
      </c>
      <c r="AO72" s="38">
        <f>H72*0</f>
        <v>0</v>
      </c>
      <c r="AP72" s="38">
        <f>H72*(1-0)</f>
        <v>0</v>
      </c>
      <c r="AQ72" s="72" t="s">
        <v>132</v>
      </c>
      <c r="AV72" s="38">
        <f t="shared" si="35"/>
        <v>0</v>
      </c>
      <c r="AW72" s="38">
        <f t="shared" si="36"/>
        <v>0</v>
      </c>
      <c r="AX72" s="38">
        <f t="shared" si="37"/>
        <v>0</v>
      </c>
      <c r="AY72" s="72" t="s">
        <v>2561</v>
      </c>
      <c r="AZ72" s="72" t="s">
        <v>2562</v>
      </c>
      <c r="BA72" s="50" t="s">
        <v>2563</v>
      </c>
      <c r="BC72" s="38">
        <f t="shared" si="38"/>
        <v>0</v>
      </c>
      <c r="BD72" s="38">
        <f t="shared" si="39"/>
        <v>0</v>
      </c>
      <c r="BE72" s="38">
        <v>0</v>
      </c>
      <c r="BF72" s="38">
        <f t="shared" si="40"/>
        <v>0</v>
      </c>
      <c r="BH72" s="38">
        <f t="shared" si="41"/>
        <v>0</v>
      </c>
      <c r="BI72" s="38">
        <f t="shared" si="42"/>
        <v>0</v>
      </c>
      <c r="BJ72" s="38">
        <f t="shared" si="43"/>
        <v>0</v>
      </c>
      <c r="BK72" s="38"/>
      <c r="BL72" s="38"/>
      <c r="BW72" s="38">
        <v>21</v>
      </c>
    </row>
    <row r="73" spans="1:75" ht="13.5" customHeight="1">
      <c r="A73" s="78" t="s">
        <v>473</v>
      </c>
      <c r="B73" s="79" t="s">
        <v>93</v>
      </c>
      <c r="C73" s="79" t="s">
        <v>2727</v>
      </c>
      <c r="D73" s="198" t="s">
        <v>2728</v>
      </c>
      <c r="E73" s="199"/>
      <c r="F73" s="79" t="s">
        <v>2661</v>
      </c>
      <c r="G73" s="80">
        <f>'Stavební rozpočet'!G1394</f>
        <v>60</v>
      </c>
      <c r="H73" s="80">
        <f>'Stavební rozpočet'!H1394</f>
        <v>0</v>
      </c>
      <c r="I73" s="80">
        <f t="shared" si="22"/>
        <v>0</v>
      </c>
      <c r="J73" s="80">
        <f>'Stavební rozpočet'!J1394</f>
        <v>0</v>
      </c>
      <c r="K73" s="80">
        <f t="shared" si="23"/>
        <v>0</v>
      </c>
      <c r="L73" s="82" t="s">
        <v>207</v>
      </c>
      <c r="Z73" s="38">
        <f t="shared" si="24"/>
        <v>0</v>
      </c>
      <c r="AB73" s="38">
        <f t="shared" si="25"/>
        <v>0</v>
      </c>
      <c r="AC73" s="38">
        <f t="shared" si="26"/>
        <v>0</v>
      </c>
      <c r="AD73" s="38">
        <f t="shared" si="27"/>
        <v>0</v>
      </c>
      <c r="AE73" s="38">
        <f t="shared" si="28"/>
        <v>0</v>
      </c>
      <c r="AF73" s="38">
        <f t="shared" si="29"/>
        <v>0</v>
      </c>
      <c r="AG73" s="38">
        <f t="shared" si="30"/>
        <v>0</v>
      </c>
      <c r="AH73" s="38">
        <f t="shared" si="31"/>
        <v>0</v>
      </c>
      <c r="AI73" s="50" t="s">
        <v>93</v>
      </c>
      <c r="AJ73" s="80">
        <f t="shared" si="32"/>
        <v>0</v>
      </c>
      <c r="AK73" s="80">
        <f t="shared" si="33"/>
        <v>0</v>
      </c>
      <c r="AL73" s="80">
        <f t="shared" si="34"/>
        <v>0</v>
      </c>
      <c r="AN73" s="38">
        <v>21</v>
      </c>
      <c r="AO73" s="38">
        <f>H73*1</f>
        <v>0</v>
      </c>
      <c r="AP73" s="38">
        <f>H73*(1-1)</f>
        <v>0</v>
      </c>
      <c r="AQ73" s="83" t="s">
        <v>132</v>
      </c>
      <c r="AV73" s="38">
        <f t="shared" si="35"/>
        <v>0</v>
      </c>
      <c r="AW73" s="38">
        <f t="shared" si="36"/>
        <v>0</v>
      </c>
      <c r="AX73" s="38">
        <f t="shared" si="37"/>
        <v>0</v>
      </c>
      <c r="AY73" s="72" t="s">
        <v>2561</v>
      </c>
      <c r="AZ73" s="72" t="s">
        <v>2562</v>
      </c>
      <c r="BA73" s="50" t="s">
        <v>2563</v>
      </c>
      <c r="BC73" s="38">
        <f t="shared" si="38"/>
        <v>0</v>
      </c>
      <c r="BD73" s="38">
        <f t="shared" si="39"/>
        <v>0</v>
      </c>
      <c r="BE73" s="38">
        <v>0</v>
      </c>
      <c r="BF73" s="38">
        <f t="shared" si="40"/>
        <v>0</v>
      </c>
      <c r="BH73" s="80">
        <f t="shared" si="41"/>
        <v>0</v>
      </c>
      <c r="BI73" s="80">
        <f t="shared" si="42"/>
        <v>0</v>
      </c>
      <c r="BJ73" s="80">
        <f t="shared" si="43"/>
        <v>0</v>
      </c>
      <c r="BK73" s="80"/>
      <c r="BL73" s="38"/>
      <c r="BW73" s="38">
        <v>21</v>
      </c>
    </row>
    <row r="74" spans="1:75" ht="27" customHeight="1">
      <c r="A74" s="1" t="s">
        <v>481</v>
      </c>
      <c r="B74" s="2" t="s">
        <v>93</v>
      </c>
      <c r="C74" s="2" t="s">
        <v>2687</v>
      </c>
      <c r="D74" s="108" t="s">
        <v>2688</v>
      </c>
      <c r="E74" s="103"/>
      <c r="F74" s="2" t="s">
        <v>214</v>
      </c>
      <c r="G74" s="38">
        <f>'Stavební rozpočet'!G1395</f>
        <v>70</v>
      </c>
      <c r="H74" s="38">
        <f>'Stavební rozpočet'!H1395</f>
        <v>0</v>
      </c>
      <c r="I74" s="38">
        <f t="shared" si="22"/>
        <v>0</v>
      </c>
      <c r="J74" s="38">
        <f>'Stavební rozpočet'!J1395</f>
        <v>0</v>
      </c>
      <c r="K74" s="38">
        <f t="shared" si="23"/>
        <v>0</v>
      </c>
      <c r="L74" s="71" t="s">
        <v>207</v>
      </c>
      <c r="Z74" s="38">
        <f t="shared" si="24"/>
        <v>0</v>
      </c>
      <c r="AB74" s="38">
        <f t="shared" si="25"/>
        <v>0</v>
      </c>
      <c r="AC74" s="38">
        <f t="shared" si="26"/>
        <v>0</v>
      </c>
      <c r="AD74" s="38">
        <f t="shared" si="27"/>
        <v>0</v>
      </c>
      <c r="AE74" s="38">
        <f t="shared" si="28"/>
        <v>0</v>
      </c>
      <c r="AF74" s="38">
        <f t="shared" si="29"/>
        <v>0</v>
      </c>
      <c r="AG74" s="38">
        <f t="shared" si="30"/>
        <v>0</v>
      </c>
      <c r="AH74" s="38">
        <f t="shared" si="31"/>
        <v>0</v>
      </c>
      <c r="AI74" s="50" t="s">
        <v>93</v>
      </c>
      <c r="AJ74" s="38">
        <f t="shared" si="32"/>
        <v>0</v>
      </c>
      <c r="AK74" s="38">
        <f t="shared" si="33"/>
        <v>0</v>
      </c>
      <c r="AL74" s="38">
        <f t="shared" si="34"/>
        <v>0</v>
      </c>
      <c r="AN74" s="38">
        <v>21</v>
      </c>
      <c r="AO74" s="38">
        <f>H74*0</f>
        <v>0</v>
      </c>
      <c r="AP74" s="38">
        <f>H74*(1-0)</f>
        <v>0</v>
      </c>
      <c r="AQ74" s="72" t="s">
        <v>132</v>
      </c>
      <c r="AV74" s="38">
        <f t="shared" si="35"/>
        <v>0</v>
      </c>
      <c r="AW74" s="38">
        <f t="shared" si="36"/>
        <v>0</v>
      </c>
      <c r="AX74" s="38">
        <f t="shared" si="37"/>
        <v>0</v>
      </c>
      <c r="AY74" s="72" t="s">
        <v>2561</v>
      </c>
      <c r="AZ74" s="72" t="s">
        <v>2562</v>
      </c>
      <c r="BA74" s="50" t="s">
        <v>2563</v>
      </c>
      <c r="BC74" s="38">
        <f t="shared" si="38"/>
        <v>0</v>
      </c>
      <c r="BD74" s="38">
        <f t="shared" si="39"/>
        <v>0</v>
      </c>
      <c r="BE74" s="38">
        <v>0</v>
      </c>
      <c r="BF74" s="38">
        <f t="shared" si="40"/>
        <v>0</v>
      </c>
      <c r="BH74" s="38">
        <f t="shared" si="41"/>
        <v>0</v>
      </c>
      <c r="BI74" s="38">
        <f t="shared" si="42"/>
        <v>0</v>
      </c>
      <c r="BJ74" s="38">
        <f t="shared" si="43"/>
        <v>0</v>
      </c>
      <c r="BK74" s="38"/>
      <c r="BL74" s="38"/>
      <c r="BW74" s="38">
        <v>21</v>
      </c>
    </row>
    <row r="75" spans="1:75" ht="27" customHeight="1">
      <c r="A75" s="78" t="s">
        <v>486</v>
      </c>
      <c r="B75" s="79" t="s">
        <v>93</v>
      </c>
      <c r="C75" s="79" t="s">
        <v>2731</v>
      </c>
      <c r="D75" s="198" t="s">
        <v>2732</v>
      </c>
      <c r="E75" s="199"/>
      <c r="F75" s="79" t="s">
        <v>2661</v>
      </c>
      <c r="G75" s="80">
        <f>'Stavební rozpočet'!G1396</f>
        <v>70</v>
      </c>
      <c r="H75" s="80">
        <f>'Stavební rozpočet'!H1396</f>
        <v>0</v>
      </c>
      <c r="I75" s="80">
        <f t="shared" si="22"/>
        <v>0</v>
      </c>
      <c r="J75" s="80">
        <f>'Stavební rozpočet'!J1396</f>
        <v>0</v>
      </c>
      <c r="K75" s="80">
        <f t="shared" si="23"/>
        <v>0</v>
      </c>
      <c r="L75" s="82" t="s">
        <v>207</v>
      </c>
      <c r="Z75" s="38">
        <f t="shared" si="24"/>
        <v>0</v>
      </c>
      <c r="AB75" s="38">
        <f t="shared" si="25"/>
        <v>0</v>
      </c>
      <c r="AC75" s="38">
        <f t="shared" si="26"/>
        <v>0</v>
      </c>
      <c r="AD75" s="38">
        <f t="shared" si="27"/>
        <v>0</v>
      </c>
      <c r="AE75" s="38">
        <f t="shared" si="28"/>
        <v>0</v>
      </c>
      <c r="AF75" s="38">
        <f t="shared" si="29"/>
        <v>0</v>
      </c>
      <c r="AG75" s="38">
        <f t="shared" si="30"/>
        <v>0</v>
      </c>
      <c r="AH75" s="38">
        <f t="shared" si="31"/>
        <v>0</v>
      </c>
      <c r="AI75" s="50" t="s">
        <v>93</v>
      </c>
      <c r="AJ75" s="80">
        <f t="shared" si="32"/>
        <v>0</v>
      </c>
      <c r="AK75" s="80">
        <f t="shared" si="33"/>
        <v>0</v>
      </c>
      <c r="AL75" s="80">
        <f t="shared" si="34"/>
        <v>0</v>
      </c>
      <c r="AN75" s="38">
        <v>21</v>
      </c>
      <c r="AO75" s="38">
        <f>H75*1</f>
        <v>0</v>
      </c>
      <c r="AP75" s="38">
        <f>H75*(1-1)</f>
        <v>0</v>
      </c>
      <c r="AQ75" s="83" t="s">
        <v>132</v>
      </c>
      <c r="AV75" s="38">
        <f t="shared" si="35"/>
        <v>0</v>
      </c>
      <c r="AW75" s="38">
        <f t="shared" si="36"/>
        <v>0</v>
      </c>
      <c r="AX75" s="38">
        <f t="shared" si="37"/>
        <v>0</v>
      </c>
      <c r="AY75" s="72" t="s">
        <v>2561</v>
      </c>
      <c r="AZ75" s="72" t="s">
        <v>2562</v>
      </c>
      <c r="BA75" s="50" t="s">
        <v>2563</v>
      </c>
      <c r="BC75" s="38">
        <f t="shared" si="38"/>
        <v>0</v>
      </c>
      <c r="BD75" s="38">
        <f t="shared" si="39"/>
        <v>0</v>
      </c>
      <c r="BE75" s="38">
        <v>0</v>
      </c>
      <c r="BF75" s="38">
        <f t="shared" si="40"/>
        <v>0</v>
      </c>
      <c r="BH75" s="80">
        <f t="shared" si="41"/>
        <v>0</v>
      </c>
      <c r="BI75" s="80">
        <f t="shared" si="42"/>
        <v>0</v>
      </c>
      <c r="BJ75" s="80">
        <f t="shared" si="43"/>
        <v>0</v>
      </c>
      <c r="BK75" s="80"/>
      <c r="BL75" s="38"/>
      <c r="BW75" s="38">
        <v>21</v>
      </c>
    </row>
    <row r="76" spans="1:75" ht="27" customHeight="1">
      <c r="A76" s="1" t="s">
        <v>491</v>
      </c>
      <c r="B76" s="2" t="s">
        <v>93</v>
      </c>
      <c r="C76" s="2" t="s">
        <v>2734</v>
      </c>
      <c r="D76" s="108" t="s">
        <v>2735</v>
      </c>
      <c r="E76" s="103"/>
      <c r="F76" s="2" t="s">
        <v>199</v>
      </c>
      <c r="G76" s="38">
        <f>'Stavební rozpočet'!G1397</f>
        <v>111</v>
      </c>
      <c r="H76" s="38">
        <f>'Stavební rozpočet'!H1397</f>
        <v>0</v>
      </c>
      <c r="I76" s="38">
        <f t="shared" si="22"/>
        <v>0</v>
      </c>
      <c r="J76" s="38">
        <f>'Stavební rozpočet'!J1397</f>
        <v>0</v>
      </c>
      <c r="K76" s="38">
        <f t="shared" si="23"/>
        <v>0</v>
      </c>
      <c r="L76" s="71" t="s">
        <v>207</v>
      </c>
      <c r="Z76" s="38">
        <f t="shared" si="24"/>
        <v>0</v>
      </c>
      <c r="AB76" s="38">
        <f t="shared" si="25"/>
        <v>0</v>
      </c>
      <c r="AC76" s="38">
        <f t="shared" si="26"/>
        <v>0</v>
      </c>
      <c r="AD76" s="38">
        <f t="shared" si="27"/>
        <v>0</v>
      </c>
      <c r="AE76" s="38">
        <f t="shared" si="28"/>
        <v>0</v>
      </c>
      <c r="AF76" s="38">
        <f t="shared" si="29"/>
        <v>0</v>
      </c>
      <c r="AG76" s="38">
        <f t="shared" si="30"/>
        <v>0</v>
      </c>
      <c r="AH76" s="38">
        <f t="shared" si="31"/>
        <v>0</v>
      </c>
      <c r="AI76" s="50" t="s">
        <v>93</v>
      </c>
      <c r="AJ76" s="38">
        <f t="shared" si="32"/>
        <v>0</v>
      </c>
      <c r="AK76" s="38">
        <f t="shared" si="33"/>
        <v>0</v>
      </c>
      <c r="AL76" s="38">
        <f t="shared" si="34"/>
        <v>0</v>
      </c>
      <c r="AN76" s="38">
        <v>21</v>
      </c>
      <c r="AO76" s="38">
        <f>H76*0</f>
        <v>0</v>
      </c>
      <c r="AP76" s="38">
        <f>H76*(1-0)</f>
        <v>0</v>
      </c>
      <c r="AQ76" s="72" t="s">
        <v>132</v>
      </c>
      <c r="AV76" s="38">
        <f t="shared" si="35"/>
        <v>0</v>
      </c>
      <c r="AW76" s="38">
        <f t="shared" si="36"/>
        <v>0</v>
      </c>
      <c r="AX76" s="38">
        <f t="shared" si="37"/>
        <v>0</v>
      </c>
      <c r="AY76" s="72" t="s">
        <v>2561</v>
      </c>
      <c r="AZ76" s="72" t="s">
        <v>2562</v>
      </c>
      <c r="BA76" s="50" t="s">
        <v>2563</v>
      </c>
      <c r="BC76" s="38">
        <f t="shared" si="38"/>
        <v>0</v>
      </c>
      <c r="BD76" s="38">
        <f t="shared" si="39"/>
        <v>0</v>
      </c>
      <c r="BE76" s="38">
        <v>0</v>
      </c>
      <c r="BF76" s="38">
        <f t="shared" si="40"/>
        <v>0</v>
      </c>
      <c r="BH76" s="38">
        <f t="shared" si="41"/>
        <v>0</v>
      </c>
      <c r="BI76" s="38">
        <f t="shared" si="42"/>
        <v>0</v>
      </c>
      <c r="BJ76" s="38">
        <f t="shared" si="43"/>
        <v>0</v>
      </c>
      <c r="BK76" s="38"/>
      <c r="BL76" s="38"/>
      <c r="BW76" s="38">
        <v>21</v>
      </c>
    </row>
    <row r="77" spans="1:75" ht="13.5" customHeight="1">
      <c r="A77" s="78" t="s">
        <v>496</v>
      </c>
      <c r="B77" s="79" t="s">
        <v>93</v>
      </c>
      <c r="C77" s="79" t="s">
        <v>2737</v>
      </c>
      <c r="D77" s="198" t="s">
        <v>2738</v>
      </c>
      <c r="E77" s="199"/>
      <c r="F77" s="79" t="s">
        <v>2567</v>
      </c>
      <c r="G77" s="80">
        <f>'Stavební rozpočet'!G1398</f>
        <v>111</v>
      </c>
      <c r="H77" s="80">
        <f>'Stavební rozpočet'!H1398</f>
        <v>0</v>
      </c>
      <c r="I77" s="80">
        <f t="shared" si="22"/>
        <v>0</v>
      </c>
      <c r="J77" s="80">
        <f>'Stavební rozpočet'!J1398</f>
        <v>0</v>
      </c>
      <c r="K77" s="80">
        <f t="shared" si="23"/>
        <v>0</v>
      </c>
      <c r="L77" s="82" t="s">
        <v>207</v>
      </c>
      <c r="Z77" s="38">
        <f t="shared" si="24"/>
        <v>0</v>
      </c>
      <c r="AB77" s="38">
        <f t="shared" si="25"/>
        <v>0</v>
      </c>
      <c r="AC77" s="38">
        <f t="shared" si="26"/>
        <v>0</v>
      </c>
      <c r="AD77" s="38">
        <f t="shared" si="27"/>
        <v>0</v>
      </c>
      <c r="AE77" s="38">
        <f t="shared" si="28"/>
        <v>0</v>
      </c>
      <c r="AF77" s="38">
        <f t="shared" si="29"/>
        <v>0</v>
      </c>
      <c r="AG77" s="38">
        <f t="shared" si="30"/>
        <v>0</v>
      </c>
      <c r="AH77" s="38">
        <f t="shared" si="31"/>
        <v>0</v>
      </c>
      <c r="AI77" s="50" t="s">
        <v>93</v>
      </c>
      <c r="AJ77" s="80">
        <f t="shared" si="32"/>
        <v>0</v>
      </c>
      <c r="AK77" s="80">
        <f t="shared" si="33"/>
        <v>0</v>
      </c>
      <c r="AL77" s="80">
        <f t="shared" si="34"/>
        <v>0</v>
      </c>
      <c r="AN77" s="38">
        <v>21</v>
      </c>
      <c r="AO77" s="38">
        <f>H77*1</f>
        <v>0</v>
      </c>
      <c r="AP77" s="38">
        <f>H77*(1-1)</f>
        <v>0</v>
      </c>
      <c r="AQ77" s="83" t="s">
        <v>132</v>
      </c>
      <c r="AV77" s="38">
        <f t="shared" si="35"/>
        <v>0</v>
      </c>
      <c r="AW77" s="38">
        <f t="shared" si="36"/>
        <v>0</v>
      </c>
      <c r="AX77" s="38">
        <f t="shared" si="37"/>
        <v>0</v>
      </c>
      <c r="AY77" s="72" t="s">
        <v>2561</v>
      </c>
      <c r="AZ77" s="72" t="s">
        <v>2562</v>
      </c>
      <c r="BA77" s="50" t="s">
        <v>2563</v>
      </c>
      <c r="BC77" s="38">
        <f t="shared" si="38"/>
        <v>0</v>
      </c>
      <c r="BD77" s="38">
        <f t="shared" si="39"/>
        <v>0</v>
      </c>
      <c r="BE77" s="38">
        <v>0</v>
      </c>
      <c r="BF77" s="38">
        <f t="shared" si="40"/>
        <v>0</v>
      </c>
      <c r="BH77" s="80">
        <f t="shared" si="41"/>
        <v>0</v>
      </c>
      <c r="BI77" s="80">
        <f t="shared" si="42"/>
        <v>0</v>
      </c>
      <c r="BJ77" s="80">
        <f t="shared" si="43"/>
        <v>0</v>
      </c>
      <c r="BK77" s="80"/>
      <c r="BL77" s="38"/>
      <c r="BW77" s="38">
        <v>21</v>
      </c>
    </row>
    <row r="78" spans="1:75" ht="27" customHeight="1">
      <c r="A78" s="1" t="s">
        <v>499</v>
      </c>
      <c r="B78" s="2" t="s">
        <v>93</v>
      </c>
      <c r="C78" s="2" t="s">
        <v>2740</v>
      </c>
      <c r="D78" s="108" t="s">
        <v>2741</v>
      </c>
      <c r="E78" s="103"/>
      <c r="F78" s="2" t="s">
        <v>199</v>
      </c>
      <c r="G78" s="38">
        <f>'Stavební rozpočet'!G1399</f>
        <v>10</v>
      </c>
      <c r="H78" s="38">
        <f>'Stavební rozpočet'!H1399</f>
        <v>0</v>
      </c>
      <c r="I78" s="38">
        <f aca="true" t="shared" si="44" ref="I78:I109">G78*H78</f>
        <v>0</v>
      </c>
      <c r="J78" s="38">
        <f>'Stavební rozpočet'!J1399</f>
        <v>0</v>
      </c>
      <c r="K78" s="38">
        <f aca="true" t="shared" si="45" ref="K78:K109">G78*J78</f>
        <v>0</v>
      </c>
      <c r="L78" s="71" t="s">
        <v>207</v>
      </c>
      <c r="Z78" s="38">
        <f aca="true" t="shared" si="46" ref="Z78:Z107">IF(AQ78="5",BJ78,0)</f>
        <v>0</v>
      </c>
      <c r="AB78" s="38">
        <f aca="true" t="shared" si="47" ref="AB78:AB107">IF(AQ78="1",BH78,0)</f>
        <v>0</v>
      </c>
      <c r="AC78" s="38">
        <f aca="true" t="shared" si="48" ref="AC78:AC107">IF(AQ78="1",BI78,0)</f>
        <v>0</v>
      </c>
      <c r="AD78" s="38">
        <f aca="true" t="shared" si="49" ref="AD78:AD107">IF(AQ78="7",BH78,0)</f>
        <v>0</v>
      </c>
      <c r="AE78" s="38">
        <f aca="true" t="shared" si="50" ref="AE78:AE107">IF(AQ78="7",BI78,0)</f>
        <v>0</v>
      </c>
      <c r="AF78" s="38">
        <f aca="true" t="shared" si="51" ref="AF78:AF107">IF(AQ78="2",BH78,0)</f>
        <v>0</v>
      </c>
      <c r="AG78" s="38">
        <f aca="true" t="shared" si="52" ref="AG78:AG107">IF(AQ78="2",BI78,0)</f>
        <v>0</v>
      </c>
      <c r="AH78" s="38">
        <f aca="true" t="shared" si="53" ref="AH78:AH107">IF(AQ78="0",BJ78,0)</f>
        <v>0</v>
      </c>
      <c r="AI78" s="50" t="s">
        <v>93</v>
      </c>
      <c r="AJ78" s="38">
        <f aca="true" t="shared" si="54" ref="AJ78:AJ107">IF(AN78=0,I78,0)</f>
        <v>0</v>
      </c>
      <c r="AK78" s="38">
        <f aca="true" t="shared" si="55" ref="AK78:AK107">IF(AN78=12,I78,0)</f>
        <v>0</v>
      </c>
      <c r="AL78" s="38">
        <f aca="true" t="shared" si="56" ref="AL78:AL107">IF(AN78=21,I78,0)</f>
        <v>0</v>
      </c>
      <c r="AN78" s="38">
        <v>21</v>
      </c>
      <c r="AO78" s="38">
        <f>H78*0</f>
        <v>0</v>
      </c>
      <c r="AP78" s="38">
        <f>H78*(1-0)</f>
        <v>0</v>
      </c>
      <c r="AQ78" s="72" t="s">
        <v>132</v>
      </c>
      <c r="AV78" s="38">
        <f aca="true" t="shared" si="57" ref="AV78:AV109">AW78+AX78</f>
        <v>0</v>
      </c>
      <c r="AW78" s="38">
        <f aca="true" t="shared" si="58" ref="AW78:AW107">G78*AO78</f>
        <v>0</v>
      </c>
      <c r="AX78" s="38">
        <f aca="true" t="shared" si="59" ref="AX78:AX107">G78*AP78</f>
        <v>0</v>
      </c>
      <c r="AY78" s="72" t="s">
        <v>2561</v>
      </c>
      <c r="AZ78" s="72" t="s">
        <v>2562</v>
      </c>
      <c r="BA78" s="50" t="s">
        <v>2563</v>
      </c>
      <c r="BC78" s="38">
        <f aca="true" t="shared" si="60" ref="BC78:BC107">AW78+AX78</f>
        <v>0</v>
      </c>
      <c r="BD78" s="38">
        <f aca="true" t="shared" si="61" ref="BD78:BD109">H78/(100-BE78)*100</f>
        <v>0</v>
      </c>
      <c r="BE78" s="38">
        <v>0</v>
      </c>
      <c r="BF78" s="38">
        <f aca="true" t="shared" si="62" ref="BF78:BF107">K78</f>
        <v>0</v>
      </c>
      <c r="BH78" s="38">
        <f aca="true" t="shared" si="63" ref="BH78:BH107">G78*AO78</f>
        <v>0</v>
      </c>
      <c r="BI78" s="38">
        <f aca="true" t="shared" si="64" ref="BI78:BI107">G78*AP78</f>
        <v>0</v>
      </c>
      <c r="BJ78" s="38">
        <f aca="true" t="shared" si="65" ref="BJ78:BJ107">G78*H78</f>
        <v>0</v>
      </c>
      <c r="BK78" s="38"/>
      <c r="BL78" s="38"/>
      <c r="BW78" s="38">
        <v>21</v>
      </c>
    </row>
    <row r="79" spans="1:75" ht="27" customHeight="1">
      <c r="A79" s="78" t="s">
        <v>503</v>
      </c>
      <c r="B79" s="79" t="s">
        <v>93</v>
      </c>
      <c r="C79" s="79" t="s">
        <v>2743</v>
      </c>
      <c r="D79" s="198" t="s">
        <v>2744</v>
      </c>
      <c r="E79" s="199"/>
      <c r="F79" s="79" t="s">
        <v>2567</v>
      </c>
      <c r="G79" s="80">
        <f>'Stavební rozpočet'!G1400</f>
        <v>10</v>
      </c>
      <c r="H79" s="80">
        <f>'Stavební rozpočet'!H1400</f>
        <v>0</v>
      </c>
      <c r="I79" s="80">
        <f t="shared" si="44"/>
        <v>0</v>
      </c>
      <c r="J79" s="80">
        <f>'Stavební rozpočet'!J1400</f>
        <v>0</v>
      </c>
      <c r="K79" s="80">
        <f t="shared" si="45"/>
        <v>0</v>
      </c>
      <c r="L79" s="82" t="s">
        <v>207</v>
      </c>
      <c r="Z79" s="38">
        <f t="shared" si="46"/>
        <v>0</v>
      </c>
      <c r="AB79" s="38">
        <f t="shared" si="47"/>
        <v>0</v>
      </c>
      <c r="AC79" s="38">
        <f t="shared" si="48"/>
        <v>0</v>
      </c>
      <c r="AD79" s="38">
        <f t="shared" si="49"/>
        <v>0</v>
      </c>
      <c r="AE79" s="38">
        <f t="shared" si="50"/>
        <v>0</v>
      </c>
      <c r="AF79" s="38">
        <f t="shared" si="51"/>
        <v>0</v>
      </c>
      <c r="AG79" s="38">
        <f t="shared" si="52"/>
        <v>0</v>
      </c>
      <c r="AH79" s="38">
        <f t="shared" si="53"/>
        <v>0</v>
      </c>
      <c r="AI79" s="50" t="s">
        <v>93</v>
      </c>
      <c r="AJ79" s="80">
        <f t="shared" si="54"/>
        <v>0</v>
      </c>
      <c r="AK79" s="80">
        <f t="shared" si="55"/>
        <v>0</v>
      </c>
      <c r="AL79" s="80">
        <f t="shared" si="56"/>
        <v>0</v>
      </c>
      <c r="AN79" s="38">
        <v>21</v>
      </c>
      <c r="AO79" s="38">
        <f>H79*1</f>
        <v>0</v>
      </c>
      <c r="AP79" s="38">
        <f>H79*(1-1)</f>
        <v>0</v>
      </c>
      <c r="AQ79" s="83" t="s">
        <v>132</v>
      </c>
      <c r="AV79" s="38">
        <f t="shared" si="57"/>
        <v>0</v>
      </c>
      <c r="AW79" s="38">
        <f t="shared" si="58"/>
        <v>0</v>
      </c>
      <c r="AX79" s="38">
        <f t="shared" si="59"/>
        <v>0</v>
      </c>
      <c r="AY79" s="72" t="s">
        <v>2561</v>
      </c>
      <c r="AZ79" s="72" t="s">
        <v>2562</v>
      </c>
      <c r="BA79" s="50" t="s">
        <v>2563</v>
      </c>
      <c r="BC79" s="38">
        <f t="shared" si="60"/>
        <v>0</v>
      </c>
      <c r="BD79" s="38">
        <f t="shared" si="61"/>
        <v>0</v>
      </c>
      <c r="BE79" s="38">
        <v>0</v>
      </c>
      <c r="BF79" s="38">
        <f t="shared" si="62"/>
        <v>0</v>
      </c>
      <c r="BH79" s="80">
        <f t="shared" si="63"/>
        <v>0</v>
      </c>
      <c r="BI79" s="80">
        <f t="shared" si="64"/>
        <v>0</v>
      </c>
      <c r="BJ79" s="80">
        <f t="shared" si="65"/>
        <v>0</v>
      </c>
      <c r="BK79" s="80"/>
      <c r="BL79" s="38"/>
      <c r="BW79" s="38">
        <v>21</v>
      </c>
    </row>
    <row r="80" spans="1:75" ht="27" customHeight="1">
      <c r="A80" s="1" t="s">
        <v>507</v>
      </c>
      <c r="B80" s="2" t="s">
        <v>93</v>
      </c>
      <c r="C80" s="2" t="s">
        <v>2746</v>
      </c>
      <c r="D80" s="108" t="s">
        <v>2747</v>
      </c>
      <c r="E80" s="103"/>
      <c r="F80" s="2" t="s">
        <v>199</v>
      </c>
      <c r="G80" s="38">
        <f>'Stavební rozpočet'!G1401</f>
        <v>89</v>
      </c>
      <c r="H80" s="38">
        <f>'Stavební rozpočet'!H1401</f>
        <v>0</v>
      </c>
      <c r="I80" s="38">
        <f t="shared" si="44"/>
        <v>0</v>
      </c>
      <c r="J80" s="38">
        <f>'Stavební rozpočet'!J1401</f>
        <v>0</v>
      </c>
      <c r="K80" s="38">
        <f t="shared" si="45"/>
        <v>0</v>
      </c>
      <c r="L80" s="71" t="s">
        <v>207</v>
      </c>
      <c r="Z80" s="38">
        <f t="shared" si="46"/>
        <v>0</v>
      </c>
      <c r="AB80" s="38">
        <f t="shared" si="47"/>
        <v>0</v>
      </c>
      <c r="AC80" s="38">
        <f t="shared" si="48"/>
        <v>0</v>
      </c>
      <c r="AD80" s="38">
        <f t="shared" si="49"/>
        <v>0</v>
      </c>
      <c r="AE80" s="38">
        <f t="shared" si="50"/>
        <v>0</v>
      </c>
      <c r="AF80" s="38">
        <f t="shared" si="51"/>
        <v>0</v>
      </c>
      <c r="AG80" s="38">
        <f t="shared" si="52"/>
        <v>0</v>
      </c>
      <c r="AH80" s="38">
        <f t="shared" si="53"/>
        <v>0</v>
      </c>
      <c r="AI80" s="50" t="s">
        <v>93</v>
      </c>
      <c r="AJ80" s="38">
        <f t="shared" si="54"/>
        <v>0</v>
      </c>
      <c r="AK80" s="38">
        <f t="shared" si="55"/>
        <v>0</v>
      </c>
      <c r="AL80" s="38">
        <f t="shared" si="56"/>
        <v>0</v>
      </c>
      <c r="AN80" s="38">
        <v>21</v>
      </c>
      <c r="AO80" s="38">
        <f>H80*0</f>
        <v>0</v>
      </c>
      <c r="AP80" s="38">
        <f>H80*(1-0)</f>
        <v>0</v>
      </c>
      <c r="AQ80" s="72" t="s">
        <v>132</v>
      </c>
      <c r="AV80" s="38">
        <f t="shared" si="57"/>
        <v>0</v>
      </c>
      <c r="AW80" s="38">
        <f t="shared" si="58"/>
        <v>0</v>
      </c>
      <c r="AX80" s="38">
        <f t="shared" si="59"/>
        <v>0</v>
      </c>
      <c r="AY80" s="72" t="s">
        <v>2561</v>
      </c>
      <c r="AZ80" s="72" t="s">
        <v>2562</v>
      </c>
      <c r="BA80" s="50" t="s">
        <v>2563</v>
      </c>
      <c r="BC80" s="38">
        <f t="shared" si="60"/>
        <v>0</v>
      </c>
      <c r="BD80" s="38">
        <f t="shared" si="61"/>
        <v>0</v>
      </c>
      <c r="BE80" s="38">
        <v>0</v>
      </c>
      <c r="BF80" s="38">
        <f t="shared" si="62"/>
        <v>0</v>
      </c>
      <c r="BH80" s="38">
        <f t="shared" si="63"/>
        <v>0</v>
      </c>
      <c r="BI80" s="38">
        <f t="shared" si="64"/>
        <v>0</v>
      </c>
      <c r="BJ80" s="38">
        <f t="shared" si="65"/>
        <v>0</v>
      </c>
      <c r="BK80" s="38"/>
      <c r="BL80" s="38"/>
      <c r="BW80" s="38">
        <v>21</v>
      </c>
    </row>
    <row r="81" spans="1:75" ht="27" customHeight="1">
      <c r="A81" s="1" t="s">
        <v>526</v>
      </c>
      <c r="B81" s="2" t="s">
        <v>93</v>
      </c>
      <c r="C81" s="2" t="s">
        <v>2749</v>
      </c>
      <c r="D81" s="108" t="s">
        <v>2750</v>
      </c>
      <c r="E81" s="103"/>
      <c r="F81" s="2" t="s">
        <v>199</v>
      </c>
      <c r="G81" s="38">
        <f>'Stavební rozpočet'!G1402</f>
        <v>10</v>
      </c>
      <c r="H81" s="38">
        <f>'Stavební rozpočet'!H1402</f>
        <v>0</v>
      </c>
      <c r="I81" s="38">
        <f t="shared" si="44"/>
        <v>0</v>
      </c>
      <c r="J81" s="38">
        <f>'Stavební rozpočet'!J1402</f>
        <v>0</v>
      </c>
      <c r="K81" s="38">
        <f t="shared" si="45"/>
        <v>0</v>
      </c>
      <c r="L81" s="71" t="s">
        <v>207</v>
      </c>
      <c r="Z81" s="38">
        <f t="shared" si="46"/>
        <v>0</v>
      </c>
      <c r="AB81" s="38">
        <f t="shared" si="47"/>
        <v>0</v>
      </c>
      <c r="AC81" s="38">
        <f t="shared" si="48"/>
        <v>0</v>
      </c>
      <c r="AD81" s="38">
        <f t="shared" si="49"/>
        <v>0</v>
      </c>
      <c r="AE81" s="38">
        <f t="shared" si="50"/>
        <v>0</v>
      </c>
      <c r="AF81" s="38">
        <f t="shared" si="51"/>
        <v>0</v>
      </c>
      <c r="AG81" s="38">
        <f t="shared" si="52"/>
        <v>0</v>
      </c>
      <c r="AH81" s="38">
        <f t="shared" si="53"/>
        <v>0</v>
      </c>
      <c r="AI81" s="50" t="s">
        <v>93</v>
      </c>
      <c r="AJ81" s="38">
        <f t="shared" si="54"/>
        <v>0</v>
      </c>
      <c r="AK81" s="38">
        <f t="shared" si="55"/>
        <v>0</v>
      </c>
      <c r="AL81" s="38">
        <f t="shared" si="56"/>
        <v>0</v>
      </c>
      <c r="AN81" s="38">
        <v>21</v>
      </c>
      <c r="AO81" s="38">
        <f>H81*0</f>
        <v>0</v>
      </c>
      <c r="AP81" s="38">
        <f>H81*(1-0)</f>
        <v>0</v>
      </c>
      <c r="AQ81" s="72" t="s">
        <v>132</v>
      </c>
      <c r="AV81" s="38">
        <f t="shared" si="57"/>
        <v>0</v>
      </c>
      <c r="AW81" s="38">
        <f t="shared" si="58"/>
        <v>0</v>
      </c>
      <c r="AX81" s="38">
        <f t="shared" si="59"/>
        <v>0</v>
      </c>
      <c r="AY81" s="72" t="s">
        <v>2561</v>
      </c>
      <c r="AZ81" s="72" t="s">
        <v>2562</v>
      </c>
      <c r="BA81" s="50" t="s">
        <v>2563</v>
      </c>
      <c r="BC81" s="38">
        <f t="shared" si="60"/>
        <v>0</v>
      </c>
      <c r="BD81" s="38">
        <f t="shared" si="61"/>
        <v>0</v>
      </c>
      <c r="BE81" s="38">
        <v>0</v>
      </c>
      <c r="BF81" s="38">
        <f t="shared" si="62"/>
        <v>0</v>
      </c>
      <c r="BH81" s="38">
        <f t="shared" si="63"/>
        <v>0</v>
      </c>
      <c r="BI81" s="38">
        <f t="shared" si="64"/>
        <v>0</v>
      </c>
      <c r="BJ81" s="38">
        <f t="shared" si="65"/>
        <v>0</v>
      </c>
      <c r="BK81" s="38"/>
      <c r="BL81" s="38"/>
      <c r="BW81" s="38">
        <v>21</v>
      </c>
    </row>
    <row r="82" spans="1:75" ht="27" customHeight="1">
      <c r="A82" s="1" t="s">
        <v>531</v>
      </c>
      <c r="B82" s="2" t="s">
        <v>93</v>
      </c>
      <c r="C82" s="2" t="s">
        <v>2752</v>
      </c>
      <c r="D82" s="108" t="s">
        <v>2753</v>
      </c>
      <c r="E82" s="103"/>
      <c r="F82" s="2" t="s">
        <v>199</v>
      </c>
      <c r="G82" s="38">
        <f>'Stavební rozpočet'!G1403</f>
        <v>2</v>
      </c>
      <c r="H82" s="38">
        <f>'Stavební rozpočet'!H1403</f>
        <v>0</v>
      </c>
      <c r="I82" s="38">
        <f t="shared" si="44"/>
        <v>0</v>
      </c>
      <c r="J82" s="38">
        <f>'Stavební rozpočet'!J1403</f>
        <v>0</v>
      </c>
      <c r="K82" s="38">
        <f t="shared" si="45"/>
        <v>0</v>
      </c>
      <c r="L82" s="71" t="s">
        <v>207</v>
      </c>
      <c r="Z82" s="38">
        <f t="shared" si="46"/>
        <v>0</v>
      </c>
      <c r="AB82" s="38">
        <f t="shared" si="47"/>
        <v>0</v>
      </c>
      <c r="AC82" s="38">
        <f t="shared" si="48"/>
        <v>0</v>
      </c>
      <c r="AD82" s="38">
        <f t="shared" si="49"/>
        <v>0</v>
      </c>
      <c r="AE82" s="38">
        <f t="shared" si="50"/>
        <v>0</v>
      </c>
      <c r="AF82" s="38">
        <f t="shared" si="51"/>
        <v>0</v>
      </c>
      <c r="AG82" s="38">
        <f t="shared" si="52"/>
        <v>0</v>
      </c>
      <c r="AH82" s="38">
        <f t="shared" si="53"/>
        <v>0</v>
      </c>
      <c r="AI82" s="50" t="s">
        <v>93</v>
      </c>
      <c r="AJ82" s="38">
        <f t="shared" si="54"/>
        <v>0</v>
      </c>
      <c r="AK82" s="38">
        <f t="shared" si="55"/>
        <v>0</v>
      </c>
      <c r="AL82" s="38">
        <f t="shared" si="56"/>
        <v>0</v>
      </c>
      <c r="AN82" s="38">
        <v>21</v>
      </c>
      <c r="AO82" s="38">
        <f>H82*0</f>
        <v>0</v>
      </c>
      <c r="AP82" s="38">
        <f>H82*(1-0)</f>
        <v>0</v>
      </c>
      <c r="AQ82" s="72" t="s">
        <v>132</v>
      </c>
      <c r="AV82" s="38">
        <f t="shared" si="57"/>
        <v>0</v>
      </c>
      <c r="AW82" s="38">
        <f t="shared" si="58"/>
        <v>0</v>
      </c>
      <c r="AX82" s="38">
        <f t="shared" si="59"/>
        <v>0</v>
      </c>
      <c r="AY82" s="72" t="s">
        <v>2561</v>
      </c>
      <c r="AZ82" s="72" t="s">
        <v>2562</v>
      </c>
      <c r="BA82" s="50" t="s">
        <v>2563</v>
      </c>
      <c r="BC82" s="38">
        <f t="shared" si="60"/>
        <v>0</v>
      </c>
      <c r="BD82" s="38">
        <f t="shared" si="61"/>
        <v>0</v>
      </c>
      <c r="BE82" s="38">
        <v>0</v>
      </c>
      <c r="BF82" s="38">
        <f t="shared" si="62"/>
        <v>0</v>
      </c>
      <c r="BH82" s="38">
        <f t="shared" si="63"/>
        <v>0</v>
      </c>
      <c r="BI82" s="38">
        <f t="shared" si="64"/>
        <v>0</v>
      </c>
      <c r="BJ82" s="38">
        <f t="shared" si="65"/>
        <v>0</v>
      </c>
      <c r="BK82" s="38"/>
      <c r="BL82" s="38"/>
      <c r="BW82" s="38">
        <v>21</v>
      </c>
    </row>
    <row r="83" spans="1:75" ht="13.5" customHeight="1">
      <c r="A83" s="78" t="s">
        <v>534</v>
      </c>
      <c r="B83" s="79" t="s">
        <v>93</v>
      </c>
      <c r="C83" s="79" t="s">
        <v>2755</v>
      </c>
      <c r="D83" s="198" t="s">
        <v>2756</v>
      </c>
      <c r="E83" s="199"/>
      <c r="F83" s="79" t="s">
        <v>2567</v>
      </c>
      <c r="G83" s="80">
        <f>'Stavební rozpočet'!G1404</f>
        <v>2</v>
      </c>
      <c r="H83" s="80">
        <f>'Stavební rozpočet'!H1404</f>
        <v>0</v>
      </c>
      <c r="I83" s="80">
        <f t="shared" si="44"/>
        <v>0</v>
      </c>
      <c r="J83" s="80">
        <f>'Stavební rozpočet'!J1404</f>
        <v>0</v>
      </c>
      <c r="K83" s="80">
        <f t="shared" si="45"/>
        <v>0</v>
      </c>
      <c r="L83" s="82" t="s">
        <v>207</v>
      </c>
      <c r="Z83" s="38">
        <f t="shared" si="46"/>
        <v>0</v>
      </c>
      <c r="AB83" s="38">
        <f t="shared" si="47"/>
        <v>0</v>
      </c>
      <c r="AC83" s="38">
        <f t="shared" si="48"/>
        <v>0</v>
      </c>
      <c r="AD83" s="38">
        <f t="shared" si="49"/>
        <v>0</v>
      </c>
      <c r="AE83" s="38">
        <f t="shared" si="50"/>
        <v>0</v>
      </c>
      <c r="AF83" s="38">
        <f t="shared" si="51"/>
        <v>0</v>
      </c>
      <c r="AG83" s="38">
        <f t="shared" si="52"/>
        <v>0</v>
      </c>
      <c r="AH83" s="38">
        <f t="shared" si="53"/>
        <v>0</v>
      </c>
      <c r="AI83" s="50" t="s">
        <v>93</v>
      </c>
      <c r="AJ83" s="80">
        <f t="shared" si="54"/>
        <v>0</v>
      </c>
      <c r="AK83" s="80">
        <f t="shared" si="55"/>
        <v>0</v>
      </c>
      <c r="AL83" s="80">
        <f t="shared" si="56"/>
        <v>0</v>
      </c>
      <c r="AN83" s="38">
        <v>21</v>
      </c>
      <c r="AO83" s="38">
        <f>H83*1</f>
        <v>0</v>
      </c>
      <c r="AP83" s="38">
        <f>H83*(1-1)</f>
        <v>0</v>
      </c>
      <c r="AQ83" s="83" t="s">
        <v>132</v>
      </c>
      <c r="AV83" s="38">
        <f t="shared" si="57"/>
        <v>0</v>
      </c>
      <c r="AW83" s="38">
        <f t="shared" si="58"/>
        <v>0</v>
      </c>
      <c r="AX83" s="38">
        <f t="shared" si="59"/>
        <v>0</v>
      </c>
      <c r="AY83" s="72" t="s">
        <v>2561</v>
      </c>
      <c r="AZ83" s="72" t="s">
        <v>2562</v>
      </c>
      <c r="BA83" s="50" t="s">
        <v>2563</v>
      </c>
      <c r="BC83" s="38">
        <f t="shared" si="60"/>
        <v>0</v>
      </c>
      <c r="BD83" s="38">
        <f t="shared" si="61"/>
        <v>0</v>
      </c>
      <c r="BE83" s="38">
        <v>0</v>
      </c>
      <c r="BF83" s="38">
        <f t="shared" si="62"/>
        <v>0</v>
      </c>
      <c r="BH83" s="80">
        <f t="shared" si="63"/>
        <v>0</v>
      </c>
      <c r="BI83" s="80">
        <f t="shared" si="64"/>
        <v>0</v>
      </c>
      <c r="BJ83" s="80">
        <f t="shared" si="65"/>
        <v>0</v>
      </c>
      <c r="BK83" s="80"/>
      <c r="BL83" s="38"/>
      <c r="BW83" s="38">
        <v>21</v>
      </c>
    </row>
    <row r="84" spans="1:75" ht="27" customHeight="1">
      <c r="A84" s="1" t="s">
        <v>546</v>
      </c>
      <c r="B84" s="2" t="s">
        <v>93</v>
      </c>
      <c r="C84" s="2" t="s">
        <v>2758</v>
      </c>
      <c r="D84" s="108" t="s">
        <v>2759</v>
      </c>
      <c r="E84" s="103"/>
      <c r="F84" s="2" t="s">
        <v>189</v>
      </c>
      <c r="G84" s="38">
        <f>'Stavební rozpočet'!G1405</f>
        <v>0.3</v>
      </c>
      <c r="H84" s="38">
        <f>'Stavební rozpočet'!H1405</f>
        <v>0</v>
      </c>
      <c r="I84" s="38">
        <f t="shared" si="44"/>
        <v>0</v>
      </c>
      <c r="J84" s="38">
        <f>'Stavební rozpočet'!J1405</f>
        <v>0</v>
      </c>
      <c r="K84" s="38">
        <f t="shared" si="45"/>
        <v>0</v>
      </c>
      <c r="L84" s="71" t="s">
        <v>207</v>
      </c>
      <c r="Z84" s="38">
        <f t="shared" si="46"/>
        <v>0</v>
      </c>
      <c r="AB84" s="38">
        <f t="shared" si="47"/>
        <v>0</v>
      </c>
      <c r="AC84" s="38">
        <f t="shared" si="48"/>
        <v>0</v>
      </c>
      <c r="AD84" s="38">
        <f t="shared" si="49"/>
        <v>0</v>
      </c>
      <c r="AE84" s="38">
        <f t="shared" si="50"/>
        <v>0</v>
      </c>
      <c r="AF84" s="38">
        <f t="shared" si="51"/>
        <v>0</v>
      </c>
      <c r="AG84" s="38">
        <f t="shared" si="52"/>
        <v>0</v>
      </c>
      <c r="AH84" s="38">
        <f t="shared" si="53"/>
        <v>0</v>
      </c>
      <c r="AI84" s="50" t="s">
        <v>93</v>
      </c>
      <c r="AJ84" s="38">
        <f t="shared" si="54"/>
        <v>0</v>
      </c>
      <c r="AK84" s="38">
        <f t="shared" si="55"/>
        <v>0</v>
      </c>
      <c r="AL84" s="38">
        <f t="shared" si="56"/>
        <v>0</v>
      </c>
      <c r="AN84" s="38">
        <v>21</v>
      </c>
      <c r="AO84" s="38">
        <f>H84*0</f>
        <v>0</v>
      </c>
      <c r="AP84" s="38">
        <f>H84*(1-0)</f>
        <v>0</v>
      </c>
      <c r="AQ84" s="72" t="s">
        <v>162</v>
      </c>
      <c r="AV84" s="38">
        <f t="shared" si="57"/>
        <v>0</v>
      </c>
      <c r="AW84" s="38">
        <f t="shared" si="58"/>
        <v>0</v>
      </c>
      <c r="AX84" s="38">
        <f t="shared" si="59"/>
        <v>0</v>
      </c>
      <c r="AY84" s="72" t="s">
        <v>2561</v>
      </c>
      <c r="AZ84" s="72" t="s">
        <v>2562</v>
      </c>
      <c r="BA84" s="50" t="s">
        <v>2563</v>
      </c>
      <c r="BC84" s="38">
        <f t="shared" si="60"/>
        <v>0</v>
      </c>
      <c r="BD84" s="38">
        <f t="shared" si="61"/>
        <v>0</v>
      </c>
      <c r="BE84" s="38">
        <v>0</v>
      </c>
      <c r="BF84" s="38">
        <f t="shared" si="62"/>
        <v>0</v>
      </c>
      <c r="BH84" s="38">
        <f t="shared" si="63"/>
        <v>0</v>
      </c>
      <c r="BI84" s="38">
        <f t="shared" si="64"/>
        <v>0</v>
      </c>
      <c r="BJ84" s="38">
        <f t="shared" si="65"/>
        <v>0</v>
      </c>
      <c r="BK84" s="38"/>
      <c r="BL84" s="38"/>
      <c r="BW84" s="38">
        <v>21</v>
      </c>
    </row>
    <row r="85" spans="1:75" ht="27" customHeight="1">
      <c r="A85" s="1" t="s">
        <v>553</v>
      </c>
      <c r="B85" s="2" t="s">
        <v>93</v>
      </c>
      <c r="C85" s="2" t="s">
        <v>2761</v>
      </c>
      <c r="D85" s="108" t="s">
        <v>2762</v>
      </c>
      <c r="E85" s="103"/>
      <c r="F85" s="2" t="s">
        <v>199</v>
      </c>
      <c r="G85" s="38">
        <f>'Stavební rozpočet'!G1406</f>
        <v>159</v>
      </c>
      <c r="H85" s="38">
        <f>'Stavební rozpočet'!H1406</f>
        <v>0</v>
      </c>
      <c r="I85" s="38">
        <f t="shared" si="44"/>
        <v>0</v>
      </c>
      <c r="J85" s="38">
        <f>'Stavební rozpočet'!J1406</f>
        <v>0</v>
      </c>
      <c r="K85" s="38">
        <f t="shared" si="45"/>
        <v>0</v>
      </c>
      <c r="L85" s="71" t="s">
        <v>207</v>
      </c>
      <c r="Z85" s="38">
        <f t="shared" si="46"/>
        <v>0</v>
      </c>
      <c r="AB85" s="38">
        <f t="shared" si="47"/>
        <v>0</v>
      </c>
      <c r="AC85" s="38">
        <f t="shared" si="48"/>
        <v>0</v>
      </c>
      <c r="AD85" s="38">
        <f t="shared" si="49"/>
        <v>0</v>
      </c>
      <c r="AE85" s="38">
        <f t="shared" si="50"/>
        <v>0</v>
      </c>
      <c r="AF85" s="38">
        <f t="shared" si="51"/>
        <v>0</v>
      </c>
      <c r="AG85" s="38">
        <f t="shared" si="52"/>
        <v>0</v>
      </c>
      <c r="AH85" s="38">
        <f t="shared" si="53"/>
        <v>0</v>
      </c>
      <c r="AI85" s="50" t="s">
        <v>93</v>
      </c>
      <c r="AJ85" s="38">
        <f t="shared" si="54"/>
        <v>0</v>
      </c>
      <c r="AK85" s="38">
        <f t="shared" si="55"/>
        <v>0</v>
      </c>
      <c r="AL85" s="38">
        <f t="shared" si="56"/>
        <v>0</v>
      </c>
      <c r="AN85" s="38">
        <v>21</v>
      </c>
      <c r="AO85" s="38">
        <f>H85*0</f>
        <v>0</v>
      </c>
      <c r="AP85" s="38">
        <f>H85*(1-0)</f>
        <v>0</v>
      </c>
      <c r="AQ85" s="72" t="s">
        <v>132</v>
      </c>
      <c r="AV85" s="38">
        <f t="shared" si="57"/>
        <v>0</v>
      </c>
      <c r="AW85" s="38">
        <f t="shared" si="58"/>
        <v>0</v>
      </c>
      <c r="AX85" s="38">
        <f t="shared" si="59"/>
        <v>0</v>
      </c>
      <c r="AY85" s="72" t="s">
        <v>2561</v>
      </c>
      <c r="AZ85" s="72" t="s">
        <v>2562</v>
      </c>
      <c r="BA85" s="50" t="s">
        <v>2563</v>
      </c>
      <c r="BC85" s="38">
        <f t="shared" si="60"/>
        <v>0</v>
      </c>
      <c r="BD85" s="38">
        <f t="shared" si="61"/>
        <v>0</v>
      </c>
      <c r="BE85" s="38">
        <v>0</v>
      </c>
      <c r="BF85" s="38">
        <f t="shared" si="62"/>
        <v>0</v>
      </c>
      <c r="BH85" s="38">
        <f t="shared" si="63"/>
        <v>0</v>
      </c>
      <c r="BI85" s="38">
        <f t="shared" si="64"/>
        <v>0</v>
      </c>
      <c r="BJ85" s="38">
        <f t="shared" si="65"/>
        <v>0</v>
      </c>
      <c r="BK85" s="38"/>
      <c r="BL85" s="38"/>
      <c r="BW85" s="38">
        <v>21</v>
      </c>
    </row>
    <row r="86" spans="1:75" ht="13.5" customHeight="1">
      <c r="A86" s="78" t="s">
        <v>561</v>
      </c>
      <c r="B86" s="79" t="s">
        <v>93</v>
      </c>
      <c r="C86" s="79" t="s">
        <v>2764</v>
      </c>
      <c r="D86" s="198" t="s">
        <v>2765</v>
      </c>
      <c r="E86" s="199"/>
      <c r="F86" s="79" t="s">
        <v>2567</v>
      </c>
      <c r="G86" s="80">
        <f>'Stavební rozpočet'!G1407</f>
        <v>35</v>
      </c>
      <c r="H86" s="80">
        <f>'Stavební rozpočet'!H1407</f>
        <v>0</v>
      </c>
      <c r="I86" s="80">
        <f t="shared" si="44"/>
        <v>0</v>
      </c>
      <c r="J86" s="80">
        <f>'Stavební rozpočet'!J1407</f>
        <v>0</v>
      </c>
      <c r="K86" s="80">
        <f t="shared" si="45"/>
        <v>0</v>
      </c>
      <c r="L86" s="82" t="s">
        <v>207</v>
      </c>
      <c r="Z86" s="38">
        <f t="shared" si="46"/>
        <v>0</v>
      </c>
      <c r="AB86" s="38">
        <f t="shared" si="47"/>
        <v>0</v>
      </c>
      <c r="AC86" s="38">
        <f t="shared" si="48"/>
        <v>0</v>
      </c>
      <c r="AD86" s="38">
        <f t="shared" si="49"/>
        <v>0</v>
      </c>
      <c r="AE86" s="38">
        <f t="shared" si="50"/>
        <v>0</v>
      </c>
      <c r="AF86" s="38">
        <f t="shared" si="51"/>
        <v>0</v>
      </c>
      <c r="AG86" s="38">
        <f t="shared" si="52"/>
        <v>0</v>
      </c>
      <c r="AH86" s="38">
        <f t="shared" si="53"/>
        <v>0</v>
      </c>
      <c r="AI86" s="50" t="s">
        <v>93</v>
      </c>
      <c r="AJ86" s="80">
        <f t="shared" si="54"/>
        <v>0</v>
      </c>
      <c r="AK86" s="80">
        <f t="shared" si="55"/>
        <v>0</v>
      </c>
      <c r="AL86" s="80">
        <f t="shared" si="56"/>
        <v>0</v>
      </c>
      <c r="AN86" s="38">
        <v>21</v>
      </c>
      <c r="AO86" s="38">
        <f aca="true" t="shared" si="66" ref="AO86:AO99">H86*1</f>
        <v>0</v>
      </c>
      <c r="AP86" s="38">
        <f aca="true" t="shared" si="67" ref="AP86:AP99">H86*(1-1)</f>
        <v>0</v>
      </c>
      <c r="AQ86" s="83" t="s">
        <v>132</v>
      </c>
      <c r="AV86" s="38">
        <f t="shared" si="57"/>
        <v>0</v>
      </c>
      <c r="AW86" s="38">
        <f t="shared" si="58"/>
        <v>0</v>
      </c>
      <c r="AX86" s="38">
        <f t="shared" si="59"/>
        <v>0</v>
      </c>
      <c r="AY86" s="72" t="s">
        <v>2561</v>
      </c>
      <c r="AZ86" s="72" t="s">
        <v>2562</v>
      </c>
      <c r="BA86" s="50" t="s">
        <v>2563</v>
      </c>
      <c r="BC86" s="38">
        <f t="shared" si="60"/>
        <v>0</v>
      </c>
      <c r="BD86" s="38">
        <f t="shared" si="61"/>
        <v>0</v>
      </c>
      <c r="BE86" s="38">
        <v>0</v>
      </c>
      <c r="BF86" s="38">
        <f t="shared" si="62"/>
        <v>0</v>
      </c>
      <c r="BH86" s="80">
        <f t="shared" si="63"/>
        <v>0</v>
      </c>
      <c r="BI86" s="80">
        <f t="shared" si="64"/>
        <v>0</v>
      </c>
      <c r="BJ86" s="80">
        <f t="shared" si="65"/>
        <v>0</v>
      </c>
      <c r="BK86" s="80"/>
      <c r="BL86" s="38"/>
      <c r="BW86" s="38">
        <v>21</v>
      </c>
    </row>
    <row r="87" spans="1:75" ht="13.5" customHeight="1">
      <c r="A87" s="78" t="s">
        <v>568</v>
      </c>
      <c r="B87" s="79" t="s">
        <v>93</v>
      </c>
      <c r="C87" s="79" t="s">
        <v>2767</v>
      </c>
      <c r="D87" s="198" t="s">
        <v>2768</v>
      </c>
      <c r="E87" s="199"/>
      <c r="F87" s="79" t="s">
        <v>2567</v>
      </c>
      <c r="G87" s="80">
        <f>'Stavební rozpočet'!G1408</f>
        <v>1</v>
      </c>
      <c r="H87" s="80">
        <f>'Stavební rozpočet'!H1408</f>
        <v>0</v>
      </c>
      <c r="I87" s="80">
        <f t="shared" si="44"/>
        <v>0</v>
      </c>
      <c r="J87" s="80">
        <f>'Stavební rozpočet'!J1408</f>
        <v>0</v>
      </c>
      <c r="K87" s="80">
        <f t="shared" si="45"/>
        <v>0</v>
      </c>
      <c r="L87" s="82" t="s">
        <v>207</v>
      </c>
      <c r="Z87" s="38">
        <f t="shared" si="46"/>
        <v>0</v>
      </c>
      <c r="AB87" s="38">
        <f t="shared" si="47"/>
        <v>0</v>
      </c>
      <c r="AC87" s="38">
        <f t="shared" si="48"/>
        <v>0</v>
      </c>
      <c r="AD87" s="38">
        <f t="shared" si="49"/>
        <v>0</v>
      </c>
      <c r="AE87" s="38">
        <f t="shared" si="50"/>
        <v>0</v>
      </c>
      <c r="AF87" s="38">
        <f t="shared" si="51"/>
        <v>0</v>
      </c>
      <c r="AG87" s="38">
        <f t="shared" si="52"/>
        <v>0</v>
      </c>
      <c r="AH87" s="38">
        <f t="shared" si="53"/>
        <v>0</v>
      </c>
      <c r="AI87" s="50" t="s">
        <v>93</v>
      </c>
      <c r="AJ87" s="80">
        <f t="shared" si="54"/>
        <v>0</v>
      </c>
      <c r="AK87" s="80">
        <f t="shared" si="55"/>
        <v>0</v>
      </c>
      <c r="AL87" s="80">
        <f t="shared" si="56"/>
        <v>0</v>
      </c>
      <c r="AN87" s="38">
        <v>21</v>
      </c>
      <c r="AO87" s="38">
        <f t="shared" si="66"/>
        <v>0</v>
      </c>
      <c r="AP87" s="38">
        <f t="shared" si="67"/>
        <v>0</v>
      </c>
      <c r="AQ87" s="83" t="s">
        <v>132</v>
      </c>
      <c r="AV87" s="38">
        <f t="shared" si="57"/>
        <v>0</v>
      </c>
      <c r="AW87" s="38">
        <f t="shared" si="58"/>
        <v>0</v>
      </c>
      <c r="AX87" s="38">
        <f t="shared" si="59"/>
        <v>0</v>
      </c>
      <c r="AY87" s="72" t="s">
        <v>2561</v>
      </c>
      <c r="AZ87" s="72" t="s">
        <v>2562</v>
      </c>
      <c r="BA87" s="50" t="s">
        <v>2563</v>
      </c>
      <c r="BC87" s="38">
        <f t="shared" si="60"/>
        <v>0</v>
      </c>
      <c r="BD87" s="38">
        <f t="shared" si="61"/>
        <v>0</v>
      </c>
      <c r="BE87" s="38">
        <v>0</v>
      </c>
      <c r="BF87" s="38">
        <f t="shared" si="62"/>
        <v>0</v>
      </c>
      <c r="BH87" s="80">
        <f t="shared" si="63"/>
        <v>0</v>
      </c>
      <c r="BI87" s="80">
        <f t="shared" si="64"/>
        <v>0</v>
      </c>
      <c r="BJ87" s="80">
        <f t="shared" si="65"/>
        <v>0</v>
      </c>
      <c r="BK87" s="80"/>
      <c r="BL87" s="38"/>
      <c r="BW87" s="38">
        <v>21</v>
      </c>
    </row>
    <row r="88" spans="1:75" ht="13.5" customHeight="1">
      <c r="A88" s="78" t="s">
        <v>572</v>
      </c>
      <c r="B88" s="79" t="s">
        <v>93</v>
      </c>
      <c r="C88" s="79" t="s">
        <v>2770</v>
      </c>
      <c r="D88" s="198" t="s">
        <v>2771</v>
      </c>
      <c r="E88" s="199"/>
      <c r="F88" s="79" t="s">
        <v>1097</v>
      </c>
      <c r="G88" s="80">
        <f>'Stavební rozpočet'!G1409</f>
        <v>26</v>
      </c>
      <c r="H88" s="80">
        <f>'Stavební rozpočet'!H1409</f>
        <v>0</v>
      </c>
      <c r="I88" s="80">
        <f t="shared" si="44"/>
        <v>0</v>
      </c>
      <c r="J88" s="80">
        <f>'Stavební rozpočet'!J1409</f>
        <v>0</v>
      </c>
      <c r="K88" s="80">
        <f t="shared" si="45"/>
        <v>0</v>
      </c>
      <c r="L88" s="82" t="s">
        <v>207</v>
      </c>
      <c r="Z88" s="38">
        <f t="shared" si="46"/>
        <v>0</v>
      </c>
      <c r="AB88" s="38">
        <f t="shared" si="47"/>
        <v>0</v>
      </c>
      <c r="AC88" s="38">
        <f t="shared" si="48"/>
        <v>0</v>
      </c>
      <c r="AD88" s="38">
        <f t="shared" si="49"/>
        <v>0</v>
      </c>
      <c r="AE88" s="38">
        <f t="shared" si="50"/>
        <v>0</v>
      </c>
      <c r="AF88" s="38">
        <f t="shared" si="51"/>
        <v>0</v>
      </c>
      <c r="AG88" s="38">
        <f t="shared" si="52"/>
        <v>0</v>
      </c>
      <c r="AH88" s="38">
        <f t="shared" si="53"/>
        <v>0</v>
      </c>
      <c r="AI88" s="50" t="s">
        <v>93</v>
      </c>
      <c r="AJ88" s="80">
        <f t="shared" si="54"/>
        <v>0</v>
      </c>
      <c r="AK88" s="80">
        <f t="shared" si="55"/>
        <v>0</v>
      </c>
      <c r="AL88" s="80">
        <f t="shared" si="56"/>
        <v>0</v>
      </c>
      <c r="AN88" s="38">
        <v>21</v>
      </c>
      <c r="AO88" s="38">
        <f t="shared" si="66"/>
        <v>0</v>
      </c>
      <c r="AP88" s="38">
        <f t="shared" si="67"/>
        <v>0</v>
      </c>
      <c r="AQ88" s="83" t="s">
        <v>132</v>
      </c>
      <c r="AV88" s="38">
        <f t="shared" si="57"/>
        <v>0</v>
      </c>
      <c r="AW88" s="38">
        <f t="shared" si="58"/>
        <v>0</v>
      </c>
      <c r="AX88" s="38">
        <f t="shared" si="59"/>
        <v>0</v>
      </c>
      <c r="AY88" s="72" t="s">
        <v>2561</v>
      </c>
      <c r="AZ88" s="72" t="s">
        <v>2562</v>
      </c>
      <c r="BA88" s="50" t="s">
        <v>2563</v>
      </c>
      <c r="BC88" s="38">
        <f t="shared" si="60"/>
        <v>0</v>
      </c>
      <c r="BD88" s="38">
        <f t="shared" si="61"/>
        <v>0</v>
      </c>
      <c r="BE88" s="38">
        <v>0</v>
      </c>
      <c r="BF88" s="38">
        <f t="shared" si="62"/>
        <v>0</v>
      </c>
      <c r="BH88" s="80">
        <f t="shared" si="63"/>
        <v>0</v>
      </c>
      <c r="BI88" s="80">
        <f t="shared" si="64"/>
        <v>0</v>
      </c>
      <c r="BJ88" s="80">
        <f t="shared" si="65"/>
        <v>0</v>
      </c>
      <c r="BK88" s="80"/>
      <c r="BL88" s="38"/>
      <c r="BW88" s="38">
        <v>21</v>
      </c>
    </row>
    <row r="89" spans="1:75" ht="13.5" customHeight="1">
      <c r="A89" s="78" t="s">
        <v>581</v>
      </c>
      <c r="B89" s="79" t="s">
        <v>93</v>
      </c>
      <c r="C89" s="79" t="s">
        <v>2773</v>
      </c>
      <c r="D89" s="198" t="s">
        <v>2774</v>
      </c>
      <c r="E89" s="199"/>
      <c r="F89" s="79" t="s">
        <v>2567</v>
      </c>
      <c r="G89" s="80">
        <f>'Stavební rozpočet'!G1410</f>
        <v>3</v>
      </c>
      <c r="H89" s="80">
        <f>'Stavební rozpočet'!H1410</f>
        <v>0</v>
      </c>
      <c r="I89" s="80">
        <f t="shared" si="44"/>
        <v>0</v>
      </c>
      <c r="J89" s="80">
        <f>'Stavební rozpočet'!J1410</f>
        <v>0</v>
      </c>
      <c r="K89" s="80">
        <f t="shared" si="45"/>
        <v>0</v>
      </c>
      <c r="L89" s="82" t="s">
        <v>207</v>
      </c>
      <c r="Z89" s="38">
        <f t="shared" si="46"/>
        <v>0</v>
      </c>
      <c r="AB89" s="38">
        <f t="shared" si="47"/>
        <v>0</v>
      </c>
      <c r="AC89" s="38">
        <f t="shared" si="48"/>
        <v>0</v>
      </c>
      <c r="AD89" s="38">
        <f t="shared" si="49"/>
        <v>0</v>
      </c>
      <c r="AE89" s="38">
        <f t="shared" si="50"/>
        <v>0</v>
      </c>
      <c r="AF89" s="38">
        <f t="shared" si="51"/>
        <v>0</v>
      </c>
      <c r="AG89" s="38">
        <f t="shared" si="52"/>
        <v>0</v>
      </c>
      <c r="AH89" s="38">
        <f t="shared" si="53"/>
        <v>0</v>
      </c>
      <c r="AI89" s="50" t="s">
        <v>93</v>
      </c>
      <c r="AJ89" s="80">
        <f t="shared" si="54"/>
        <v>0</v>
      </c>
      <c r="AK89" s="80">
        <f t="shared" si="55"/>
        <v>0</v>
      </c>
      <c r="AL89" s="80">
        <f t="shared" si="56"/>
        <v>0</v>
      </c>
      <c r="AN89" s="38">
        <v>21</v>
      </c>
      <c r="AO89" s="38">
        <f t="shared" si="66"/>
        <v>0</v>
      </c>
      <c r="AP89" s="38">
        <f t="shared" si="67"/>
        <v>0</v>
      </c>
      <c r="AQ89" s="83" t="s">
        <v>132</v>
      </c>
      <c r="AV89" s="38">
        <f t="shared" si="57"/>
        <v>0</v>
      </c>
      <c r="AW89" s="38">
        <f t="shared" si="58"/>
        <v>0</v>
      </c>
      <c r="AX89" s="38">
        <f t="shared" si="59"/>
        <v>0</v>
      </c>
      <c r="AY89" s="72" t="s">
        <v>2561</v>
      </c>
      <c r="AZ89" s="72" t="s">
        <v>2562</v>
      </c>
      <c r="BA89" s="50" t="s">
        <v>2563</v>
      </c>
      <c r="BC89" s="38">
        <f t="shared" si="60"/>
        <v>0</v>
      </c>
      <c r="BD89" s="38">
        <f t="shared" si="61"/>
        <v>0</v>
      </c>
      <c r="BE89" s="38">
        <v>0</v>
      </c>
      <c r="BF89" s="38">
        <f t="shared" si="62"/>
        <v>0</v>
      </c>
      <c r="BH89" s="80">
        <f t="shared" si="63"/>
        <v>0</v>
      </c>
      <c r="BI89" s="80">
        <f t="shared" si="64"/>
        <v>0</v>
      </c>
      <c r="BJ89" s="80">
        <f t="shared" si="65"/>
        <v>0</v>
      </c>
      <c r="BK89" s="80"/>
      <c r="BL89" s="38"/>
      <c r="BW89" s="38">
        <v>21</v>
      </c>
    </row>
    <row r="90" spans="1:75" ht="13.5" customHeight="1">
      <c r="A90" s="78" t="s">
        <v>590</v>
      </c>
      <c r="B90" s="79" t="s">
        <v>93</v>
      </c>
      <c r="C90" s="79" t="s">
        <v>2776</v>
      </c>
      <c r="D90" s="198" t="s">
        <v>2777</v>
      </c>
      <c r="E90" s="199"/>
      <c r="F90" s="79" t="s">
        <v>2567</v>
      </c>
      <c r="G90" s="80">
        <f>'Stavební rozpočet'!G1411</f>
        <v>11</v>
      </c>
      <c r="H90" s="80">
        <f>'Stavební rozpočet'!H1411</f>
        <v>0</v>
      </c>
      <c r="I90" s="80">
        <f t="shared" si="44"/>
        <v>0</v>
      </c>
      <c r="J90" s="80">
        <f>'Stavební rozpočet'!J1411</f>
        <v>0</v>
      </c>
      <c r="K90" s="80">
        <f t="shared" si="45"/>
        <v>0</v>
      </c>
      <c r="L90" s="82" t="s">
        <v>207</v>
      </c>
      <c r="Z90" s="38">
        <f t="shared" si="46"/>
        <v>0</v>
      </c>
      <c r="AB90" s="38">
        <f t="shared" si="47"/>
        <v>0</v>
      </c>
      <c r="AC90" s="38">
        <f t="shared" si="48"/>
        <v>0</v>
      </c>
      <c r="AD90" s="38">
        <f t="shared" si="49"/>
        <v>0</v>
      </c>
      <c r="AE90" s="38">
        <f t="shared" si="50"/>
        <v>0</v>
      </c>
      <c r="AF90" s="38">
        <f t="shared" si="51"/>
        <v>0</v>
      </c>
      <c r="AG90" s="38">
        <f t="shared" si="52"/>
        <v>0</v>
      </c>
      <c r="AH90" s="38">
        <f t="shared" si="53"/>
        <v>0</v>
      </c>
      <c r="AI90" s="50" t="s">
        <v>93</v>
      </c>
      <c r="AJ90" s="80">
        <f t="shared" si="54"/>
        <v>0</v>
      </c>
      <c r="AK90" s="80">
        <f t="shared" si="55"/>
        <v>0</v>
      </c>
      <c r="AL90" s="80">
        <f t="shared" si="56"/>
        <v>0</v>
      </c>
      <c r="AN90" s="38">
        <v>21</v>
      </c>
      <c r="AO90" s="38">
        <f t="shared" si="66"/>
        <v>0</v>
      </c>
      <c r="AP90" s="38">
        <f t="shared" si="67"/>
        <v>0</v>
      </c>
      <c r="AQ90" s="83" t="s">
        <v>132</v>
      </c>
      <c r="AV90" s="38">
        <f t="shared" si="57"/>
        <v>0</v>
      </c>
      <c r="AW90" s="38">
        <f t="shared" si="58"/>
        <v>0</v>
      </c>
      <c r="AX90" s="38">
        <f t="shared" si="59"/>
        <v>0</v>
      </c>
      <c r="AY90" s="72" t="s">
        <v>2561</v>
      </c>
      <c r="AZ90" s="72" t="s">
        <v>2562</v>
      </c>
      <c r="BA90" s="50" t="s">
        <v>2563</v>
      </c>
      <c r="BC90" s="38">
        <f t="shared" si="60"/>
        <v>0</v>
      </c>
      <c r="BD90" s="38">
        <f t="shared" si="61"/>
        <v>0</v>
      </c>
      <c r="BE90" s="38">
        <v>0</v>
      </c>
      <c r="BF90" s="38">
        <f t="shared" si="62"/>
        <v>0</v>
      </c>
      <c r="BH90" s="80">
        <f t="shared" si="63"/>
        <v>0</v>
      </c>
      <c r="BI90" s="80">
        <f t="shared" si="64"/>
        <v>0</v>
      </c>
      <c r="BJ90" s="80">
        <f t="shared" si="65"/>
        <v>0</v>
      </c>
      <c r="BK90" s="80"/>
      <c r="BL90" s="38"/>
      <c r="BW90" s="38">
        <v>21</v>
      </c>
    </row>
    <row r="91" spans="1:75" ht="13.5" customHeight="1">
      <c r="A91" s="78" t="s">
        <v>603</v>
      </c>
      <c r="B91" s="79" t="s">
        <v>93</v>
      </c>
      <c r="C91" s="79" t="s">
        <v>2779</v>
      </c>
      <c r="D91" s="198" t="s">
        <v>2780</v>
      </c>
      <c r="E91" s="199"/>
      <c r="F91" s="79" t="s">
        <v>2567</v>
      </c>
      <c r="G91" s="80">
        <f>'Stavební rozpočet'!G1412</f>
        <v>29</v>
      </c>
      <c r="H91" s="80">
        <f>'Stavební rozpočet'!H1412</f>
        <v>0</v>
      </c>
      <c r="I91" s="80">
        <f t="shared" si="44"/>
        <v>0</v>
      </c>
      <c r="J91" s="80">
        <f>'Stavební rozpočet'!J1412</f>
        <v>0</v>
      </c>
      <c r="K91" s="80">
        <f t="shared" si="45"/>
        <v>0</v>
      </c>
      <c r="L91" s="82" t="s">
        <v>207</v>
      </c>
      <c r="Z91" s="38">
        <f t="shared" si="46"/>
        <v>0</v>
      </c>
      <c r="AB91" s="38">
        <f t="shared" si="47"/>
        <v>0</v>
      </c>
      <c r="AC91" s="38">
        <f t="shared" si="48"/>
        <v>0</v>
      </c>
      <c r="AD91" s="38">
        <f t="shared" si="49"/>
        <v>0</v>
      </c>
      <c r="AE91" s="38">
        <f t="shared" si="50"/>
        <v>0</v>
      </c>
      <c r="AF91" s="38">
        <f t="shared" si="51"/>
        <v>0</v>
      </c>
      <c r="AG91" s="38">
        <f t="shared" si="52"/>
        <v>0</v>
      </c>
      <c r="AH91" s="38">
        <f t="shared" si="53"/>
        <v>0</v>
      </c>
      <c r="AI91" s="50" t="s">
        <v>93</v>
      </c>
      <c r="AJ91" s="80">
        <f t="shared" si="54"/>
        <v>0</v>
      </c>
      <c r="AK91" s="80">
        <f t="shared" si="55"/>
        <v>0</v>
      </c>
      <c r="AL91" s="80">
        <f t="shared" si="56"/>
        <v>0</v>
      </c>
      <c r="AN91" s="38">
        <v>21</v>
      </c>
      <c r="AO91" s="38">
        <f t="shared" si="66"/>
        <v>0</v>
      </c>
      <c r="AP91" s="38">
        <f t="shared" si="67"/>
        <v>0</v>
      </c>
      <c r="AQ91" s="83" t="s">
        <v>132</v>
      </c>
      <c r="AV91" s="38">
        <f t="shared" si="57"/>
        <v>0</v>
      </c>
      <c r="AW91" s="38">
        <f t="shared" si="58"/>
        <v>0</v>
      </c>
      <c r="AX91" s="38">
        <f t="shared" si="59"/>
        <v>0</v>
      </c>
      <c r="AY91" s="72" t="s">
        <v>2561</v>
      </c>
      <c r="AZ91" s="72" t="s">
        <v>2562</v>
      </c>
      <c r="BA91" s="50" t="s">
        <v>2563</v>
      </c>
      <c r="BC91" s="38">
        <f t="shared" si="60"/>
        <v>0</v>
      </c>
      <c r="BD91" s="38">
        <f t="shared" si="61"/>
        <v>0</v>
      </c>
      <c r="BE91" s="38">
        <v>0</v>
      </c>
      <c r="BF91" s="38">
        <f t="shared" si="62"/>
        <v>0</v>
      </c>
      <c r="BH91" s="80">
        <f t="shared" si="63"/>
        <v>0</v>
      </c>
      <c r="BI91" s="80">
        <f t="shared" si="64"/>
        <v>0</v>
      </c>
      <c r="BJ91" s="80">
        <f t="shared" si="65"/>
        <v>0</v>
      </c>
      <c r="BK91" s="80"/>
      <c r="BL91" s="38"/>
      <c r="BW91" s="38">
        <v>21</v>
      </c>
    </row>
    <row r="92" spans="1:75" ht="13.5" customHeight="1">
      <c r="A92" s="78" t="s">
        <v>625</v>
      </c>
      <c r="B92" s="79" t="s">
        <v>93</v>
      </c>
      <c r="C92" s="79" t="s">
        <v>2782</v>
      </c>
      <c r="D92" s="198" t="s">
        <v>2783</v>
      </c>
      <c r="E92" s="199"/>
      <c r="F92" s="79" t="s">
        <v>2567</v>
      </c>
      <c r="G92" s="80">
        <f>'Stavební rozpočet'!G1413</f>
        <v>4</v>
      </c>
      <c r="H92" s="80">
        <f>'Stavební rozpočet'!H1413</f>
        <v>0</v>
      </c>
      <c r="I92" s="80">
        <f t="shared" si="44"/>
        <v>0</v>
      </c>
      <c r="J92" s="80">
        <f>'Stavební rozpočet'!J1413</f>
        <v>0</v>
      </c>
      <c r="K92" s="80">
        <f t="shared" si="45"/>
        <v>0</v>
      </c>
      <c r="L92" s="82" t="s">
        <v>207</v>
      </c>
      <c r="Z92" s="38">
        <f t="shared" si="46"/>
        <v>0</v>
      </c>
      <c r="AB92" s="38">
        <f t="shared" si="47"/>
        <v>0</v>
      </c>
      <c r="AC92" s="38">
        <f t="shared" si="48"/>
        <v>0</v>
      </c>
      <c r="AD92" s="38">
        <f t="shared" si="49"/>
        <v>0</v>
      </c>
      <c r="AE92" s="38">
        <f t="shared" si="50"/>
        <v>0</v>
      </c>
      <c r="AF92" s="38">
        <f t="shared" si="51"/>
        <v>0</v>
      </c>
      <c r="AG92" s="38">
        <f t="shared" si="52"/>
        <v>0</v>
      </c>
      <c r="AH92" s="38">
        <f t="shared" si="53"/>
        <v>0</v>
      </c>
      <c r="AI92" s="50" t="s">
        <v>93</v>
      </c>
      <c r="AJ92" s="80">
        <f t="shared" si="54"/>
        <v>0</v>
      </c>
      <c r="AK92" s="80">
        <f t="shared" si="55"/>
        <v>0</v>
      </c>
      <c r="AL92" s="80">
        <f t="shared" si="56"/>
        <v>0</v>
      </c>
      <c r="AN92" s="38">
        <v>21</v>
      </c>
      <c r="AO92" s="38">
        <f t="shared" si="66"/>
        <v>0</v>
      </c>
      <c r="AP92" s="38">
        <f t="shared" si="67"/>
        <v>0</v>
      </c>
      <c r="AQ92" s="83" t="s">
        <v>132</v>
      </c>
      <c r="AV92" s="38">
        <f t="shared" si="57"/>
        <v>0</v>
      </c>
      <c r="AW92" s="38">
        <f t="shared" si="58"/>
        <v>0</v>
      </c>
      <c r="AX92" s="38">
        <f t="shared" si="59"/>
        <v>0</v>
      </c>
      <c r="AY92" s="72" t="s">
        <v>2561</v>
      </c>
      <c r="AZ92" s="72" t="s">
        <v>2562</v>
      </c>
      <c r="BA92" s="50" t="s">
        <v>2563</v>
      </c>
      <c r="BC92" s="38">
        <f t="shared" si="60"/>
        <v>0</v>
      </c>
      <c r="BD92" s="38">
        <f t="shared" si="61"/>
        <v>0</v>
      </c>
      <c r="BE92" s="38">
        <v>0</v>
      </c>
      <c r="BF92" s="38">
        <f t="shared" si="62"/>
        <v>0</v>
      </c>
      <c r="BH92" s="80">
        <f t="shared" si="63"/>
        <v>0</v>
      </c>
      <c r="BI92" s="80">
        <f t="shared" si="64"/>
        <v>0</v>
      </c>
      <c r="BJ92" s="80">
        <f t="shared" si="65"/>
        <v>0</v>
      </c>
      <c r="BK92" s="80"/>
      <c r="BL92" s="38"/>
      <c r="BW92" s="38">
        <v>21</v>
      </c>
    </row>
    <row r="93" spans="1:75" ht="13.5" customHeight="1">
      <c r="A93" s="78" t="s">
        <v>629</v>
      </c>
      <c r="B93" s="79" t="s">
        <v>93</v>
      </c>
      <c r="C93" s="79" t="s">
        <v>2785</v>
      </c>
      <c r="D93" s="198" t="s">
        <v>2786</v>
      </c>
      <c r="E93" s="199"/>
      <c r="F93" s="79" t="s">
        <v>2567</v>
      </c>
      <c r="G93" s="80">
        <f>'Stavební rozpočet'!G1414</f>
        <v>16</v>
      </c>
      <c r="H93" s="80">
        <f>'Stavební rozpočet'!H1414</f>
        <v>0</v>
      </c>
      <c r="I93" s="80">
        <f t="shared" si="44"/>
        <v>0</v>
      </c>
      <c r="J93" s="80">
        <f>'Stavební rozpočet'!J1414</f>
        <v>0</v>
      </c>
      <c r="K93" s="80">
        <f t="shared" si="45"/>
        <v>0</v>
      </c>
      <c r="L93" s="82" t="s">
        <v>207</v>
      </c>
      <c r="Z93" s="38">
        <f t="shared" si="46"/>
        <v>0</v>
      </c>
      <c r="AB93" s="38">
        <f t="shared" si="47"/>
        <v>0</v>
      </c>
      <c r="AC93" s="38">
        <f t="shared" si="48"/>
        <v>0</v>
      </c>
      <c r="AD93" s="38">
        <f t="shared" si="49"/>
        <v>0</v>
      </c>
      <c r="AE93" s="38">
        <f t="shared" si="50"/>
        <v>0</v>
      </c>
      <c r="AF93" s="38">
        <f t="shared" si="51"/>
        <v>0</v>
      </c>
      <c r="AG93" s="38">
        <f t="shared" si="52"/>
        <v>0</v>
      </c>
      <c r="AH93" s="38">
        <f t="shared" si="53"/>
        <v>0</v>
      </c>
      <c r="AI93" s="50" t="s">
        <v>93</v>
      </c>
      <c r="AJ93" s="80">
        <f t="shared" si="54"/>
        <v>0</v>
      </c>
      <c r="AK93" s="80">
        <f t="shared" si="55"/>
        <v>0</v>
      </c>
      <c r="AL93" s="80">
        <f t="shared" si="56"/>
        <v>0</v>
      </c>
      <c r="AN93" s="38">
        <v>21</v>
      </c>
      <c r="AO93" s="38">
        <f t="shared" si="66"/>
        <v>0</v>
      </c>
      <c r="AP93" s="38">
        <f t="shared" si="67"/>
        <v>0</v>
      </c>
      <c r="AQ93" s="83" t="s">
        <v>132</v>
      </c>
      <c r="AV93" s="38">
        <f t="shared" si="57"/>
        <v>0</v>
      </c>
      <c r="AW93" s="38">
        <f t="shared" si="58"/>
        <v>0</v>
      </c>
      <c r="AX93" s="38">
        <f t="shared" si="59"/>
        <v>0</v>
      </c>
      <c r="AY93" s="72" t="s">
        <v>2561</v>
      </c>
      <c r="AZ93" s="72" t="s">
        <v>2562</v>
      </c>
      <c r="BA93" s="50" t="s">
        <v>2563</v>
      </c>
      <c r="BC93" s="38">
        <f t="shared" si="60"/>
        <v>0</v>
      </c>
      <c r="BD93" s="38">
        <f t="shared" si="61"/>
        <v>0</v>
      </c>
      <c r="BE93" s="38">
        <v>0</v>
      </c>
      <c r="BF93" s="38">
        <f t="shared" si="62"/>
        <v>0</v>
      </c>
      <c r="BH93" s="80">
        <f t="shared" si="63"/>
        <v>0</v>
      </c>
      <c r="BI93" s="80">
        <f t="shared" si="64"/>
        <v>0</v>
      </c>
      <c r="BJ93" s="80">
        <f t="shared" si="65"/>
        <v>0</v>
      </c>
      <c r="BK93" s="80"/>
      <c r="BL93" s="38"/>
      <c r="BW93" s="38">
        <v>21</v>
      </c>
    </row>
    <row r="94" spans="1:75" ht="13.5" customHeight="1">
      <c r="A94" s="78" t="s">
        <v>638</v>
      </c>
      <c r="B94" s="79" t="s">
        <v>93</v>
      </c>
      <c r="C94" s="79" t="s">
        <v>2788</v>
      </c>
      <c r="D94" s="198" t="s">
        <v>2789</v>
      </c>
      <c r="E94" s="199"/>
      <c r="F94" s="79" t="s">
        <v>2567</v>
      </c>
      <c r="G94" s="80">
        <f>'Stavební rozpočet'!G1415</f>
        <v>1</v>
      </c>
      <c r="H94" s="80">
        <f>'Stavební rozpočet'!H1415</f>
        <v>0</v>
      </c>
      <c r="I94" s="80">
        <f t="shared" si="44"/>
        <v>0</v>
      </c>
      <c r="J94" s="80">
        <f>'Stavební rozpočet'!J1415</f>
        <v>0</v>
      </c>
      <c r="K94" s="80">
        <f t="shared" si="45"/>
        <v>0</v>
      </c>
      <c r="L94" s="82" t="s">
        <v>207</v>
      </c>
      <c r="Z94" s="38">
        <f t="shared" si="46"/>
        <v>0</v>
      </c>
      <c r="AB94" s="38">
        <f t="shared" si="47"/>
        <v>0</v>
      </c>
      <c r="AC94" s="38">
        <f t="shared" si="48"/>
        <v>0</v>
      </c>
      <c r="AD94" s="38">
        <f t="shared" si="49"/>
        <v>0</v>
      </c>
      <c r="AE94" s="38">
        <f t="shared" si="50"/>
        <v>0</v>
      </c>
      <c r="AF94" s="38">
        <f t="shared" si="51"/>
        <v>0</v>
      </c>
      <c r="AG94" s="38">
        <f t="shared" si="52"/>
        <v>0</v>
      </c>
      <c r="AH94" s="38">
        <f t="shared" si="53"/>
        <v>0</v>
      </c>
      <c r="AI94" s="50" t="s">
        <v>93</v>
      </c>
      <c r="AJ94" s="80">
        <f t="shared" si="54"/>
        <v>0</v>
      </c>
      <c r="AK94" s="80">
        <f t="shared" si="55"/>
        <v>0</v>
      </c>
      <c r="AL94" s="80">
        <f t="shared" si="56"/>
        <v>0</v>
      </c>
      <c r="AN94" s="38">
        <v>21</v>
      </c>
      <c r="AO94" s="38">
        <f t="shared" si="66"/>
        <v>0</v>
      </c>
      <c r="AP94" s="38">
        <f t="shared" si="67"/>
        <v>0</v>
      </c>
      <c r="AQ94" s="83" t="s">
        <v>132</v>
      </c>
      <c r="AV94" s="38">
        <f t="shared" si="57"/>
        <v>0</v>
      </c>
      <c r="AW94" s="38">
        <f t="shared" si="58"/>
        <v>0</v>
      </c>
      <c r="AX94" s="38">
        <f t="shared" si="59"/>
        <v>0</v>
      </c>
      <c r="AY94" s="72" t="s">
        <v>2561</v>
      </c>
      <c r="AZ94" s="72" t="s">
        <v>2562</v>
      </c>
      <c r="BA94" s="50" t="s">
        <v>2563</v>
      </c>
      <c r="BC94" s="38">
        <f t="shared" si="60"/>
        <v>0</v>
      </c>
      <c r="BD94" s="38">
        <f t="shared" si="61"/>
        <v>0</v>
      </c>
      <c r="BE94" s="38">
        <v>0</v>
      </c>
      <c r="BF94" s="38">
        <f t="shared" si="62"/>
        <v>0</v>
      </c>
      <c r="BH94" s="80">
        <f t="shared" si="63"/>
        <v>0</v>
      </c>
      <c r="BI94" s="80">
        <f t="shared" si="64"/>
        <v>0</v>
      </c>
      <c r="BJ94" s="80">
        <f t="shared" si="65"/>
        <v>0</v>
      </c>
      <c r="BK94" s="80"/>
      <c r="BL94" s="38"/>
      <c r="BW94" s="38">
        <v>21</v>
      </c>
    </row>
    <row r="95" spans="1:75" ht="13.5" customHeight="1">
      <c r="A95" s="78" t="s">
        <v>648</v>
      </c>
      <c r="B95" s="79" t="s">
        <v>93</v>
      </c>
      <c r="C95" s="79" t="s">
        <v>2791</v>
      </c>
      <c r="D95" s="198" t="s">
        <v>2792</v>
      </c>
      <c r="E95" s="199"/>
      <c r="F95" s="79" t="s">
        <v>2567</v>
      </c>
      <c r="G95" s="80">
        <f>'Stavební rozpočet'!G1416</f>
        <v>7</v>
      </c>
      <c r="H95" s="80">
        <f>'Stavební rozpočet'!H1416</f>
        <v>0</v>
      </c>
      <c r="I95" s="80">
        <f t="shared" si="44"/>
        <v>0</v>
      </c>
      <c r="J95" s="80">
        <f>'Stavební rozpočet'!J1416</f>
        <v>0</v>
      </c>
      <c r="K95" s="80">
        <f t="shared" si="45"/>
        <v>0</v>
      </c>
      <c r="L95" s="82" t="s">
        <v>207</v>
      </c>
      <c r="Z95" s="38">
        <f t="shared" si="46"/>
        <v>0</v>
      </c>
      <c r="AB95" s="38">
        <f t="shared" si="47"/>
        <v>0</v>
      </c>
      <c r="AC95" s="38">
        <f t="shared" si="48"/>
        <v>0</v>
      </c>
      <c r="AD95" s="38">
        <f t="shared" si="49"/>
        <v>0</v>
      </c>
      <c r="AE95" s="38">
        <f t="shared" si="50"/>
        <v>0</v>
      </c>
      <c r="AF95" s="38">
        <f t="shared" si="51"/>
        <v>0</v>
      </c>
      <c r="AG95" s="38">
        <f t="shared" si="52"/>
        <v>0</v>
      </c>
      <c r="AH95" s="38">
        <f t="shared" si="53"/>
        <v>0</v>
      </c>
      <c r="AI95" s="50" t="s">
        <v>93</v>
      </c>
      <c r="AJ95" s="80">
        <f t="shared" si="54"/>
        <v>0</v>
      </c>
      <c r="AK95" s="80">
        <f t="shared" si="55"/>
        <v>0</v>
      </c>
      <c r="AL95" s="80">
        <f t="shared" si="56"/>
        <v>0</v>
      </c>
      <c r="AN95" s="38">
        <v>21</v>
      </c>
      <c r="AO95" s="38">
        <f t="shared" si="66"/>
        <v>0</v>
      </c>
      <c r="AP95" s="38">
        <f t="shared" si="67"/>
        <v>0</v>
      </c>
      <c r="AQ95" s="83" t="s">
        <v>132</v>
      </c>
      <c r="AV95" s="38">
        <f t="shared" si="57"/>
        <v>0</v>
      </c>
      <c r="AW95" s="38">
        <f t="shared" si="58"/>
        <v>0</v>
      </c>
      <c r="AX95" s="38">
        <f t="shared" si="59"/>
        <v>0</v>
      </c>
      <c r="AY95" s="72" t="s">
        <v>2561</v>
      </c>
      <c r="AZ95" s="72" t="s">
        <v>2562</v>
      </c>
      <c r="BA95" s="50" t="s">
        <v>2563</v>
      </c>
      <c r="BC95" s="38">
        <f t="shared" si="60"/>
        <v>0</v>
      </c>
      <c r="BD95" s="38">
        <f t="shared" si="61"/>
        <v>0</v>
      </c>
      <c r="BE95" s="38">
        <v>0</v>
      </c>
      <c r="BF95" s="38">
        <f t="shared" si="62"/>
        <v>0</v>
      </c>
      <c r="BH95" s="80">
        <f t="shared" si="63"/>
        <v>0</v>
      </c>
      <c r="BI95" s="80">
        <f t="shared" si="64"/>
        <v>0</v>
      </c>
      <c r="BJ95" s="80">
        <f t="shared" si="65"/>
        <v>0</v>
      </c>
      <c r="BK95" s="80"/>
      <c r="BL95" s="38"/>
      <c r="BW95" s="38">
        <v>21</v>
      </c>
    </row>
    <row r="96" spans="1:75" ht="13.5" customHeight="1">
      <c r="A96" s="78" t="s">
        <v>654</v>
      </c>
      <c r="B96" s="79" t="s">
        <v>93</v>
      </c>
      <c r="C96" s="79" t="s">
        <v>2794</v>
      </c>
      <c r="D96" s="198" t="s">
        <v>2795</v>
      </c>
      <c r="E96" s="199"/>
      <c r="F96" s="79" t="s">
        <v>2567</v>
      </c>
      <c r="G96" s="80">
        <f>'Stavební rozpočet'!G1417</f>
        <v>9</v>
      </c>
      <c r="H96" s="80">
        <f>'Stavební rozpočet'!H1417</f>
        <v>0</v>
      </c>
      <c r="I96" s="80">
        <f t="shared" si="44"/>
        <v>0</v>
      </c>
      <c r="J96" s="80">
        <f>'Stavební rozpočet'!J1417</f>
        <v>0</v>
      </c>
      <c r="K96" s="80">
        <f t="shared" si="45"/>
        <v>0</v>
      </c>
      <c r="L96" s="82" t="s">
        <v>207</v>
      </c>
      <c r="Z96" s="38">
        <f t="shared" si="46"/>
        <v>0</v>
      </c>
      <c r="AB96" s="38">
        <f t="shared" si="47"/>
        <v>0</v>
      </c>
      <c r="AC96" s="38">
        <f t="shared" si="48"/>
        <v>0</v>
      </c>
      <c r="AD96" s="38">
        <f t="shared" si="49"/>
        <v>0</v>
      </c>
      <c r="AE96" s="38">
        <f t="shared" si="50"/>
        <v>0</v>
      </c>
      <c r="AF96" s="38">
        <f t="shared" si="51"/>
        <v>0</v>
      </c>
      <c r="AG96" s="38">
        <f t="shared" si="52"/>
        <v>0</v>
      </c>
      <c r="AH96" s="38">
        <f t="shared" si="53"/>
        <v>0</v>
      </c>
      <c r="AI96" s="50" t="s">
        <v>93</v>
      </c>
      <c r="AJ96" s="80">
        <f t="shared" si="54"/>
        <v>0</v>
      </c>
      <c r="AK96" s="80">
        <f t="shared" si="55"/>
        <v>0</v>
      </c>
      <c r="AL96" s="80">
        <f t="shared" si="56"/>
        <v>0</v>
      </c>
      <c r="AN96" s="38">
        <v>21</v>
      </c>
      <c r="AO96" s="38">
        <f t="shared" si="66"/>
        <v>0</v>
      </c>
      <c r="AP96" s="38">
        <f t="shared" si="67"/>
        <v>0</v>
      </c>
      <c r="AQ96" s="83" t="s">
        <v>132</v>
      </c>
      <c r="AV96" s="38">
        <f t="shared" si="57"/>
        <v>0</v>
      </c>
      <c r="AW96" s="38">
        <f t="shared" si="58"/>
        <v>0</v>
      </c>
      <c r="AX96" s="38">
        <f t="shared" si="59"/>
        <v>0</v>
      </c>
      <c r="AY96" s="72" t="s">
        <v>2561</v>
      </c>
      <c r="AZ96" s="72" t="s">
        <v>2562</v>
      </c>
      <c r="BA96" s="50" t="s">
        <v>2563</v>
      </c>
      <c r="BC96" s="38">
        <f t="shared" si="60"/>
        <v>0</v>
      </c>
      <c r="BD96" s="38">
        <f t="shared" si="61"/>
        <v>0</v>
      </c>
      <c r="BE96" s="38">
        <v>0</v>
      </c>
      <c r="BF96" s="38">
        <f t="shared" si="62"/>
        <v>0</v>
      </c>
      <c r="BH96" s="80">
        <f t="shared" si="63"/>
        <v>0</v>
      </c>
      <c r="BI96" s="80">
        <f t="shared" si="64"/>
        <v>0</v>
      </c>
      <c r="BJ96" s="80">
        <f t="shared" si="65"/>
        <v>0</v>
      </c>
      <c r="BK96" s="80"/>
      <c r="BL96" s="38"/>
      <c r="BW96" s="38">
        <v>21</v>
      </c>
    </row>
    <row r="97" spans="1:75" ht="13.5" customHeight="1">
      <c r="A97" s="78" t="s">
        <v>659</v>
      </c>
      <c r="B97" s="79" t="s">
        <v>93</v>
      </c>
      <c r="C97" s="79" t="s">
        <v>2797</v>
      </c>
      <c r="D97" s="198" t="s">
        <v>2798</v>
      </c>
      <c r="E97" s="199"/>
      <c r="F97" s="79" t="s">
        <v>2567</v>
      </c>
      <c r="G97" s="80">
        <f>'Stavební rozpočet'!G1418</f>
        <v>9</v>
      </c>
      <c r="H97" s="80">
        <f>'Stavební rozpočet'!H1418</f>
        <v>0</v>
      </c>
      <c r="I97" s="80">
        <f t="shared" si="44"/>
        <v>0</v>
      </c>
      <c r="J97" s="80">
        <f>'Stavební rozpočet'!J1418</f>
        <v>0</v>
      </c>
      <c r="K97" s="80">
        <f t="shared" si="45"/>
        <v>0</v>
      </c>
      <c r="L97" s="82" t="s">
        <v>207</v>
      </c>
      <c r="Z97" s="38">
        <f t="shared" si="46"/>
        <v>0</v>
      </c>
      <c r="AB97" s="38">
        <f t="shared" si="47"/>
        <v>0</v>
      </c>
      <c r="AC97" s="38">
        <f t="shared" si="48"/>
        <v>0</v>
      </c>
      <c r="AD97" s="38">
        <f t="shared" si="49"/>
        <v>0</v>
      </c>
      <c r="AE97" s="38">
        <f t="shared" si="50"/>
        <v>0</v>
      </c>
      <c r="AF97" s="38">
        <f t="shared" si="51"/>
        <v>0</v>
      </c>
      <c r="AG97" s="38">
        <f t="shared" si="52"/>
        <v>0</v>
      </c>
      <c r="AH97" s="38">
        <f t="shared" si="53"/>
        <v>0</v>
      </c>
      <c r="AI97" s="50" t="s">
        <v>93</v>
      </c>
      <c r="AJ97" s="80">
        <f t="shared" si="54"/>
        <v>0</v>
      </c>
      <c r="AK97" s="80">
        <f t="shared" si="55"/>
        <v>0</v>
      </c>
      <c r="AL97" s="80">
        <f t="shared" si="56"/>
        <v>0</v>
      </c>
      <c r="AN97" s="38">
        <v>21</v>
      </c>
      <c r="AO97" s="38">
        <f t="shared" si="66"/>
        <v>0</v>
      </c>
      <c r="AP97" s="38">
        <f t="shared" si="67"/>
        <v>0</v>
      </c>
      <c r="AQ97" s="83" t="s">
        <v>132</v>
      </c>
      <c r="AV97" s="38">
        <f t="shared" si="57"/>
        <v>0</v>
      </c>
      <c r="AW97" s="38">
        <f t="shared" si="58"/>
        <v>0</v>
      </c>
      <c r="AX97" s="38">
        <f t="shared" si="59"/>
        <v>0</v>
      </c>
      <c r="AY97" s="72" t="s">
        <v>2561</v>
      </c>
      <c r="AZ97" s="72" t="s">
        <v>2562</v>
      </c>
      <c r="BA97" s="50" t="s">
        <v>2563</v>
      </c>
      <c r="BC97" s="38">
        <f t="shared" si="60"/>
        <v>0</v>
      </c>
      <c r="BD97" s="38">
        <f t="shared" si="61"/>
        <v>0</v>
      </c>
      <c r="BE97" s="38">
        <v>0</v>
      </c>
      <c r="BF97" s="38">
        <f t="shared" si="62"/>
        <v>0</v>
      </c>
      <c r="BH97" s="80">
        <f t="shared" si="63"/>
        <v>0</v>
      </c>
      <c r="BI97" s="80">
        <f t="shared" si="64"/>
        <v>0</v>
      </c>
      <c r="BJ97" s="80">
        <f t="shared" si="65"/>
        <v>0</v>
      </c>
      <c r="BK97" s="80"/>
      <c r="BL97" s="38"/>
      <c r="BW97" s="38">
        <v>21</v>
      </c>
    </row>
    <row r="98" spans="1:75" ht="13.5" customHeight="1">
      <c r="A98" s="78" t="s">
        <v>663</v>
      </c>
      <c r="B98" s="79" t="s">
        <v>93</v>
      </c>
      <c r="C98" s="79" t="s">
        <v>2800</v>
      </c>
      <c r="D98" s="198" t="s">
        <v>2801</v>
      </c>
      <c r="E98" s="199"/>
      <c r="F98" s="79" t="s">
        <v>2567</v>
      </c>
      <c r="G98" s="80">
        <f>'Stavební rozpočet'!G1419</f>
        <v>4</v>
      </c>
      <c r="H98" s="80">
        <f>'Stavební rozpočet'!H1419</f>
        <v>0</v>
      </c>
      <c r="I98" s="80">
        <f t="shared" si="44"/>
        <v>0</v>
      </c>
      <c r="J98" s="80">
        <f>'Stavební rozpočet'!J1419</f>
        <v>0</v>
      </c>
      <c r="K98" s="80">
        <f t="shared" si="45"/>
        <v>0</v>
      </c>
      <c r="L98" s="82" t="s">
        <v>207</v>
      </c>
      <c r="Z98" s="38">
        <f t="shared" si="46"/>
        <v>0</v>
      </c>
      <c r="AB98" s="38">
        <f t="shared" si="47"/>
        <v>0</v>
      </c>
      <c r="AC98" s="38">
        <f t="shared" si="48"/>
        <v>0</v>
      </c>
      <c r="AD98" s="38">
        <f t="shared" si="49"/>
        <v>0</v>
      </c>
      <c r="AE98" s="38">
        <f t="shared" si="50"/>
        <v>0</v>
      </c>
      <c r="AF98" s="38">
        <f t="shared" si="51"/>
        <v>0</v>
      </c>
      <c r="AG98" s="38">
        <f t="shared" si="52"/>
        <v>0</v>
      </c>
      <c r="AH98" s="38">
        <f t="shared" si="53"/>
        <v>0</v>
      </c>
      <c r="AI98" s="50" t="s">
        <v>93</v>
      </c>
      <c r="AJ98" s="80">
        <f t="shared" si="54"/>
        <v>0</v>
      </c>
      <c r="AK98" s="80">
        <f t="shared" si="55"/>
        <v>0</v>
      </c>
      <c r="AL98" s="80">
        <f t="shared" si="56"/>
        <v>0</v>
      </c>
      <c r="AN98" s="38">
        <v>21</v>
      </c>
      <c r="AO98" s="38">
        <f t="shared" si="66"/>
        <v>0</v>
      </c>
      <c r="AP98" s="38">
        <f t="shared" si="67"/>
        <v>0</v>
      </c>
      <c r="AQ98" s="83" t="s">
        <v>132</v>
      </c>
      <c r="AV98" s="38">
        <f t="shared" si="57"/>
        <v>0</v>
      </c>
      <c r="AW98" s="38">
        <f t="shared" si="58"/>
        <v>0</v>
      </c>
      <c r="AX98" s="38">
        <f t="shared" si="59"/>
        <v>0</v>
      </c>
      <c r="AY98" s="72" t="s">
        <v>2561</v>
      </c>
      <c r="AZ98" s="72" t="s">
        <v>2562</v>
      </c>
      <c r="BA98" s="50" t="s">
        <v>2563</v>
      </c>
      <c r="BC98" s="38">
        <f t="shared" si="60"/>
        <v>0</v>
      </c>
      <c r="BD98" s="38">
        <f t="shared" si="61"/>
        <v>0</v>
      </c>
      <c r="BE98" s="38">
        <v>0</v>
      </c>
      <c r="BF98" s="38">
        <f t="shared" si="62"/>
        <v>0</v>
      </c>
      <c r="BH98" s="80">
        <f t="shared" si="63"/>
        <v>0</v>
      </c>
      <c r="BI98" s="80">
        <f t="shared" si="64"/>
        <v>0</v>
      </c>
      <c r="BJ98" s="80">
        <f t="shared" si="65"/>
        <v>0</v>
      </c>
      <c r="BK98" s="80"/>
      <c r="BL98" s="38"/>
      <c r="BW98" s="38">
        <v>21</v>
      </c>
    </row>
    <row r="99" spans="1:75" ht="13.5" customHeight="1">
      <c r="A99" s="78" t="s">
        <v>670</v>
      </c>
      <c r="B99" s="79" t="s">
        <v>93</v>
      </c>
      <c r="C99" s="79" t="s">
        <v>2803</v>
      </c>
      <c r="D99" s="198" t="s">
        <v>2804</v>
      </c>
      <c r="E99" s="199"/>
      <c r="F99" s="79" t="s">
        <v>2567</v>
      </c>
      <c r="G99" s="80">
        <f>'Stavební rozpočet'!G1420</f>
        <v>4</v>
      </c>
      <c r="H99" s="80">
        <f>'Stavební rozpočet'!H1420</f>
        <v>0</v>
      </c>
      <c r="I99" s="80">
        <f t="shared" si="44"/>
        <v>0</v>
      </c>
      <c r="J99" s="80">
        <f>'Stavební rozpočet'!J1420</f>
        <v>0</v>
      </c>
      <c r="K99" s="80">
        <f t="shared" si="45"/>
        <v>0</v>
      </c>
      <c r="L99" s="82" t="s">
        <v>207</v>
      </c>
      <c r="Z99" s="38">
        <f t="shared" si="46"/>
        <v>0</v>
      </c>
      <c r="AB99" s="38">
        <f t="shared" si="47"/>
        <v>0</v>
      </c>
      <c r="AC99" s="38">
        <f t="shared" si="48"/>
        <v>0</v>
      </c>
      <c r="AD99" s="38">
        <f t="shared" si="49"/>
        <v>0</v>
      </c>
      <c r="AE99" s="38">
        <f t="shared" si="50"/>
        <v>0</v>
      </c>
      <c r="AF99" s="38">
        <f t="shared" si="51"/>
        <v>0</v>
      </c>
      <c r="AG99" s="38">
        <f t="shared" si="52"/>
        <v>0</v>
      </c>
      <c r="AH99" s="38">
        <f t="shared" si="53"/>
        <v>0</v>
      </c>
      <c r="AI99" s="50" t="s">
        <v>93</v>
      </c>
      <c r="AJ99" s="80">
        <f t="shared" si="54"/>
        <v>0</v>
      </c>
      <c r="AK99" s="80">
        <f t="shared" si="55"/>
        <v>0</v>
      </c>
      <c r="AL99" s="80">
        <f t="shared" si="56"/>
        <v>0</v>
      </c>
      <c r="AN99" s="38">
        <v>21</v>
      </c>
      <c r="AO99" s="38">
        <f t="shared" si="66"/>
        <v>0</v>
      </c>
      <c r="AP99" s="38">
        <f t="shared" si="67"/>
        <v>0</v>
      </c>
      <c r="AQ99" s="83" t="s">
        <v>132</v>
      </c>
      <c r="AV99" s="38">
        <f t="shared" si="57"/>
        <v>0</v>
      </c>
      <c r="AW99" s="38">
        <f t="shared" si="58"/>
        <v>0</v>
      </c>
      <c r="AX99" s="38">
        <f t="shared" si="59"/>
        <v>0</v>
      </c>
      <c r="AY99" s="72" t="s">
        <v>2561</v>
      </c>
      <c r="AZ99" s="72" t="s">
        <v>2562</v>
      </c>
      <c r="BA99" s="50" t="s">
        <v>2563</v>
      </c>
      <c r="BC99" s="38">
        <f t="shared" si="60"/>
        <v>0</v>
      </c>
      <c r="BD99" s="38">
        <f t="shared" si="61"/>
        <v>0</v>
      </c>
      <c r="BE99" s="38">
        <v>0</v>
      </c>
      <c r="BF99" s="38">
        <f t="shared" si="62"/>
        <v>0</v>
      </c>
      <c r="BH99" s="80">
        <f t="shared" si="63"/>
        <v>0</v>
      </c>
      <c r="BI99" s="80">
        <f t="shared" si="64"/>
        <v>0</v>
      </c>
      <c r="BJ99" s="80">
        <f t="shared" si="65"/>
        <v>0</v>
      </c>
      <c r="BK99" s="80"/>
      <c r="BL99" s="38"/>
      <c r="BW99" s="38">
        <v>21</v>
      </c>
    </row>
    <row r="100" spans="1:75" ht="13.5" customHeight="1">
      <c r="A100" s="1" t="s">
        <v>675</v>
      </c>
      <c r="B100" s="2" t="s">
        <v>93</v>
      </c>
      <c r="C100" s="2" t="s">
        <v>2806</v>
      </c>
      <c r="D100" s="108" t="s">
        <v>2807</v>
      </c>
      <c r="E100" s="103"/>
      <c r="F100" s="2" t="s">
        <v>199</v>
      </c>
      <c r="G100" s="38">
        <f>'Stavební rozpočet'!G1421</f>
        <v>15</v>
      </c>
      <c r="H100" s="38">
        <f>'Stavební rozpočet'!H1421</f>
        <v>0</v>
      </c>
      <c r="I100" s="38">
        <f t="shared" si="44"/>
        <v>0</v>
      </c>
      <c r="J100" s="38">
        <f>'Stavební rozpočet'!J1421</f>
        <v>0</v>
      </c>
      <c r="K100" s="38">
        <f t="shared" si="45"/>
        <v>0</v>
      </c>
      <c r="L100" s="71" t="s">
        <v>207</v>
      </c>
      <c r="Z100" s="38">
        <f t="shared" si="46"/>
        <v>0</v>
      </c>
      <c r="AB100" s="38">
        <f t="shared" si="47"/>
        <v>0</v>
      </c>
      <c r="AC100" s="38">
        <f t="shared" si="48"/>
        <v>0</v>
      </c>
      <c r="AD100" s="38">
        <f t="shared" si="49"/>
        <v>0</v>
      </c>
      <c r="AE100" s="38">
        <f t="shared" si="50"/>
        <v>0</v>
      </c>
      <c r="AF100" s="38">
        <f t="shared" si="51"/>
        <v>0</v>
      </c>
      <c r="AG100" s="38">
        <f t="shared" si="52"/>
        <v>0</v>
      </c>
      <c r="AH100" s="38">
        <f t="shared" si="53"/>
        <v>0</v>
      </c>
      <c r="AI100" s="50" t="s">
        <v>93</v>
      </c>
      <c r="AJ100" s="38">
        <f t="shared" si="54"/>
        <v>0</v>
      </c>
      <c r="AK100" s="38">
        <f t="shared" si="55"/>
        <v>0</v>
      </c>
      <c r="AL100" s="38">
        <f t="shared" si="56"/>
        <v>0</v>
      </c>
      <c r="AN100" s="38">
        <v>21</v>
      </c>
      <c r="AO100" s="38">
        <f>H100*0</f>
        <v>0</v>
      </c>
      <c r="AP100" s="38">
        <f>H100*(1-0)</f>
        <v>0</v>
      </c>
      <c r="AQ100" s="72" t="s">
        <v>132</v>
      </c>
      <c r="AV100" s="38">
        <f t="shared" si="57"/>
        <v>0</v>
      </c>
      <c r="AW100" s="38">
        <f t="shared" si="58"/>
        <v>0</v>
      </c>
      <c r="AX100" s="38">
        <f t="shared" si="59"/>
        <v>0</v>
      </c>
      <c r="AY100" s="72" t="s">
        <v>2561</v>
      </c>
      <c r="AZ100" s="72" t="s">
        <v>2562</v>
      </c>
      <c r="BA100" s="50" t="s">
        <v>2563</v>
      </c>
      <c r="BC100" s="38">
        <f t="shared" si="60"/>
        <v>0</v>
      </c>
      <c r="BD100" s="38">
        <f t="shared" si="61"/>
        <v>0</v>
      </c>
      <c r="BE100" s="38">
        <v>0</v>
      </c>
      <c r="BF100" s="38">
        <f t="shared" si="62"/>
        <v>0</v>
      </c>
      <c r="BH100" s="38">
        <f t="shared" si="63"/>
        <v>0</v>
      </c>
      <c r="BI100" s="38">
        <f t="shared" si="64"/>
        <v>0</v>
      </c>
      <c r="BJ100" s="38">
        <f t="shared" si="65"/>
        <v>0</v>
      </c>
      <c r="BK100" s="38"/>
      <c r="BL100" s="38"/>
      <c r="BW100" s="38">
        <v>21</v>
      </c>
    </row>
    <row r="101" spans="1:75" ht="27" customHeight="1">
      <c r="A101" s="1" t="s">
        <v>680</v>
      </c>
      <c r="B101" s="2" t="s">
        <v>93</v>
      </c>
      <c r="C101" s="2" t="s">
        <v>2746</v>
      </c>
      <c r="D101" s="108" t="s">
        <v>2747</v>
      </c>
      <c r="E101" s="103"/>
      <c r="F101" s="2" t="s">
        <v>199</v>
      </c>
      <c r="G101" s="38">
        <f>'Stavební rozpočet'!G1422</f>
        <v>75</v>
      </c>
      <c r="H101" s="38">
        <f>'Stavební rozpočet'!H1422</f>
        <v>0</v>
      </c>
      <c r="I101" s="38">
        <f t="shared" si="44"/>
        <v>0</v>
      </c>
      <c r="J101" s="38">
        <f>'Stavební rozpočet'!J1422</f>
        <v>0</v>
      </c>
      <c r="K101" s="38">
        <f t="shared" si="45"/>
        <v>0</v>
      </c>
      <c r="L101" s="71" t="s">
        <v>207</v>
      </c>
      <c r="Z101" s="38">
        <f t="shared" si="46"/>
        <v>0</v>
      </c>
      <c r="AB101" s="38">
        <f t="shared" si="47"/>
        <v>0</v>
      </c>
      <c r="AC101" s="38">
        <f t="shared" si="48"/>
        <v>0</v>
      </c>
      <c r="AD101" s="38">
        <f t="shared" si="49"/>
        <v>0</v>
      </c>
      <c r="AE101" s="38">
        <f t="shared" si="50"/>
        <v>0</v>
      </c>
      <c r="AF101" s="38">
        <f t="shared" si="51"/>
        <v>0</v>
      </c>
      <c r="AG101" s="38">
        <f t="shared" si="52"/>
        <v>0</v>
      </c>
      <c r="AH101" s="38">
        <f t="shared" si="53"/>
        <v>0</v>
      </c>
      <c r="AI101" s="50" t="s">
        <v>93</v>
      </c>
      <c r="AJ101" s="38">
        <f t="shared" si="54"/>
        <v>0</v>
      </c>
      <c r="AK101" s="38">
        <f t="shared" si="55"/>
        <v>0</v>
      </c>
      <c r="AL101" s="38">
        <f t="shared" si="56"/>
        <v>0</v>
      </c>
      <c r="AN101" s="38">
        <v>21</v>
      </c>
      <c r="AO101" s="38">
        <f>H101*0</f>
        <v>0</v>
      </c>
      <c r="AP101" s="38">
        <f>H101*(1-0)</f>
        <v>0</v>
      </c>
      <c r="AQ101" s="72" t="s">
        <v>132</v>
      </c>
      <c r="AV101" s="38">
        <f t="shared" si="57"/>
        <v>0</v>
      </c>
      <c r="AW101" s="38">
        <f t="shared" si="58"/>
        <v>0</v>
      </c>
      <c r="AX101" s="38">
        <f t="shared" si="59"/>
        <v>0</v>
      </c>
      <c r="AY101" s="72" t="s">
        <v>2561</v>
      </c>
      <c r="AZ101" s="72" t="s">
        <v>2562</v>
      </c>
      <c r="BA101" s="50" t="s">
        <v>2563</v>
      </c>
      <c r="BC101" s="38">
        <f t="shared" si="60"/>
        <v>0</v>
      </c>
      <c r="BD101" s="38">
        <f t="shared" si="61"/>
        <v>0</v>
      </c>
      <c r="BE101" s="38">
        <v>0</v>
      </c>
      <c r="BF101" s="38">
        <f t="shared" si="62"/>
        <v>0</v>
      </c>
      <c r="BH101" s="38">
        <f t="shared" si="63"/>
        <v>0</v>
      </c>
      <c r="BI101" s="38">
        <f t="shared" si="64"/>
        <v>0</v>
      </c>
      <c r="BJ101" s="38">
        <f t="shared" si="65"/>
        <v>0</v>
      </c>
      <c r="BK101" s="38"/>
      <c r="BL101" s="38"/>
      <c r="BW101" s="38">
        <v>21</v>
      </c>
    </row>
    <row r="102" spans="1:75" ht="13.5" customHeight="1">
      <c r="A102" s="1" t="s">
        <v>691</v>
      </c>
      <c r="B102" s="2" t="s">
        <v>93</v>
      </c>
      <c r="C102" s="2" t="s">
        <v>2806</v>
      </c>
      <c r="D102" s="108" t="s">
        <v>2807</v>
      </c>
      <c r="E102" s="103"/>
      <c r="F102" s="2" t="s">
        <v>199</v>
      </c>
      <c r="G102" s="38">
        <f>'Stavební rozpočet'!G1423</f>
        <v>3</v>
      </c>
      <c r="H102" s="38">
        <f>'Stavební rozpočet'!H1423</f>
        <v>0</v>
      </c>
      <c r="I102" s="38">
        <f t="shared" si="44"/>
        <v>0</v>
      </c>
      <c r="J102" s="38">
        <f>'Stavební rozpočet'!J1423</f>
        <v>0</v>
      </c>
      <c r="K102" s="38">
        <f t="shared" si="45"/>
        <v>0</v>
      </c>
      <c r="L102" s="71" t="s">
        <v>207</v>
      </c>
      <c r="Z102" s="38">
        <f t="shared" si="46"/>
        <v>0</v>
      </c>
      <c r="AB102" s="38">
        <f t="shared" si="47"/>
        <v>0</v>
      </c>
      <c r="AC102" s="38">
        <f t="shared" si="48"/>
        <v>0</v>
      </c>
      <c r="AD102" s="38">
        <f t="shared" si="49"/>
        <v>0</v>
      </c>
      <c r="AE102" s="38">
        <f t="shared" si="50"/>
        <v>0</v>
      </c>
      <c r="AF102" s="38">
        <f t="shared" si="51"/>
        <v>0</v>
      </c>
      <c r="AG102" s="38">
        <f t="shared" si="52"/>
        <v>0</v>
      </c>
      <c r="AH102" s="38">
        <f t="shared" si="53"/>
        <v>0</v>
      </c>
      <c r="AI102" s="50" t="s">
        <v>93</v>
      </c>
      <c r="AJ102" s="38">
        <f t="shared" si="54"/>
        <v>0</v>
      </c>
      <c r="AK102" s="38">
        <f t="shared" si="55"/>
        <v>0</v>
      </c>
      <c r="AL102" s="38">
        <f t="shared" si="56"/>
        <v>0</v>
      </c>
      <c r="AN102" s="38">
        <v>21</v>
      </c>
      <c r="AO102" s="38">
        <f>H102*0</f>
        <v>0</v>
      </c>
      <c r="AP102" s="38">
        <f>H102*(1-0)</f>
        <v>0</v>
      </c>
      <c r="AQ102" s="72" t="s">
        <v>132</v>
      </c>
      <c r="AV102" s="38">
        <f t="shared" si="57"/>
        <v>0</v>
      </c>
      <c r="AW102" s="38">
        <f t="shared" si="58"/>
        <v>0</v>
      </c>
      <c r="AX102" s="38">
        <f t="shared" si="59"/>
        <v>0</v>
      </c>
      <c r="AY102" s="72" t="s">
        <v>2561</v>
      </c>
      <c r="AZ102" s="72" t="s">
        <v>2562</v>
      </c>
      <c r="BA102" s="50" t="s">
        <v>2563</v>
      </c>
      <c r="BC102" s="38">
        <f t="shared" si="60"/>
        <v>0</v>
      </c>
      <c r="BD102" s="38">
        <f t="shared" si="61"/>
        <v>0</v>
      </c>
      <c r="BE102" s="38">
        <v>0</v>
      </c>
      <c r="BF102" s="38">
        <f t="shared" si="62"/>
        <v>0</v>
      </c>
      <c r="BH102" s="38">
        <f t="shared" si="63"/>
        <v>0</v>
      </c>
      <c r="BI102" s="38">
        <f t="shared" si="64"/>
        <v>0</v>
      </c>
      <c r="BJ102" s="38">
        <f t="shared" si="65"/>
        <v>0</v>
      </c>
      <c r="BK102" s="38"/>
      <c r="BL102" s="38"/>
      <c r="BW102" s="38">
        <v>21</v>
      </c>
    </row>
    <row r="103" spans="1:75" ht="27" customHeight="1">
      <c r="A103" s="1" t="s">
        <v>696</v>
      </c>
      <c r="B103" s="2" t="s">
        <v>93</v>
      </c>
      <c r="C103" s="2" t="s">
        <v>2746</v>
      </c>
      <c r="D103" s="108" t="s">
        <v>2747</v>
      </c>
      <c r="E103" s="103"/>
      <c r="F103" s="2" t="s">
        <v>199</v>
      </c>
      <c r="G103" s="38">
        <f>'Stavební rozpočet'!G1424</f>
        <v>15</v>
      </c>
      <c r="H103" s="38">
        <f>'Stavební rozpočet'!H1424</f>
        <v>0</v>
      </c>
      <c r="I103" s="38">
        <f t="shared" si="44"/>
        <v>0</v>
      </c>
      <c r="J103" s="38">
        <f>'Stavební rozpočet'!J1424</f>
        <v>0</v>
      </c>
      <c r="K103" s="38">
        <f t="shared" si="45"/>
        <v>0</v>
      </c>
      <c r="L103" s="71" t="s">
        <v>207</v>
      </c>
      <c r="Z103" s="38">
        <f t="shared" si="46"/>
        <v>0</v>
      </c>
      <c r="AB103" s="38">
        <f t="shared" si="47"/>
        <v>0</v>
      </c>
      <c r="AC103" s="38">
        <f t="shared" si="48"/>
        <v>0</v>
      </c>
      <c r="AD103" s="38">
        <f t="shared" si="49"/>
        <v>0</v>
      </c>
      <c r="AE103" s="38">
        <f t="shared" si="50"/>
        <v>0</v>
      </c>
      <c r="AF103" s="38">
        <f t="shared" si="51"/>
        <v>0</v>
      </c>
      <c r="AG103" s="38">
        <f t="shared" si="52"/>
        <v>0</v>
      </c>
      <c r="AH103" s="38">
        <f t="shared" si="53"/>
        <v>0</v>
      </c>
      <c r="AI103" s="50" t="s">
        <v>93</v>
      </c>
      <c r="AJ103" s="38">
        <f t="shared" si="54"/>
        <v>0</v>
      </c>
      <c r="AK103" s="38">
        <f t="shared" si="55"/>
        <v>0</v>
      </c>
      <c r="AL103" s="38">
        <f t="shared" si="56"/>
        <v>0</v>
      </c>
      <c r="AN103" s="38">
        <v>21</v>
      </c>
      <c r="AO103" s="38">
        <f>H103*0</f>
        <v>0</v>
      </c>
      <c r="AP103" s="38">
        <f>H103*(1-0)</f>
        <v>0</v>
      </c>
      <c r="AQ103" s="72" t="s">
        <v>132</v>
      </c>
      <c r="AV103" s="38">
        <f t="shared" si="57"/>
        <v>0</v>
      </c>
      <c r="AW103" s="38">
        <f t="shared" si="58"/>
        <v>0</v>
      </c>
      <c r="AX103" s="38">
        <f t="shared" si="59"/>
        <v>0</v>
      </c>
      <c r="AY103" s="72" t="s">
        <v>2561</v>
      </c>
      <c r="AZ103" s="72" t="s">
        <v>2562</v>
      </c>
      <c r="BA103" s="50" t="s">
        <v>2563</v>
      </c>
      <c r="BC103" s="38">
        <f t="shared" si="60"/>
        <v>0</v>
      </c>
      <c r="BD103" s="38">
        <f t="shared" si="61"/>
        <v>0</v>
      </c>
      <c r="BE103" s="38">
        <v>0</v>
      </c>
      <c r="BF103" s="38">
        <f t="shared" si="62"/>
        <v>0</v>
      </c>
      <c r="BH103" s="38">
        <f t="shared" si="63"/>
        <v>0</v>
      </c>
      <c r="BI103" s="38">
        <f t="shared" si="64"/>
        <v>0</v>
      </c>
      <c r="BJ103" s="38">
        <f t="shared" si="65"/>
        <v>0</v>
      </c>
      <c r="BK103" s="38"/>
      <c r="BL103" s="38"/>
      <c r="BW103" s="38">
        <v>21</v>
      </c>
    </row>
    <row r="104" spans="1:75" ht="27" customHeight="1">
      <c r="A104" s="78" t="s">
        <v>701</v>
      </c>
      <c r="B104" s="79" t="s">
        <v>93</v>
      </c>
      <c r="C104" s="79" t="s">
        <v>2812</v>
      </c>
      <c r="D104" s="198" t="s">
        <v>2813</v>
      </c>
      <c r="E104" s="199"/>
      <c r="F104" s="79" t="s">
        <v>2567</v>
      </c>
      <c r="G104" s="80">
        <f>'Stavební rozpočet'!G1425</f>
        <v>3</v>
      </c>
      <c r="H104" s="80">
        <f>'Stavební rozpočet'!H1425</f>
        <v>0</v>
      </c>
      <c r="I104" s="80">
        <f t="shared" si="44"/>
        <v>0</v>
      </c>
      <c r="J104" s="80">
        <f>'Stavební rozpočet'!J1425</f>
        <v>0</v>
      </c>
      <c r="K104" s="80">
        <f t="shared" si="45"/>
        <v>0</v>
      </c>
      <c r="L104" s="82" t="s">
        <v>207</v>
      </c>
      <c r="Z104" s="38">
        <f t="shared" si="46"/>
        <v>0</v>
      </c>
      <c r="AB104" s="38">
        <f t="shared" si="47"/>
        <v>0</v>
      </c>
      <c r="AC104" s="38">
        <f t="shared" si="48"/>
        <v>0</v>
      </c>
      <c r="AD104" s="38">
        <f t="shared" si="49"/>
        <v>0</v>
      </c>
      <c r="AE104" s="38">
        <f t="shared" si="50"/>
        <v>0</v>
      </c>
      <c r="AF104" s="38">
        <f t="shared" si="51"/>
        <v>0</v>
      </c>
      <c r="AG104" s="38">
        <f t="shared" si="52"/>
        <v>0</v>
      </c>
      <c r="AH104" s="38">
        <f t="shared" si="53"/>
        <v>0</v>
      </c>
      <c r="AI104" s="50" t="s">
        <v>93</v>
      </c>
      <c r="AJ104" s="80">
        <f t="shared" si="54"/>
        <v>0</v>
      </c>
      <c r="AK104" s="80">
        <f t="shared" si="55"/>
        <v>0</v>
      </c>
      <c r="AL104" s="80">
        <f t="shared" si="56"/>
        <v>0</v>
      </c>
      <c r="AN104" s="38">
        <v>21</v>
      </c>
      <c r="AO104" s="38">
        <f>H104*1</f>
        <v>0</v>
      </c>
      <c r="AP104" s="38">
        <f>H104*(1-1)</f>
        <v>0</v>
      </c>
      <c r="AQ104" s="83" t="s">
        <v>132</v>
      </c>
      <c r="AV104" s="38">
        <f t="shared" si="57"/>
        <v>0</v>
      </c>
      <c r="AW104" s="38">
        <f t="shared" si="58"/>
        <v>0</v>
      </c>
      <c r="AX104" s="38">
        <f t="shared" si="59"/>
        <v>0</v>
      </c>
      <c r="AY104" s="72" t="s">
        <v>2561</v>
      </c>
      <c r="AZ104" s="72" t="s">
        <v>2562</v>
      </c>
      <c r="BA104" s="50" t="s">
        <v>2563</v>
      </c>
      <c r="BC104" s="38">
        <f t="shared" si="60"/>
        <v>0</v>
      </c>
      <c r="BD104" s="38">
        <f t="shared" si="61"/>
        <v>0</v>
      </c>
      <c r="BE104" s="38">
        <v>0</v>
      </c>
      <c r="BF104" s="38">
        <f t="shared" si="62"/>
        <v>0</v>
      </c>
      <c r="BH104" s="80">
        <f t="shared" si="63"/>
        <v>0</v>
      </c>
      <c r="BI104" s="80">
        <f t="shared" si="64"/>
        <v>0</v>
      </c>
      <c r="BJ104" s="80">
        <f t="shared" si="65"/>
        <v>0</v>
      </c>
      <c r="BK104" s="80"/>
      <c r="BL104" s="38"/>
      <c r="BW104" s="38">
        <v>21</v>
      </c>
    </row>
    <row r="105" spans="1:75" ht="13.5" customHeight="1">
      <c r="A105" s="1" t="s">
        <v>705</v>
      </c>
      <c r="B105" s="2" t="s">
        <v>93</v>
      </c>
      <c r="C105" s="2" t="s">
        <v>2806</v>
      </c>
      <c r="D105" s="108" t="s">
        <v>2807</v>
      </c>
      <c r="E105" s="103"/>
      <c r="F105" s="2" t="s">
        <v>199</v>
      </c>
      <c r="G105" s="38">
        <f>'Stavební rozpočet'!G1426</f>
        <v>3</v>
      </c>
      <c r="H105" s="38">
        <f>'Stavební rozpočet'!H1426</f>
        <v>0</v>
      </c>
      <c r="I105" s="38">
        <f t="shared" si="44"/>
        <v>0</v>
      </c>
      <c r="J105" s="38">
        <f>'Stavební rozpočet'!J1426</f>
        <v>0</v>
      </c>
      <c r="K105" s="38">
        <f t="shared" si="45"/>
        <v>0</v>
      </c>
      <c r="L105" s="71" t="s">
        <v>207</v>
      </c>
      <c r="Z105" s="38">
        <f t="shared" si="46"/>
        <v>0</v>
      </c>
      <c r="AB105" s="38">
        <f t="shared" si="47"/>
        <v>0</v>
      </c>
      <c r="AC105" s="38">
        <f t="shared" si="48"/>
        <v>0</v>
      </c>
      <c r="AD105" s="38">
        <f t="shared" si="49"/>
        <v>0</v>
      </c>
      <c r="AE105" s="38">
        <f t="shared" si="50"/>
        <v>0</v>
      </c>
      <c r="AF105" s="38">
        <f t="shared" si="51"/>
        <v>0</v>
      </c>
      <c r="AG105" s="38">
        <f t="shared" si="52"/>
        <v>0</v>
      </c>
      <c r="AH105" s="38">
        <f t="shared" si="53"/>
        <v>0</v>
      </c>
      <c r="AI105" s="50" t="s">
        <v>93</v>
      </c>
      <c r="AJ105" s="38">
        <f t="shared" si="54"/>
        <v>0</v>
      </c>
      <c r="AK105" s="38">
        <f t="shared" si="55"/>
        <v>0</v>
      </c>
      <c r="AL105" s="38">
        <f t="shared" si="56"/>
        <v>0</v>
      </c>
      <c r="AN105" s="38">
        <v>21</v>
      </c>
      <c r="AO105" s="38">
        <f>H105*0</f>
        <v>0</v>
      </c>
      <c r="AP105" s="38">
        <f>H105*(1-0)</f>
        <v>0</v>
      </c>
      <c r="AQ105" s="72" t="s">
        <v>132</v>
      </c>
      <c r="AV105" s="38">
        <f t="shared" si="57"/>
        <v>0</v>
      </c>
      <c r="AW105" s="38">
        <f t="shared" si="58"/>
        <v>0</v>
      </c>
      <c r="AX105" s="38">
        <f t="shared" si="59"/>
        <v>0</v>
      </c>
      <c r="AY105" s="72" t="s">
        <v>2561</v>
      </c>
      <c r="AZ105" s="72" t="s">
        <v>2562</v>
      </c>
      <c r="BA105" s="50" t="s">
        <v>2563</v>
      </c>
      <c r="BC105" s="38">
        <f t="shared" si="60"/>
        <v>0</v>
      </c>
      <c r="BD105" s="38">
        <f t="shared" si="61"/>
        <v>0</v>
      </c>
      <c r="BE105" s="38">
        <v>0</v>
      </c>
      <c r="BF105" s="38">
        <f t="shared" si="62"/>
        <v>0</v>
      </c>
      <c r="BH105" s="38">
        <f t="shared" si="63"/>
        <v>0</v>
      </c>
      <c r="BI105" s="38">
        <f t="shared" si="64"/>
        <v>0</v>
      </c>
      <c r="BJ105" s="38">
        <f t="shared" si="65"/>
        <v>0</v>
      </c>
      <c r="BK105" s="38"/>
      <c r="BL105" s="38"/>
      <c r="BW105" s="38">
        <v>21</v>
      </c>
    </row>
    <row r="106" spans="1:75" ht="27" customHeight="1">
      <c r="A106" s="1" t="s">
        <v>710</v>
      </c>
      <c r="B106" s="2" t="s">
        <v>93</v>
      </c>
      <c r="C106" s="2" t="s">
        <v>2746</v>
      </c>
      <c r="D106" s="108" t="s">
        <v>2747</v>
      </c>
      <c r="E106" s="103"/>
      <c r="F106" s="2" t="s">
        <v>199</v>
      </c>
      <c r="G106" s="38">
        <f>'Stavební rozpočet'!G1427</f>
        <v>15</v>
      </c>
      <c r="H106" s="38">
        <f>'Stavební rozpočet'!H1427</f>
        <v>0</v>
      </c>
      <c r="I106" s="38">
        <f t="shared" si="44"/>
        <v>0</v>
      </c>
      <c r="J106" s="38">
        <f>'Stavební rozpočet'!J1427</f>
        <v>0</v>
      </c>
      <c r="K106" s="38">
        <f t="shared" si="45"/>
        <v>0</v>
      </c>
      <c r="L106" s="71" t="s">
        <v>207</v>
      </c>
      <c r="Z106" s="38">
        <f t="shared" si="46"/>
        <v>0</v>
      </c>
      <c r="AB106" s="38">
        <f t="shared" si="47"/>
        <v>0</v>
      </c>
      <c r="AC106" s="38">
        <f t="shared" si="48"/>
        <v>0</v>
      </c>
      <c r="AD106" s="38">
        <f t="shared" si="49"/>
        <v>0</v>
      </c>
      <c r="AE106" s="38">
        <f t="shared" si="50"/>
        <v>0</v>
      </c>
      <c r="AF106" s="38">
        <f t="shared" si="51"/>
        <v>0</v>
      </c>
      <c r="AG106" s="38">
        <f t="shared" si="52"/>
        <v>0</v>
      </c>
      <c r="AH106" s="38">
        <f t="shared" si="53"/>
        <v>0</v>
      </c>
      <c r="AI106" s="50" t="s">
        <v>93</v>
      </c>
      <c r="AJ106" s="38">
        <f t="shared" si="54"/>
        <v>0</v>
      </c>
      <c r="AK106" s="38">
        <f t="shared" si="55"/>
        <v>0</v>
      </c>
      <c r="AL106" s="38">
        <f t="shared" si="56"/>
        <v>0</v>
      </c>
      <c r="AN106" s="38">
        <v>21</v>
      </c>
      <c r="AO106" s="38">
        <f>H106*0</f>
        <v>0</v>
      </c>
      <c r="AP106" s="38">
        <f>H106*(1-0)</f>
        <v>0</v>
      </c>
      <c r="AQ106" s="72" t="s">
        <v>132</v>
      </c>
      <c r="AV106" s="38">
        <f t="shared" si="57"/>
        <v>0</v>
      </c>
      <c r="AW106" s="38">
        <f t="shared" si="58"/>
        <v>0</v>
      </c>
      <c r="AX106" s="38">
        <f t="shared" si="59"/>
        <v>0</v>
      </c>
      <c r="AY106" s="72" t="s">
        <v>2561</v>
      </c>
      <c r="AZ106" s="72" t="s">
        <v>2562</v>
      </c>
      <c r="BA106" s="50" t="s">
        <v>2563</v>
      </c>
      <c r="BC106" s="38">
        <f t="shared" si="60"/>
        <v>0</v>
      </c>
      <c r="BD106" s="38">
        <f t="shared" si="61"/>
        <v>0</v>
      </c>
      <c r="BE106" s="38">
        <v>0</v>
      </c>
      <c r="BF106" s="38">
        <f t="shared" si="62"/>
        <v>0</v>
      </c>
      <c r="BH106" s="38">
        <f t="shared" si="63"/>
        <v>0</v>
      </c>
      <c r="BI106" s="38">
        <f t="shared" si="64"/>
        <v>0</v>
      </c>
      <c r="BJ106" s="38">
        <f t="shared" si="65"/>
        <v>0</v>
      </c>
      <c r="BK106" s="38"/>
      <c r="BL106" s="38"/>
      <c r="BW106" s="38">
        <v>21</v>
      </c>
    </row>
    <row r="107" spans="1:75" ht="13.5" customHeight="1">
      <c r="A107" s="1" t="s">
        <v>715</v>
      </c>
      <c r="B107" s="2" t="s">
        <v>93</v>
      </c>
      <c r="C107" s="2" t="s">
        <v>2817</v>
      </c>
      <c r="D107" s="108" t="s">
        <v>2818</v>
      </c>
      <c r="E107" s="103"/>
      <c r="F107" s="2" t="s">
        <v>2286</v>
      </c>
      <c r="G107" s="38">
        <f>'Stavební rozpočet'!G1428</f>
        <v>20</v>
      </c>
      <c r="H107" s="38">
        <f>'Stavební rozpočet'!H1428</f>
        <v>0</v>
      </c>
      <c r="I107" s="38">
        <f t="shared" si="44"/>
        <v>0</v>
      </c>
      <c r="J107" s="38">
        <f>'Stavební rozpočet'!J1428</f>
        <v>0</v>
      </c>
      <c r="K107" s="38">
        <f t="shared" si="45"/>
        <v>0</v>
      </c>
      <c r="L107" s="71" t="s">
        <v>207</v>
      </c>
      <c r="Z107" s="38">
        <f t="shared" si="46"/>
        <v>0</v>
      </c>
      <c r="AB107" s="38">
        <f t="shared" si="47"/>
        <v>0</v>
      </c>
      <c r="AC107" s="38">
        <f t="shared" si="48"/>
        <v>0</v>
      </c>
      <c r="AD107" s="38">
        <f t="shared" si="49"/>
        <v>0</v>
      </c>
      <c r="AE107" s="38">
        <f t="shared" si="50"/>
        <v>0</v>
      </c>
      <c r="AF107" s="38">
        <f t="shared" si="51"/>
        <v>0</v>
      </c>
      <c r="AG107" s="38">
        <f t="shared" si="52"/>
        <v>0</v>
      </c>
      <c r="AH107" s="38">
        <f t="shared" si="53"/>
        <v>0</v>
      </c>
      <c r="AI107" s="50" t="s">
        <v>93</v>
      </c>
      <c r="AJ107" s="38">
        <f t="shared" si="54"/>
        <v>0</v>
      </c>
      <c r="AK107" s="38">
        <f t="shared" si="55"/>
        <v>0</v>
      </c>
      <c r="AL107" s="38">
        <f t="shared" si="56"/>
        <v>0</v>
      </c>
      <c r="AN107" s="38">
        <v>21</v>
      </c>
      <c r="AO107" s="38">
        <f>H107*0</f>
        <v>0</v>
      </c>
      <c r="AP107" s="38">
        <f>H107*(1-0)</f>
        <v>0</v>
      </c>
      <c r="AQ107" s="72" t="s">
        <v>132</v>
      </c>
      <c r="AV107" s="38">
        <f t="shared" si="57"/>
        <v>0</v>
      </c>
      <c r="AW107" s="38">
        <f t="shared" si="58"/>
        <v>0</v>
      </c>
      <c r="AX107" s="38">
        <f t="shared" si="59"/>
        <v>0</v>
      </c>
      <c r="AY107" s="72" t="s">
        <v>2561</v>
      </c>
      <c r="AZ107" s="72" t="s">
        <v>2562</v>
      </c>
      <c r="BA107" s="50" t="s">
        <v>2563</v>
      </c>
      <c r="BC107" s="38">
        <f t="shared" si="60"/>
        <v>0</v>
      </c>
      <c r="BD107" s="38">
        <f t="shared" si="61"/>
        <v>0</v>
      </c>
      <c r="BE107" s="38">
        <v>0</v>
      </c>
      <c r="BF107" s="38">
        <f t="shared" si="62"/>
        <v>0</v>
      </c>
      <c r="BH107" s="38">
        <f t="shared" si="63"/>
        <v>0</v>
      </c>
      <c r="BI107" s="38">
        <f t="shared" si="64"/>
        <v>0</v>
      </c>
      <c r="BJ107" s="38">
        <f t="shared" si="65"/>
        <v>0</v>
      </c>
      <c r="BK107" s="38"/>
      <c r="BL107" s="38"/>
      <c r="BW107" s="38">
        <v>21</v>
      </c>
    </row>
    <row r="108" spans="1:12" ht="13.5" customHeight="1">
      <c r="A108" s="74"/>
      <c r="D108" s="194" t="s">
        <v>2819</v>
      </c>
      <c r="E108" s="195"/>
      <c r="F108" s="195"/>
      <c r="G108" s="195"/>
      <c r="H108" s="195"/>
      <c r="I108" s="195"/>
      <c r="J108" s="195"/>
      <c r="K108" s="195"/>
      <c r="L108" s="197"/>
    </row>
    <row r="109" spans="1:75" ht="13.5" customHeight="1">
      <c r="A109" s="78" t="s">
        <v>720</v>
      </c>
      <c r="B109" s="79" t="s">
        <v>93</v>
      </c>
      <c r="C109" s="79" t="s">
        <v>2821</v>
      </c>
      <c r="D109" s="198" t="s">
        <v>2822</v>
      </c>
      <c r="E109" s="199"/>
      <c r="F109" s="79" t="s">
        <v>2823</v>
      </c>
      <c r="G109" s="80">
        <f>'Stavební rozpočet'!G1430</f>
        <v>1</v>
      </c>
      <c r="H109" s="80">
        <f>'Stavební rozpočet'!H1430</f>
        <v>0</v>
      </c>
      <c r="I109" s="80">
        <f>G109*H109</f>
        <v>0</v>
      </c>
      <c r="J109" s="80">
        <f>'Stavební rozpočet'!J1430</f>
        <v>0</v>
      </c>
      <c r="K109" s="80">
        <f>G109*J109</f>
        <v>0</v>
      </c>
      <c r="L109" s="82" t="s">
        <v>207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93</v>
      </c>
      <c r="AJ109" s="80">
        <f>IF(AN109=0,I109,0)</f>
        <v>0</v>
      </c>
      <c r="AK109" s="80">
        <f>IF(AN109=12,I109,0)</f>
        <v>0</v>
      </c>
      <c r="AL109" s="80">
        <f>IF(AN109=21,I109,0)</f>
        <v>0</v>
      </c>
      <c r="AN109" s="38">
        <v>21</v>
      </c>
      <c r="AO109" s="38">
        <f>H109*1</f>
        <v>0</v>
      </c>
      <c r="AP109" s="38">
        <f>H109*(1-1)</f>
        <v>0</v>
      </c>
      <c r="AQ109" s="83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2561</v>
      </c>
      <c r="AZ109" s="72" t="s">
        <v>2562</v>
      </c>
      <c r="BA109" s="50" t="s">
        <v>2563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0</v>
      </c>
      <c r="BH109" s="80">
        <f>G109*AO109</f>
        <v>0</v>
      </c>
      <c r="BI109" s="80">
        <f>G109*AP109</f>
        <v>0</v>
      </c>
      <c r="BJ109" s="80">
        <f>G109*H109</f>
        <v>0</v>
      </c>
      <c r="BK109" s="80"/>
      <c r="BL109" s="38"/>
      <c r="BW109" s="38">
        <v>21</v>
      </c>
    </row>
    <row r="110" spans="1:47" ht="15">
      <c r="A110" s="65" t="s">
        <v>4</v>
      </c>
      <c r="B110" s="66" t="s">
        <v>93</v>
      </c>
      <c r="C110" s="66" t="s">
        <v>2824</v>
      </c>
      <c r="D110" s="192" t="s">
        <v>2825</v>
      </c>
      <c r="E110" s="193"/>
      <c r="F110" s="67" t="s">
        <v>78</v>
      </c>
      <c r="G110" s="67" t="s">
        <v>78</v>
      </c>
      <c r="H110" s="67" t="s">
        <v>78</v>
      </c>
      <c r="I110" s="44">
        <f>SUM(I111:I203)</f>
        <v>0</v>
      </c>
      <c r="J110" s="50" t="s">
        <v>4</v>
      </c>
      <c r="K110" s="44">
        <f>SUM(K111:K203)</f>
        <v>0</v>
      </c>
      <c r="L110" s="69" t="s">
        <v>4</v>
      </c>
      <c r="AI110" s="50" t="s">
        <v>93</v>
      </c>
      <c r="AS110" s="44">
        <f>SUM(AJ111:AJ203)</f>
        <v>0</v>
      </c>
      <c r="AT110" s="44">
        <f>SUM(AK111:AK203)</f>
        <v>0</v>
      </c>
      <c r="AU110" s="44">
        <f>SUM(AL111:AL203)</f>
        <v>0</v>
      </c>
    </row>
    <row r="111" spans="1:75" ht="13.5" customHeight="1">
      <c r="A111" s="1" t="s">
        <v>725</v>
      </c>
      <c r="B111" s="2" t="s">
        <v>93</v>
      </c>
      <c r="C111" s="2" t="s">
        <v>2817</v>
      </c>
      <c r="D111" s="108" t="s">
        <v>2818</v>
      </c>
      <c r="E111" s="103"/>
      <c r="F111" s="2" t="s">
        <v>2286</v>
      </c>
      <c r="G111" s="38">
        <f>'Stavební rozpočet'!G1432</f>
        <v>6</v>
      </c>
      <c r="H111" s="38">
        <f>'Stavební rozpočet'!H1432</f>
        <v>0</v>
      </c>
      <c r="I111" s="38">
        <f>G111*H111</f>
        <v>0</v>
      </c>
      <c r="J111" s="38">
        <f>'Stavební rozpočet'!J1432</f>
        <v>0</v>
      </c>
      <c r="K111" s="38">
        <f>G111*J111</f>
        <v>0</v>
      </c>
      <c r="L111" s="71" t="s">
        <v>207</v>
      </c>
      <c r="Z111" s="38">
        <f>IF(AQ111="5",BJ111,0)</f>
        <v>0</v>
      </c>
      <c r="AB111" s="38">
        <f>IF(AQ111="1",BH111,0)</f>
        <v>0</v>
      </c>
      <c r="AC111" s="38">
        <f>IF(AQ111="1",BI111,0)</f>
        <v>0</v>
      </c>
      <c r="AD111" s="38">
        <f>IF(AQ111="7",BH111,0)</f>
        <v>0</v>
      </c>
      <c r="AE111" s="38">
        <f>IF(AQ111="7",BI111,0)</f>
        <v>0</v>
      </c>
      <c r="AF111" s="38">
        <f>IF(AQ111="2",BH111,0)</f>
        <v>0</v>
      </c>
      <c r="AG111" s="38">
        <f>IF(AQ111="2",BI111,0)</f>
        <v>0</v>
      </c>
      <c r="AH111" s="38">
        <f>IF(AQ111="0",BJ111,0)</f>
        <v>0</v>
      </c>
      <c r="AI111" s="50" t="s">
        <v>93</v>
      </c>
      <c r="AJ111" s="38">
        <f>IF(AN111=0,I111,0)</f>
        <v>0</v>
      </c>
      <c r="AK111" s="38">
        <f>IF(AN111=12,I111,0)</f>
        <v>0</v>
      </c>
      <c r="AL111" s="38">
        <f>IF(AN111=21,I111,0)</f>
        <v>0</v>
      </c>
      <c r="AN111" s="38">
        <v>21</v>
      </c>
      <c r="AO111" s="38">
        <f>H111*0</f>
        <v>0</v>
      </c>
      <c r="AP111" s="38">
        <f>H111*(1-0)</f>
        <v>0</v>
      </c>
      <c r="AQ111" s="72" t="s">
        <v>169</v>
      </c>
      <c r="AV111" s="38">
        <f>AW111+AX111</f>
        <v>0</v>
      </c>
      <c r="AW111" s="38">
        <f>G111*AO111</f>
        <v>0</v>
      </c>
      <c r="AX111" s="38">
        <f>G111*AP111</f>
        <v>0</v>
      </c>
      <c r="AY111" s="72" t="s">
        <v>2827</v>
      </c>
      <c r="AZ111" s="72" t="s">
        <v>2828</v>
      </c>
      <c r="BA111" s="50" t="s">
        <v>2563</v>
      </c>
      <c r="BC111" s="38">
        <f>AW111+AX111</f>
        <v>0</v>
      </c>
      <c r="BD111" s="38">
        <f>H111/(100-BE111)*100</f>
        <v>0</v>
      </c>
      <c r="BE111" s="38">
        <v>0</v>
      </c>
      <c r="BF111" s="38">
        <f>K111</f>
        <v>0</v>
      </c>
      <c r="BH111" s="38">
        <f>G111*AO111</f>
        <v>0</v>
      </c>
      <c r="BI111" s="38">
        <f>G111*AP111</f>
        <v>0</v>
      </c>
      <c r="BJ111" s="38">
        <f>G111*H111</f>
        <v>0</v>
      </c>
      <c r="BK111" s="38"/>
      <c r="BL111" s="38"/>
      <c r="BW111" s="38">
        <v>21</v>
      </c>
    </row>
    <row r="112" spans="1:12" ht="13.5" customHeight="1">
      <c r="A112" s="74"/>
      <c r="D112" s="194" t="s">
        <v>2829</v>
      </c>
      <c r="E112" s="195"/>
      <c r="F112" s="195"/>
      <c r="G112" s="195"/>
      <c r="H112" s="195"/>
      <c r="I112" s="195"/>
      <c r="J112" s="195"/>
      <c r="K112" s="195"/>
      <c r="L112" s="197"/>
    </row>
    <row r="113" spans="1:75" ht="13.5" customHeight="1">
      <c r="A113" s="78" t="s">
        <v>729</v>
      </c>
      <c r="B113" s="79" t="s">
        <v>93</v>
      </c>
      <c r="C113" s="79" t="s">
        <v>2831</v>
      </c>
      <c r="D113" s="198" t="s">
        <v>2832</v>
      </c>
      <c r="E113" s="199"/>
      <c r="F113" s="79" t="s">
        <v>2567</v>
      </c>
      <c r="G113" s="80">
        <f>'Stavební rozpočet'!G1434</f>
        <v>1</v>
      </c>
      <c r="H113" s="80">
        <f>'Stavební rozpočet'!H1434</f>
        <v>0</v>
      </c>
      <c r="I113" s="80">
        <f aca="true" t="shared" si="68" ref="I113:I120">G113*H113</f>
        <v>0</v>
      </c>
      <c r="J113" s="80">
        <f>'Stavební rozpočet'!J1434</f>
        <v>0</v>
      </c>
      <c r="K113" s="80">
        <f aca="true" t="shared" si="69" ref="K113:K120">G113*J113</f>
        <v>0</v>
      </c>
      <c r="L113" s="82" t="s">
        <v>207</v>
      </c>
      <c r="Z113" s="38">
        <f aca="true" t="shared" si="70" ref="Z113:Z120">IF(AQ113="5",BJ113,0)</f>
        <v>0</v>
      </c>
      <c r="AB113" s="38">
        <f aca="true" t="shared" si="71" ref="AB113:AB120">IF(AQ113="1",BH113,0)</f>
        <v>0</v>
      </c>
      <c r="AC113" s="38">
        <f aca="true" t="shared" si="72" ref="AC113:AC120">IF(AQ113="1",BI113,0)</f>
        <v>0</v>
      </c>
      <c r="AD113" s="38">
        <f aca="true" t="shared" si="73" ref="AD113:AD120">IF(AQ113="7",BH113,0)</f>
        <v>0</v>
      </c>
      <c r="AE113" s="38">
        <f aca="true" t="shared" si="74" ref="AE113:AE120">IF(AQ113="7",BI113,0)</f>
        <v>0</v>
      </c>
      <c r="AF113" s="38">
        <f aca="true" t="shared" si="75" ref="AF113:AF120">IF(AQ113="2",BH113,0)</f>
        <v>0</v>
      </c>
      <c r="AG113" s="38">
        <f aca="true" t="shared" si="76" ref="AG113:AG120">IF(AQ113="2",BI113,0)</f>
        <v>0</v>
      </c>
      <c r="AH113" s="38">
        <f aca="true" t="shared" si="77" ref="AH113:AH120">IF(AQ113="0",BJ113,0)</f>
        <v>0</v>
      </c>
      <c r="AI113" s="50" t="s">
        <v>93</v>
      </c>
      <c r="AJ113" s="80">
        <f aca="true" t="shared" si="78" ref="AJ113:AJ120">IF(AN113=0,I113,0)</f>
        <v>0</v>
      </c>
      <c r="AK113" s="80">
        <f aca="true" t="shared" si="79" ref="AK113:AK120">IF(AN113=12,I113,0)</f>
        <v>0</v>
      </c>
      <c r="AL113" s="80">
        <f aca="true" t="shared" si="80" ref="AL113:AL120">IF(AN113=21,I113,0)</f>
        <v>0</v>
      </c>
      <c r="AN113" s="38">
        <v>21</v>
      </c>
      <c r="AO113" s="38">
        <f aca="true" t="shared" si="81" ref="AO113:AO119">H113*1</f>
        <v>0</v>
      </c>
      <c r="AP113" s="38">
        <f aca="true" t="shared" si="82" ref="AP113:AP119">H113*(1-1)</f>
        <v>0</v>
      </c>
      <c r="AQ113" s="83" t="s">
        <v>169</v>
      </c>
      <c r="AV113" s="38">
        <f aca="true" t="shared" si="83" ref="AV113:AV120">AW113+AX113</f>
        <v>0</v>
      </c>
      <c r="AW113" s="38">
        <f aca="true" t="shared" si="84" ref="AW113:AW120">G113*AO113</f>
        <v>0</v>
      </c>
      <c r="AX113" s="38">
        <f aca="true" t="shared" si="85" ref="AX113:AX120">G113*AP113</f>
        <v>0</v>
      </c>
      <c r="AY113" s="72" t="s">
        <v>2827</v>
      </c>
      <c r="AZ113" s="72" t="s">
        <v>2828</v>
      </c>
      <c r="BA113" s="50" t="s">
        <v>2563</v>
      </c>
      <c r="BC113" s="38">
        <f aca="true" t="shared" si="86" ref="BC113:BC120">AW113+AX113</f>
        <v>0</v>
      </c>
      <c r="BD113" s="38">
        <f aca="true" t="shared" si="87" ref="BD113:BD120">H113/(100-BE113)*100</f>
        <v>0</v>
      </c>
      <c r="BE113" s="38">
        <v>0</v>
      </c>
      <c r="BF113" s="38">
        <f aca="true" t="shared" si="88" ref="BF113:BF120">K113</f>
        <v>0</v>
      </c>
      <c r="BH113" s="80">
        <f aca="true" t="shared" si="89" ref="BH113:BH120">G113*AO113</f>
        <v>0</v>
      </c>
      <c r="BI113" s="80">
        <f aca="true" t="shared" si="90" ref="BI113:BI120">G113*AP113</f>
        <v>0</v>
      </c>
      <c r="BJ113" s="80">
        <f aca="true" t="shared" si="91" ref="BJ113:BJ120">G113*H113</f>
        <v>0</v>
      </c>
      <c r="BK113" s="80"/>
      <c r="BL113" s="38"/>
      <c r="BW113" s="38">
        <v>21</v>
      </c>
    </row>
    <row r="114" spans="1:75" ht="13.5" customHeight="1">
      <c r="A114" s="78" t="s">
        <v>742</v>
      </c>
      <c r="B114" s="79" t="s">
        <v>93</v>
      </c>
      <c r="C114" s="79" t="s">
        <v>2834</v>
      </c>
      <c r="D114" s="198" t="s">
        <v>2835</v>
      </c>
      <c r="E114" s="199"/>
      <c r="F114" s="79" t="s">
        <v>2567</v>
      </c>
      <c r="G114" s="80">
        <f>'Stavební rozpočet'!G1435</f>
        <v>1</v>
      </c>
      <c r="H114" s="80">
        <f>'Stavební rozpočet'!H1435</f>
        <v>0</v>
      </c>
      <c r="I114" s="80">
        <f t="shared" si="68"/>
        <v>0</v>
      </c>
      <c r="J114" s="80">
        <f>'Stavební rozpočet'!J1435</f>
        <v>0</v>
      </c>
      <c r="K114" s="80">
        <f t="shared" si="69"/>
        <v>0</v>
      </c>
      <c r="L114" s="82" t="s">
        <v>207</v>
      </c>
      <c r="Z114" s="38">
        <f t="shared" si="70"/>
        <v>0</v>
      </c>
      <c r="AB114" s="38">
        <f t="shared" si="71"/>
        <v>0</v>
      </c>
      <c r="AC114" s="38">
        <f t="shared" si="72"/>
        <v>0</v>
      </c>
      <c r="AD114" s="38">
        <f t="shared" si="73"/>
        <v>0</v>
      </c>
      <c r="AE114" s="38">
        <f t="shared" si="74"/>
        <v>0</v>
      </c>
      <c r="AF114" s="38">
        <f t="shared" si="75"/>
        <v>0</v>
      </c>
      <c r="AG114" s="38">
        <f t="shared" si="76"/>
        <v>0</v>
      </c>
      <c r="AH114" s="38">
        <f t="shared" si="77"/>
        <v>0</v>
      </c>
      <c r="AI114" s="50" t="s">
        <v>93</v>
      </c>
      <c r="AJ114" s="80">
        <f t="shared" si="78"/>
        <v>0</v>
      </c>
      <c r="AK114" s="80">
        <f t="shared" si="79"/>
        <v>0</v>
      </c>
      <c r="AL114" s="80">
        <f t="shared" si="80"/>
        <v>0</v>
      </c>
      <c r="AN114" s="38">
        <v>21</v>
      </c>
      <c r="AO114" s="38">
        <f t="shared" si="81"/>
        <v>0</v>
      </c>
      <c r="AP114" s="38">
        <f t="shared" si="82"/>
        <v>0</v>
      </c>
      <c r="AQ114" s="83" t="s">
        <v>169</v>
      </c>
      <c r="AV114" s="38">
        <f t="shared" si="83"/>
        <v>0</v>
      </c>
      <c r="AW114" s="38">
        <f t="shared" si="84"/>
        <v>0</v>
      </c>
      <c r="AX114" s="38">
        <f t="shared" si="85"/>
        <v>0</v>
      </c>
      <c r="AY114" s="72" t="s">
        <v>2827</v>
      </c>
      <c r="AZ114" s="72" t="s">
        <v>2828</v>
      </c>
      <c r="BA114" s="50" t="s">
        <v>2563</v>
      </c>
      <c r="BC114" s="38">
        <f t="shared" si="86"/>
        <v>0</v>
      </c>
      <c r="BD114" s="38">
        <f t="shared" si="87"/>
        <v>0</v>
      </c>
      <c r="BE114" s="38">
        <v>0</v>
      </c>
      <c r="BF114" s="38">
        <f t="shared" si="88"/>
        <v>0</v>
      </c>
      <c r="BH114" s="80">
        <f t="shared" si="89"/>
        <v>0</v>
      </c>
      <c r="BI114" s="80">
        <f t="shared" si="90"/>
        <v>0</v>
      </c>
      <c r="BJ114" s="80">
        <f t="shared" si="91"/>
        <v>0</v>
      </c>
      <c r="BK114" s="80"/>
      <c r="BL114" s="38"/>
      <c r="BW114" s="38">
        <v>21</v>
      </c>
    </row>
    <row r="115" spans="1:75" ht="13.5" customHeight="1">
      <c r="A115" s="78" t="s">
        <v>747</v>
      </c>
      <c r="B115" s="79" t="s">
        <v>93</v>
      </c>
      <c r="C115" s="79" t="s">
        <v>2837</v>
      </c>
      <c r="D115" s="198" t="s">
        <v>2838</v>
      </c>
      <c r="E115" s="199"/>
      <c r="F115" s="79" t="s">
        <v>2567</v>
      </c>
      <c r="G115" s="80">
        <f>'Stavební rozpočet'!G1436</f>
        <v>1</v>
      </c>
      <c r="H115" s="80">
        <f>'Stavební rozpočet'!H1436</f>
        <v>0</v>
      </c>
      <c r="I115" s="80">
        <f t="shared" si="68"/>
        <v>0</v>
      </c>
      <c r="J115" s="80">
        <f>'Stavební rozpočet'!J1436</f>
        <v>0</v>
      </c>
      <c r="K115" s="80">
        <f t="shared" si="69"/>
        <v>0</v>
      </c>
      <c r="L115" s="82" t="s">
        <v>207</v>
      </c>
      <c r="Z115" s="38">
        <f t="shared" si="70"/>
        <v>0</v>
      </c>
      <c r="AB115" s="38">
        <f t="shared" si="71"/>
        <v>0</v>
      </c>
      <c r="AC115" s="38">
        <f t="shared" si="72"/>
        <v>0</v>
      </c>
      <c r="AD115" s="38">
        <f t="shared" si="73"/>
        <v>0</v>
      </c>
      <c r="AE115" s="38">
        <f t="shared" si="74"/>
        <v>0</v>
      </c>
      <c r="AF115" s="38">
        <f t="shared" si="75"/>
        <v>0</v>
      </c>
      <c r="AG115" s="38">
        <f t="shared" si="76"/>
        <v>0</v>
      </c>
      <c r="AH115" s="38">
        <f t="shared" si="77"/>
        <v>0</v>
      </c>
      <c r="AI115" s="50" t="s">
        <v>93</v>
      </c>
      <c r="AJ115" s="80">
        <f t="shared" si="78"/>
        <v>0</v>
      </c>
      <c r="AK115" s="80">
        <f t="shared" si="79"/>
        <v>0</v>
      </c>
      <c r="AL115" s="80">
        <f t="shared" si="80"/>
        <v>0</v>
      </c>
      <c r="AN115" s="38">
        <v>21</v>
      </c>
      <c r="AO115" s="38">
        <f t="shared" si="81"/>
        <v>0</v>
      </c>
      <c r="AP115" s="38">
        <f t="shared" si="82"/>
        <v>0</v>
      </c>
      <c r="AQ115" s="83" t="s">
        <v>169</v>
      </c>
      <c r="AV115" s="38">
        <f t="shared" si="83"/>
        <v>0</v>
      </c>
      <c r="AW115" s="38">
        <f t="shared" si="84"/>
        <v>0</v>
      </c>
      <c r="AX115" s="38">
        <f t="shared" si="85"/>
        <v>0</v>
      </c>
      <c r="AY115" s="72" t="s">
        <v>2827</v>
      </c>
      <c r="AZ115" s="72" t="s">
        <v>2828</v>
      </c>
      <c r="BA115" s="50" t="s">
        <v>2563</v>
      </c>
      <c r="BC115" s="38">
        <f t="shared" si="86"/>
        <v>0</v>
      </c>
      <c r="BD115" s="38">
        <f t="shared" si="87"/>
        <v>0</v>
      </c>
      <c r="BE115" s="38">
        <v>0</v>
      </c>
      <c r="BF115" s="38">
        <f t="shared" si="88"/>
        <v>0</v>
      </c>
      <c r="BH115" s="80">
        <f t="shared" si="89"/>
        <v>0</v>
      </c>
      <c r="BI115" s="80">
        <f t="shared" si="90"/>
        <v>0</v>
      </c>
      <c r="BJ115" s="80">
        <f t="shared" si="91"/>
        <v>0</v>
      </c>
      <c r="BK115" s="80"/>
      <c r="BL115" s="38"/>
      <c r="BW115" s="38">
        <v>21</v>
      </c>
    </row>
    <row r="116" spans="1:75" ht="13.5" customHeight="1">
      <c r="A116" s="78" t="s">
        <v>751</v>
      </c>
      <c r="B116" s="79" t="s">
        <v>93</v>
      </c>
      <c r="C116" s="79" t="s">
        <v>2840</v>
      </c>
      <c r="D116" s="198" t="s">
        <v>2841</v>
      </c>
      <c r="E116" s="199"/>
      <c r="F116" s="79" t="s">
        <v>2567</v>
      </c>
      <c r="G116" s="80">
        <f>'Stavební rozpočet'!G1437</f>
        <v>1</v>
      </c>
      <c r="H116" s="80">
        <f>'Stavební rozpočet'!H1437</f>
        <v>0</v>
      </c>
      <c r="I116" s="80">
        <f t="shared" si="68"/>
        <v>0</v>
      </c>
      <c r="J116" s="80">
        <f>'Stavební rozpočet'!J1437</f>
        <v>0</v>
      </c>
      <c r="K116" s="80">
        <f t="shared" si="69"/>
        <v>0</v>
      </c>
      <c r="L116" s="82" t="s">
        <v>207</v>
      </c>
      <c r="Z116" s="38">
        <f t="shared" si="70"/>
        <v>0</v>
      </c>
      <c r="AB116" s="38">
        <f t="shared" si="71"/>
        <v>0</v>
      </c>
      <c r="AC116" s="38">
        <f t="shared" si="72"/>
        <v>0</v>
      </c>
      <c r="AD116" s="38">
        <f t="shared" si="73"/>
        <v>0</v>
      </c>
      <c r="AE116" s="38">
        <f t="shared" si="74"/>
        <v>0</v>
      </c>
      <c r="AF116" s="38">
        <f t="shared" si="75"/>
        <v>0</v>
      </c>
      <c r="AG116" s="38">
        <f t="shared" si="76"/>
        <v>0</v>
      </c>
      <c r="AH116" s="38">
        <f t="shared" si="77"/>
        <v>0</v>
      </c>
      <c r="AI116" s="50" t="s">
        <v>93</v>
      </c>
      <c r="AJ116" s="80">
        <f t="shared" si="78"/>
        <v>0</v>
      </c>
      <c r="AK116" s="80">
        <f t="shared" si="79"/>
        <v>0</v>
      </c>
      <c r="AL116" s="80">
        <f t="shared" si="80"/>
        <v>0</v>
      </c>
      <c r="AN116" s="38">
        <v>21</v>
      </c>
      <c r="AO116" s="38">
        <f t="shared" si="81"/>
        <v>0</v>
      </c>
      <c r="AP116" s="38">
        <f t="shared" si="82"/>
        <v>0</v>
      </c>
      <c r="AQ116" s="83" t="s">
        <v>169</v>
      </c>
      <c r="AV116" s="38">
        <f t="shared" si="83"/>
        <v>0</v>
      </c>
      <c r="AW116" s="38">
        <f t="shared" si="84"/>
        <v>0</v>
      </c>
      <c r="AX116" s="38">
        <f t="shared" si="85"/>
        <v>0</v>
      </c>
      <c r="AY116" s="72" t="s">
        <v>2827</v>
      </c>
      <c r="AZ116" s="72" t="s">
        <v>2828</v>
      </c>
      <c r="BA116" s="50" t="s">
        <v>2563</v>
      </c>
      <c r="BC116" s="38">
        <f t="shared" si="86"/>
        <v>0</v>
      </c>
      <c r="BD116" s="38">
        <f t="shared" si="87"/>
        <v>0</v>
      </c>
      <c r="BE116" s="38">
        <v>0</v>
      </c>
      <c r="BF116" s="38">
        <f t="shared" si="88"/>
        <v>0</v>
      </c>
      <c r="BH116" s="80">
        <f t="shared" si="89"/>
        <v>0</v>
      </c>
      <c r="BI116" s="80">
        <f t="shared" si="90"/>
        <v>0</v>
      </c>
      <c r="BJ116" s="80">
        <f t="shared" si="91"/>
        <v>0</v>
      </c>
      <c r="BK116" s="80"/>
      <c r="BL116" s="38"/>
      <c r="BW116" s="38">
        <v>21</v>
      </c>
    </row>
    <row r="117" spans="1:75" ht="13.5" customHeight="1">
      <c r="A117" s="78" t="s">
        <v>755</v>
      </c>
      <c r="B117" s="79" t="s">
        <v>93</v>
      </c>
      <c r="C117" s="79" t="s">
        <v>2843</v>
      </c>
      <c r="D117" s="198" t="s">
        <v>2844</v>
      </c>
      <c r="E117" s="199"/>
      <c r="F117" s="79" t="s">
        <v>2567</v>
      </c>
      <c r="G117" s="80">
        <f>'Stavební rozpočet'!G1438</f>
        <v>3</v>
      </c>
      <c r="H117" s="80">
        <f>'Stavební rozpočet'!H1438</f>
        <v>0</v>
      </c>
      <c r="I117" s="80">
        <f t="shared" si="68"/>
        <v>0</v>
      </c>
      <c r="J117" s="80">
        <f>'Stavební rozpočet'!J1438</f>
        <v>0</v>
      </c>
      <c r="K117" s="80">
        <f t="shared" si="69"/>
        <v>0</v>
      </c>
      <c r="L117" s="82" t="s">
        <v>207</v>
      </c>
      <c r="Z117" s="38">
        <f t="shared" si="70"/>
        <v>0</v>
      </c>
      <c r="AB117" s="38">
        <f t="shared" si="71"/>
        <v>0</v>
      </c>
      <c r="AC117" s="38">
        <f t="shared" si="72"/>
        <v>0</v>
      </c>
      <c r="AD117" s="38">
        <f t="shared" si="73"/>
        <v>0</v>
      </c>
      <c r="AE117" s="38">
        <f t="shared" si="74"/>
        <v>0</v>
      </c>
      <c r="AF117" s="38">
        <f t="shared" si="75"/>
        <v>0</v>
      </c>
      <c r="AG117" s="38">
        <f t="shared" si="76"/>
        <v>0</v>
      </c>
      <c r="AH117" s="38">
        <f t="shared" si="77"/>
        <v>0</v>
      </c>
      <c r="AI117" s="50" t="s">
        <v>93</v>
      </c>
      <c r="AJ117" s="80">
        <f t="shared" si="78"/>
        <v>0</v>
      </c>
      <c r="AK117" s="80">
        <f t="shared" si="79"/>
        <v>0</v>
      </c>
      <c r="AL117" s="80">
        <f t="shared" si="80"/>
        <v>0</v>
      </c>
      <c r="AN117" s="38">
        <v>21</v>
      </c>
      <c r="AO117" s="38">
        <f t="shared" si="81"/>
        <v>0</v>
      </c>
      <c r="AP117" s="38">
        <f t="shared" si="82"/>
        <v>0</v>
      </c>
      <c r="AQ117" s="83" t="s">
        <v>169</v>
      </c>
      <c r="AV117" s="38">
        <f t="shared" si="83"/>
        <v>0</v>
      </c>
      <c r="AW117" s="38">
        <f t="shared" si="84"/>
        <v>0</v>
      </c>
      <c r="AX117" s="38">
        <f t="shared" si="85"/>
        <v>0</v>
      </c>
      <c r="AY117" s="72" t="s">
        <v>2827</v>
      </c>
      <c r="AZ117" s="72" t="s">
        <v>2828</v>
      </c>
      <c r="BA117" s="50" t="s">
        <v>2563</v>
      </c>
      <c r="BC117" s="38">
        <f t="shared" si="86"/>
        <v>0</v>
      </c>
      <c r="BD117" s="38">
        <f t="shared" si="87"/>
        <v>0</v>
      </c>
      <c r="BE117" s="38">
        <v>0</v>
      </c>
      <c r="BF117" s="38">
        <f t="shared" si="88"/>
        <v>0</v>
      </c>
      <c r="BH117" s="80">
        <f t="shared" si="89"/>
        <v>0</v>
      </c>
      <c r="BI117" s="80">
        <f t="shared" si="90"/>
        <v>0</v>
      </c>
      <c r="BJ117" s="80">
        <f t="shared" si="91"/>
        <v>0</v>
      </c>
      <c r="BK117" s="80"/>
      <c r="BL117" s="38"/>
      <c r="BW117" s="38">
        <v>21</v>
      </c>
    </row>
    <row r="118" spans="1:75" ht="13.5" customHeight="1">
      <c r="A118" s="78" t="s">
        <v>759</v>
      </c>
      <c r="B118" s="79" t="s">
        <v>93</v>
      </c>
      <c r="C118" s="79" t="s">
        <v>2846</v>
      </c>
      <c r="D118" s="198" t="s">
        <v>2847</v>
      </c>
      <c r="E118" s="199"/>
      <c r="F118" s="79" t="s">
        <v>2567</v>
      </c>
      <c r="G118" s="80">
        <f>'Stavební rozpočet'!G1439</f>
        <v>1</v>
      </c>
      <c r="H118" s="80">
        <f>'Stavební rozpočet'!H1439</f>
        <v>0</v>
      </c>
      <c r="I118" s="80">
        <f t="shared" si="68"/>
        <v>0</v>
      </c>
      <c r="J118" s="80">
        <f>'Stavební rozpočet'!J1439</f>
        <v>0</v>
      </c>
      <c r="K118" s="80">
        <f t="shared" si="69"/>
        <v>0</v>
      </c>
      <c r="L118" s="82" t="s">
        <v>207</v>
      </c>
      <c r="Z118" s="38">
        <f t="shared" si="70"/>
        <v>0</v>
      </c>
      <c r="AB118" s="38">
        <f t="shared" si="71"/>
        <v>0</v>
      </c>
      <c r="AC118" s="38">
        <f t="shared" si="72"/>
        <v>0</v>
      </c>
      <c r="AD118" s="38">
        <f t="shared" si="73"/>
        <v>0</v>
      </c>
      <c r="AE118" s="38">
        <f t="shared" si="74"/>
        <v>0</v>
      </c>
      <c r="AF118" s="38">
        <f t="shared" si="75"/>
        <v>0</v>
      </c>
      <c r="AG118" s="38">
        <f t="shared" si="76"/>
        <v>0</v>
      </c>
      <c r="AH118" s="38">
        <f t="shared" si="77"/>
        <v>0</v>
      </c>
      <c r="AI118" s="50" t="s">
        <v>93</v>
      </c>
      <c r="AJ118" s="80">
        <f t="shared" si="78"/>
        <v>0</v>
      </c>
      <c r="AK118" s="80">
        <f t="shared" si="79"/>
        <v>0</v>
      </c>
      <c r="AL118" s="80">
        <f t="shared" si="80"/>
        <v>0</v>
      </c>
      <c r="AN118" s="38">
        <v>21</v>
      </c>
      <c r="AO118" s="38">
        <f t="shared" si="81"/>
        <v>0</v>
      </c>
      <c r="AP118" s="38">
        <f t="shared" si="82"/>
        <v>0</v>
      </c>
      <c r="AQ118" s="83" t="s">
        <v>169</v>
      </c>
      <c r="AV118" s="38">
        <f t="shared" si="83"/>
        <v>0</v>
      </c>
      <c r="AW118" s="38">
        <f t="shared" si="84"/>
        <v>0</v>
      </c>
      <c r="AX118" s="38">
        <f t="shared" si="85"/>
        <v>0</v>
      </c>
      <c r="AY118" s="72" t="s">
        <v>2827</v>
      </c>
      <c r="AZ118" s="72" t="s">
        <v>2828</v>
      </c>
      <c r="BA118" s="50" t="s">
        <v>2563</v>
      </c>
      <c r="BC118" s="38">
        <f t="shared" si="86"/>
        <v>0</v>
      </c>
      <c r="BD118" s="38">
        <f t="shared" si="87"/>
        <v>0</v>
      </c>
      <c r="BE118" s="38">
        <v>0</v>
      </c>
      <c r="BF118" s="38">
        <f t="shared" si="88"/>
        <v>0</v>
      </c>
      <c r="BH118" s="80">
        <f t="shared" si="89"/>
        <v>0</v>
      </c>
      <c r="BI118" s="80">
        <f t="shared" si="90"/>
        <v>0</v>
      </c>
      <c r="BJ118" s="80">
        <f t="shared" si="91"/>
        <v>0</v>
      </c>
      <c r="BK118" s="80"/>
      <c r="BL118" s="38"/>
      <c r="BW118" s="38">
        <v>21</v>
      </c>
    </row>
    <row r="119" spans="1:75" ht="13.5" customHeight="1">
      <c r="A119" s="78" t="s">
        <v>762</v>
      </c>
      <c r="B119" s="79" t="s">
        <v>93</v>
      </c>
      <c r="C119" s="79" t="s">
        <v>2849</v>
      </c>
      <c r="D119" s="198" t="s">
        <v>2850</v>
      </c>
      <c r="E119" s="199"/>
      <c r="F119" s="79" t="s">
        <v>2567</v>
      </c>
      <c r="G119" s="80">
        <f>'Stavební rozpočet'!G1440</f>
        <v>1</v>
      </c>
      <c r="H119" s="80">
        <f>'Stavební rozpočet'!H1440</f>
        <v>0</v>
      </c>
      <c r="I119" s="80">
        <f t="shared" si="68"/>
        <v>0</v>
      </c>
      <c r="J119" s="80">
        <f>'Stavební rozpočet'!J1440</f>
        <v>0</v>
      </c>
      <c r="K119" s="80">
        <f t="shared" si="69"/>
        <v>0</v>
      </c>
      <c r="L119" s="82" t="s">
        <v>207</v>
      </c>
      <c r="Z119" s="38">
        <f t="shared" si="70"/>
        <v>0</v>
      </c>
      <c r="AB119" s="38">
        <f t="shared" si="71"/>
        <v>0</v>
      </c>
      <c r="AC119" s="38">
        <f t="shared" si="72"/>
        <v>0</v>
      </c>
      <c r="AD119" s="38">
        <f t="shared" si="73"/>
        <v>0</v>
      </c>
      <c r="AE119" s="38">
        <f t="shared" si="74"/>
        <v>0</v>
      </c>
      <c r="AF119" s="38">
        <f t="shared" si="75"/>
        <v>0</v>
      </c>
      <c r="AG119" s="38">
        <f t="shared" si="76"/>
        <v>0</v>
      </c>
      <c r="AH119" s="38">
        <f t="shared" si="77"/>
        <v>0</v>
      </c>
      <c r="AI119" s="50" t="s">
        <v>93</v>
      </c>
      <c r="AJ119" s="80">
        <f t="shared" si="78"/>
        <v>0</v>
      </c>
      <c r="AK119" s="80">
        <f t="shared" si="79"/>
        <v>0</v>
      </c>
      <c r="AL119" s="80">
        <f t="shared" si="80"/>
        <v>0</v>
      </c>
      <c r="AN119" s="38">
        <v>21</v>
      </c>
      <c r="AO119" s="38">
        <f t="shared" si="81"/>
        <v>0</v>
      </c>
      <c r="AP119" s="38">
        <f t="shared" si="82"/>
        <v>0</v>
      </c>
      <c r="AQ119" s="83" t="s">
        <v>169</v>
      </c>
      <c r="AV119" s="38">
        <f t="shared" si="83"/>
        <v>0</v>
      </c>
      <c r="AW119" s="38">
        <f t="shared" si="84"/>
        <v>0</v>
      </c>
      <c r="AX119" s="38">
        <f t="shared" si="85"/>
        <v>0</v>
      </c>
      <c r="AY119" s="72" t="s">
        <v>2827</v>
      </c>
      <c r="AZ119" s="72" t="s">
        <v>2828</v>
      </c>
      <c r="BA119" s="50" t="s">
        <v>2563</v>
      </c>
      <c r="BC119" s="38">
        <f t="shared" si="86"/>
        <v>0</v>
      </c>
      <c r="BD119" s="38">
        <f t="shared" si="87"/>
        <v>0</v>
      </c>
      <c r="BE119" s="38">
        <v>0</v>
      </c>
      <c r="BF119" s="38">
        <f t="shared" si="88"/>
        <v>0</v>
      </c>
      <c r="BH119" s="80">
        <f t="shared" si="89"/>
        <v>0</v>
      </c>
      <c r="BI119" s="80">
        <f t="shared" si="90"/>
        <v>0</v>
      </c>
      <c r="BJ119" s="80">
        <f t="shared" si="91"/>
        <v>0</v>
      </c>
      <c r="BK119" s="80"/>
      <c r="BL119" s="38"/>
      <c r="BW119" s="38">
        <v>21</v>
      </c>
    </row>
    <row r="120" spans="1:75" ht="13.5" customHeight="1">
      <c r="A120" s="1" t="s">
        <v>768</v>
      </c>
      <c r="B120" s="2" t="s">
        <v>93</v>
      </c>
      <c r="C120" s="2" t="s">
        <v>2817</v>
      </c>
      <c r="D120" s="108" t="s">
        <v>2818</v>
      </c>
      <c r="E120" s="103"/>
      <c r="F120" s="2" t="s">
        <v>2286</v>
      </c>
      <c r="G120" s="38">
        <f>'Stavební rozpočet'!G1441</f>
        <v>6</v>
      </c>
      <c r="H120" s="38">
        <f>'Stavební rozpočet'!H1441</f>
        <v>0</v>
      </c>
      <c r="I120" s="38">
        <f t="shared" si="68"/>
        <v>0</v>
      </c>
      <c r="J120" s="38">
        <f>'Stavební rozpočet'!J1441</f>
        <v>0</v>
      </c>
      <c r="K120" s="38">
        <f t="shared" si="69"/>
        <v>0</v>
      </c>
      <c r="L120" s="71" t="s">
        <v>207</v>
      </c>
      <c r="Z120" s="38">
        <f t="shared" si="70"/>
        <v>0</v>
      </c>
      <c r="AB120" s="38">
        <f t="shared" si="71"/>
        <v>0</v>
      </c>
      <c r="AC120" s="38">
        <f t="shared" si="72"/>
        <v>0</v>
      </c>
      <c r="AD120" s="38">
        <f t="shared" si="73"/>
        <v>0</v>
      </c>
      <c r="AE120" s="38">
        <f t="shared" si="74"/>
        <v>0</v>
      </c>
      <c r="AF120" s="38">
        <f t="shared" si="75"/>
        <v>0</v>
      </c>
      <c r="AG120" s="38">
        <f t="shared" si="76"/>
        <v>0</v>
      </c>
      <c r="AH120" s="38">
        <f t="shared" si="77"/>
        <v>0</v>
      </c>
      <c r="AI120" s="50" t="s">
        <v>93</v>
      </c>
      <c r="AJ120" s="38">
        <f t="shared" si="78"/>
        <v>0</v>
      </c>
      <c r="AK120" s="38">
        <f t="shared" si="79"/>
        <v>0</v>
      </c>
      <c r="AL120" s="38">
        <f t="shared" si="80"/>
        <v>0</v>
      </c>
      <c r="AN120" s="38">
        <v>21</v>
      </c>
      <c r="AO120" s="38">
        <f>H120*0</f>
        <v>0</v>
      </c>
      <c r="AP120" s="38">
        <f>H120*(1-0)</f>
        <v>0</v>
      </c>
      <c r="AQ120" s="72" t="s">
        <v>169</v>
      </c>
      <c r="AV120" s="38">
        <f t="shared" si="83"/>
        <v>0</v>
      </c>
      <c r="AW120" s="38">
        <f t="shared" si="84"/>
        <v>0</v>
      </c>
      <c r="AX120" s="38">
        <f t="shared" si="85"/>
        <v>0</v>
      </c>
      <c r="AY120" s="72" t="s">
        <v>2827</v>
      </c>
      <c r="AZ120" s="72" t="s">
        <v>2828</v>
      </c>
      <c r="BA120" s="50" t="s">
        <v>2563</v>
      </c>
      <c r="BC120" s="38">
        <f t="shared" si="86"/>
        <v>0</v>
      </c>
      <c r="BD120" s="38">
        <f t="shared" si="87"/>
        <v>0</v>
      </c>
      <c r="BE120" s="38">
        <v>0</v>
      </c>
      <c r="BF120" s="38">
        <f t="shared" si="88"/>
        <v>0</v>
      </c>
      <c r="BH120" s="38">
        <f t="shared" si="89"/>
        <v>0</v>
      </c>
      <c r="BI120" s="38">
        <f t="shared" si="90"/>
        <v>0</v>
      </c>
      <c r="BJ120" s="38">
        <f t="shared" si="91"/>
        <v>0</v>
      </c>
      <c r="BK120" s="38"/>
      <c r="BL120" s="38"/>
      <c r="BW120" s="38">
        <v>21</v>
      </c>
    </row>
    <row r="121" spans="1:12" ht="13.5" customHeight="1">
      <c r="A121" s="74"/>
      <c r="D121" s="194" t="s">
        <v>2852</v>
      </c>
      <c r="E121" s="195"/>
      <c r="F121" s="195"/>
      <c r="G121" s="195"/>
      <c r="H121" s="195"/>
      <c r="I121" s="195"/>
      <c r="J121" s="195"/>
      <c r="K121" s="195"/>
      <c r="L121" s="197"/>
    </row>
    <row r="122" spans="1:75" ht="13.5" customHeight="1">
      <c r="A122" s="78" t="s">
        <v>772</v>
      </c>
      <c r="B122" s="79" t="s">
        <v>93</v>
      </c>
      <c r="C122" s="79" t="s">
        <v>2854</v>
      </c>
      <c r="D122" s="198" t="s">
        <v>2832</v>
      </c>
      <c r="E122" s="199"/>
      <c r="F122" s="79" t="s">
        <v>2567</v>
      </c>
      <c r="G122" s="80">
        <f>'Stavební rozpočet'!G1443</f>
        <v>1</v>
      </c>
      <c r="H122" s="80">
        <f>'Stavební rozpočet'!H1443</f>
        <v>0</v>
      </c>
      <c r="I122" s="80">
        <f aca="true" t="shared" si="92" ref="I122:I128">G122*H122</f>
        <v>0</v>
      </c>
      <c r="J122" s="80">
        <f>'Stavební rozpočet'!J1443</f>
        <v>0</v>
      </c>
      <c r="K122" s="80">
        <f aca="true" t="shared" si="93" ref="K122:K128">G122*J122</f>
        <v>0</v>
      </c>
      <c r="L122" s="82" t="s">
        <v>207</v>
      </c>
      <c r="Z122" s="38">
        <f aca="true" t="shared" si="94" ref="Z122:Z128">IF(AQ122="5",BJ122,0)</f>
        <v>0</v>
      </c>
      <c r="AB122" s="38">
        <f aca="true" t="shared" si="95" ref="AB122:AB128">IF(AQ122="1",BH122,0)</f>
        <v>0</v>
      </c>
      <c r="AC122" s="38">
        <f aca="true" t="shared" si="96" ref="AC122:AC128">IF(AQ122="1",BI122,0)</f>
        <v>0</v>
      </c>
      <c r="AD122" s="38">
        <f aca="true" t="shared" si="97" ref="AD122:AD128">IF(AQ122="7",BH122,0)</f>
        <v>0</v>
      </c>
      <c r="AE122" s="38">
        <f aca="true" t="shared" si="98" ref="AE122:AE128">IF(AQ122="7",BI122,0)</f>
        <v>0</v>
      </c>
      <c r="AF122" s="38">
        <f aca="true" t="shared" si="99" ref="AF122:AF128">IF(AQ122="2",BH122,0)</f>
        <v>0</v>
      </c>
      <c r="AG122" s="38">
        <f aca="true" t="shared" si="100" ref="AG122:AG128">IF(AQ122="2",BI122,0)</f>
        <v>0</v>
      </c>
      <c r="AH122" s="38">
        <f aca="true" t="shared" si="101" ref="AH122:AH128">IF(AQ122="0",BJ122,0)</f>
        <v>0</v>
      </c>
      <c r="AI122" s="50" t="s">
        <v>93</v>
      </c>
      <c r="AJ122" s="80">
        <f aca="true" t="shared" si="102" ref="AJ122:AJ128">IF(AN122=0,I122,0)</f>
        <v>0</v>
      </c>
      <c r="AK122" s="80">
        <f aca="true" t="shared" si="103" ref="AK122:AK128">IF(AN122=12,I122,0)</f>
        <v>0</v>
      </c>
      <c r="AL122" s="80">
        <f aca="true" t="shared" si="104" ref="AL122:AL128">IF(AN122=21,I122,0)</f>
        <v>0</v>
      </c>
      <c r="AN122" s="38">
        <v>21</v>
      </c>
      <c r="AO122" s="38">
        <f aca="true" t="shared" si="105" ref="AO122:AO127">H122*1</f>
        <v>0</v>
      </c>
      <c r="AP122" s="38">
        <f aca="true" t="shared" si="106" ref="AP122:AP127">H122*(1-1)</f>
        <v>0</v>
      </c>
      <c r="AQ122" s="83" t="s">
        <v>169</v>
      </c>
      <c r="AV122" s="38">
        <f aca="true" t="shared" si="107" ref="AV122:AV128">AW122+AX122</f>
        <v>0</v>
      </c>
      <c r="AW122" s="38">
        <f aca="true" t="shared" si="108" ref="AW122:AW128">G122*AO122</f>
        <v>0</v>
      </c>
      <c r="AX122" s="38">
        <f aca="true" t="shared" si="109" ref="AX122:AX128">G122*AP122</f>
        <v>0</v>
      </c>
      <c r="AY122" s="72" t="s">
        <v>2827</v>
      </c>
      <c r="AZ122" s="72" t="s">
        <v>2828</v>
      </c>
      <c r="BA122" s="50" t="s">
        <v>2563</v>
      </c>
      <c r="BC122" s="38">
        <f aca="true" t="shared" si="110" ref="BC122:BC128">AW122+AX122</f>
        <v>0</v>
      </c>
      <c r="BD122" s="38">
        <f aca="true" t="shared" si="111" ref="BD122:BD128">H122/(100-BE122)*100</f>
        <v>0</v>
      </c>
      <c r="BE122" s="38">
        <v>0</v>
      </c>
      <c r="BF122" s="38">
        <f aca="true" t="shared" si="112" ref="BF122:BF128">K122</f>
        <v>0</v>
      </c>
      <c r="BH122" s="80">
        <f aca="true" t="shared" si="113" ref="BH122:BH128">G122*AO122</f>
        <v>0</v>
      </c>
      <c r="BI122" s="80">
        <f aca="true" t="shared" si="114" ref="BI122:BI128">G122*AP122</f>
        <v>0</v>
      </c>
      <c r="BJ122" s="80">
        <f aca="true" t="shared" si="115" ref="BJ122:BJ128">G122*H122</f>
        <v>0</v>
      </c>
      <c r="BK122" s="80"/>
      <c r="BL122" s="38"/>
      <c r="BW122" s="38">
        <v>21</v>
      </c>
    </row>
    <row r="123" spans="1:75" ht="13.5" customHeight="1">
      <c r="A123" s="78" t="s">
        <v>776</v>
      </c>
      <c r="B123" s="79" t="s">
        <v>93</v>
      </c>
      <c r="C123" s="79" t="s">
        <v>2856</v>
      </c>
      <c r="D123" s="198" t="s">
        <v>2835</v>
      </c>
      <c r="E123" s="199"/>
      <c r="F123" s="79" t="s">
        <v>2567</v>
      </c>
      <c r="G123" s="80">
        <f>'Stavební rozpočet'!G1444</f>
        <v>1</v>
      </c>
      <c r="H123" s="80">
        <f>'Stavební rozpočet'!H1444</f>
        <v>0</v>
      </c>
      <c r="I123" s="80">
        <f t="shared" si="92"/>
        <v>0</v>
      </c>
      <c r="J123" s="80">
        <f>'Stavební rozpočet'!J1444</f>
        <v>0</v>
      </c>
      <c r="K123" s="80">
        <f t="shared" si="93"/>
        <v>0</v>
      </c>
      <c r="L123" s="82" t="s">
        <v>207</v>
      </c>
      <c r="Z123" s="38">
        <f t="shared" si="94"/>
        <v>0</v>
      </c>
      <c r="AB123" s="38">
        <f t="shared" si="95"/>
        <v>0</v>
      </c>
      <c r="AC123" s="38">
        <f t="shared" si="96"/>
        <v>0</v>
      </c>
      <c r="AD123" s="38">
        <f t="shared" si="97"/>
        <v>0</v>
      </c>
      <c r="AE123" s="38">
        <f t="shared" si="98"/>
        <v>0</v>
      </c>
      <c r="AF123" s="38">
        <f t="shared" si="99"/>
        <v>0</v>
      </c>
      <c r="AG123" s="38">
        <f t="shared" si="100"/>
        <v>0</v>
      </c>
      <c r="AH123" s="38">
        <f t="shared" si="101"/>
        <v>0</v>
      </c>
      <c r="AI123" s="50" t="s">
        <v>93</v>
      </c>
      <c r="AJ123" s="80">
        <f t="shared" si="102"/>
        <v>0</v>
      </c>
      <c r="AK123" s="80">
        <f t="shared" si="103"/>
        <v>0</v>
      </c>
      <c r="AL123" s="80">
        <f t="shared" si="104"/>
        <v>0</v>
      </c>
      <c r="AN123" s="38">
        <v>21</v>
      </c>
      <c r="AO123" s="38">
        <f t="shared" si="105"/>
        <v>0</v>
      </c>
      <c r="AP123" s="38">
        <f t="shared" si="106"/>
        <v>0</v>
      </c>
      <c r="AQ123" s="83" t="s">
        <v>169</v>
      </c>
      <c r="AV123" s="38">
        <f t="shared" si="107"/>
        <v>0</v>
      </c>
      <c r="AW123" s="38">
        <f t="shared" si="108"/>
        <v>0</v>
      </c>
      <c r="AX123" s="38">
        <f t="shared" si="109"/>
        <v>0</v>
      </c>
      <c r="AY123" s="72" t="s">
        <v>2827</v>
      </c>
      <c r="AZ123" s="72" t="s">
        <v>2828</v>
      </c>
      <c r="BA123" s="50" t="s">
        <v>2563</v>
      </c>
      <c r="BC123" s="38">
        <f t="shared" si="110"/>
        <v>0</v>
      </c>
      <c r="BD123" s="38">
        <f t="shared" si="111"/>
        <v>0</v>
      </c>
      <c r="BE123" s="38">
        <v>0</v>
      </c>
      <c r="BF123" s="38">
        <f t="shared" si="112"/>
        <v>0</v>
      </c>
      <c r="BH123" s="80">
        <f t="shared" si="113"/>
        <v>0</v>
      </c>
      <c r="BI123" s="80">
        <f t="shared" si="114"/>
        <v>0</v>
      </c>
      <c r="BJ123" s="80">
        <f t="shared" si="115"/>
        <v>0</v>
      </c>
      <c r="BK123" s="80"/>
      <c r="BL123" s="38"/>
      <c r="BW123" s="38">
        <v>21</v>
      </c>
    </row>
    <row r="124" spans="1:75" ht="13.5" customHeight="1">
      <c r="A124" s="78" t="s">
        <v>779</v>
      </c>
      <c r="B124" s="79" t="s">
        <v>93</v>
      </c>
      <c r="C124" s="79" t="s">
        <v>2858</v>
      </c>
      <c r="D124" s="198" t="s">
        <v>2859</v>
      </c>
      <c r="E124" s="199"/>
      <c r="F124" s="79" t="s">
        <v>2567</v>
      </c>
      <c r="G124" s="80">
        <f>'Stavební rozpočet'!G1445</f>
        <v>1</v>
      </c>
      <c r="H124" s="80">
        <f>'Stavební rozpočet'!H1445</f>
        <v>0</v>
      </c>
      <c r="I124" s="80">
        <f t="shared" si="92"/>
        <v>0</v>
      </c>
      <c r="J124" s="80">
        <f>'Stavební rozpočet'!J1445</f>
        <v>0</v>
      </c>
      <c r="K124" s="80">
        <f t="shared" si="93"/>
        <v>0</v>
      </c>
      <c r="L124" s="82" t="s">
        <v>207</v>
      </c>
      <c r="Z124" s="38">
        <f t="shared" si="94"/>
        <v>0</v>
      </c>
      <c r="AB124" s="38">
        <f t="shared" si="95"/>
        <v>0</v>
      </c>
      <c r="AC124" s="38">
        <f t="shared" si="96"/>
        <v>0</v>
      </c>
      <c r="AD124" s="38">
        <f t="shared" si="97"/>
        <v>0</v>
      </c>
      <c r="AE124" s="38">
        <f t="shared" si="98"/>
        <v>0</v>
      </c>
      <c r="AF124" s="38">
        <f t="shared" si="99"/>
        <v>0</v>
      </c>
      <c r="AG124" s="38">
        <f t="shared" si="100"/>
        <v>0</v>
      </c>
      <c r="AH124" s="38">
        <f t="shared" si="101"/>
        <v>0</v>
      </c>
      <c r="AI124" s="50" t="s">
        <v>93</v>
      </c>
      <c r="AJ124" s="80">
        <f t="shared" si="102"/>
        <v>0</v>
      </c>
      <c r="AK124" s="80">
        <f t="shared" si="103"/>
        <v>0</v>
      </c>
      <c r="AL124" s="80">
        <f t="shared" si="104"/>
        <v>0</v>
      </c>
      <c r="AN124" s="38">
        <v>21</v>
      </c>
      <c r="AO124" s="38">
        <f t="shared" si="105"/>
        <v>0</v>
      </c>
      <c r="AP124" s="38">
        <f t="shared" si="106"/>
        <v>0</v>
      </c>
      <c r="AQ124" s="83" t="s">
        <v>169</v>
      </c>
      <c r="AV124" s="38">
        <f t="shared" si="107"/>
        <v>0</v>
      </c>
      <c r="AW124" s="38">
        <f t="shared" si="108"/>
        <v>0</v>
      </c>
      <c r="AX124" s="38">
        <f t="shared" si="109"/>
        <v>0</v>
      </c>
      <c r="AY124" s="72" t="s">
        <v>2827</v>
      </c>
      <c r="AZ124" s="72" t="s">
        <v>2828</v>
      </c>
      <c r="BA124" s="50" t="s">
        <v>2563</v>
      </c>
      <c r="BC124" s="38">
        <f t="shared" si="110"/>
        <v>0</v>
      </c>
      <c r="BD124" s="38">
        <f t="shared" si="111"/>
        <v>0</v>
      </c>
      <c r="BE124" s="38">
        <v>0</v>
      </c>
      <c r="BF124" s="38">
        <f t="shared" si="112"/>
        <v>0</v>
      </c>
      <c r="BH124" s="80">
        <f t="shared" si="113"/>
        <v>0</v>
      </c>
      <c r="BI124" s="80">
        <f t="shared" si="114"/>
        <v>0</v>
      </c>
      <c r="BJ124" s="80">
        <f t="shared" si="115"/>
        <v>0</v>
      </c>
      <c r="BK124" s="80"/>
      <c r="BL124" s="38"/>
      <c r="BW124" s="38">
        <v>21</v>
      </c>
    </row>
    <row r="125" spans="1:75" ht="13.5" customHeight="1">
      <c r="A125" s="78" t="s">
        <v>784</v>
      </c>
      <c r="B125" s="79" t="s">
        <v>93</v>
      </c>
      <c r="C125" s="79" t="s">
        <v>2861</v>
      </c>
      <c r="D125" s="198" t="s">
        <v>2862</v>
      </c>
      <c r="E125" s="199"/>
      <c r="F125" s="79" t="s">
        <v>2567</v>
      </c>
      <c r="G125" s="80">
        <f>'Stavební rozpočet'!G1446</f>
        <v>3</v>
      </c>
      <c r="H125" s="80">
        <f>'Stavební rozpočet'!H1446</f>
        <v>0</v>
      </c>
      <c r="I125" s="80">
        <f t="shared" si="92"/>
        <v>0</v>
      </c>
      <c r="J125" s="80">
        <f>'Stavební rozpočet'!J1446</f>
        <v>0</v>
      </c>
      <c r="K125" s="80">
        <f t="shared" si="93"/>
        <v>0</v>
      </c>
      <c r="L125" s="82" t="s">
        <v>207</v>
      </c>
      <c r="Z125" s="38">
        <f t="shared" si="94"/>
        <v>0</v>
      </c>
      <c r="AB125" s="38">
        <f t="shared" si="95"/>
        <v>0</v>
      </c>
      <c r="AC125" s="38">
        <f t="shared" si="96"/>
        <v>0</v>
      </c>
      <c r="AD125" s="38">
        <f t="shared" si="97"/>
        <v>0</v>
      </c>
      <c r="AE125" s="38">
        <f t="shared" si="98"/>
        <v>0</v>
      </c>
      <c r="AF125" s="38">
        <f t="shared" si="99"/>
        <v>0</v>
      </c>
      <c r="AG125" s="38">
        <f t="shared" si="100"/>
        <v>0</v>
      </c>
      <c r="AH125" s="38">
        <f t="shared" si="101"/>
        <v>0</v>
      </c>
      <c r="AI125" s="50" t="s">
        <v>93</v>
      </c>
      <c r="AJ125" s="80">
        <f t="shared" si="102"/>
        <v>0</v>
      </c>
      <c r="AK125" s="80">
        <f t="shared" si="103"/>
        <v>0</v>
      </c>
      <c r="AL125" s="80">
        <f t="shared" si="104"/>
        <v>0</v>
      </c>
      <c r="AN125" s="38">
        <v>21</v>
      </c>
      <c r="AO125" s="38">
        <f t="shared" si="105"/>
        <v>0</v>
      </c>
      <c r="AP125" s="38">
        <f t="shared" si="106"/>
        <v>0</v>
      </c>
      <c r="AQ125" s="83" t="s">
        <v>169</v>
      </c>
      <c r="AV125" s="38">
        <f t="shared" si="107"/>
        <v>0</v>
      </c>
      <c r="AW125" s="38">
        <f t="shared" si="108"/>
        <v>0</v>
      </c>
      <c r="AX125" s="38">
        <f t="shared" si="109"/>
        <v>0</v>
      </c>
      <c r="AY125" s="72" t="s">
        <v>2827</v>
      </c>
      <c r="AZ125" s="72" t="s">
        <v>2828</v>
      </c>
      <c r="BA125" s="50" t="s">
        <v>2563</v>
      </c>
      <c r="BC125" s="38">
        <f t="shared" si="110"/>
        <v>0</v>
      </c>
      <c r="BD125" s="38">
        <f t="shared" si="111"/>
        <v>0</v>
      </c>
      <c r="BE125" s="38">
        <v>0</v>
      </c>
      <c r="BF125" s="38">
        <f t="shared" si="112"/>
        <v>0</v>
      </c>
      <c r="BH125" s="80">
        <f t="shared" si="113"/>
        <v>0</v>
      </c>
      <c r="BI125" s="80">
        <f t="shared" si="114"/>
        <v>0</v>
      </c>
      <c r="BJ125" s="80">
        <f t="shared" si="115"/>
        <v>0</v>
      </c>
      <c r="BK125" s="80"/>
      <c r="BL125" s="38"/>
      <c r="BW125" s="38">
        <v>21</v>
      </c>
    </row>
    <row r="126" spans="1:75" ht="13.5" customHeight="1">
      <c r="A126" s="78" t="s">
        <v>787</v>
      </c>
      <c r="B126" s="79" t="s">
        <v>93</v>
      </c>
      <c r="C126" s="79" t="s">
        <v>2864</v>
      </c>
      <c r="D126" s="198" t="s">
        <v>2865</v>
      </c>
      <c r="E126" s="199"/>
      <c r="F126" s="79" t="s">
        <v>2567</v>
      </c>
      <c r="G126" s="80">
        <f>'Stavební rozpočet'!G1447</f>
        <v>1</v>
      </c>
      <c r="H126" s="80">
        <f>'Stavební rozpočet'!H1447</f>
        <v>0</v>
      </c>
      <c r="I126" s="80">
        <f t="shared" si="92"/>
        <v>0</v>
      </c>
      <c r="J126" s="80">
        <f>'Stavební rozpočet'!J1447</f>
        <v>0</v>
      </c>
      <c r="K126" s="80">
        <f t="shared" si="93"/>
        <v>0</v>
      </c>
      <c r="L126" s="82" t="s">
        <v>207</v>
      </c>
      <c r="Z126" s="38">
        <f t="shared" si="94"/>
        <v>0</v>
      </c>
      <c r="AB126" s="38">
        <f t="shared" si="95"/>
        <v>0</v>
      </c>
      <c r="AC126" s="38">
        <f t="shared" si="96"/>
        <v>0</v>
      </c>
      <c r="AD126" s="38">
        <f t="shared" si="97"/>
        <v>0</v>
      </c>
      <c r="AE126" s="38">
        <f t="shared" si="98"/>
        <v>0</v>
      </c>
      <c r="AF126" s="38">
        <f t="shared" si="99"/>
        <v>0</v>
      </c>
      <c r="AG126" s="38">
        <f t="shared" si="100"/>
        <v>0</v>
      </c>
      <c r="AH126" s="38">
        <f t="shared" si="101"/>
        <v>0</v>
      </c>
      <c r="AI126" s="50" t="s">
        <v>93</v>
      </c>
      <c r="AJ126" s="80">
        <f t="shared" si="102"/>
        <v>0</v>
      </c>
      <c r="AK126" s="80">
        <f t="shared" si="103"/>
        <v>0</v>
      </c>
      <c r="AL126" s="80">
        <f t="shared" si="104"/>
        <v>0</v>
      </c>
      <c r="AN126" s="38">
        <v>21</v>
      </c>
      <c r="AO126" s="38">
        <f t="shared" si="105"/>
        <v>0</v>
      </c>
      <c r="AP126" s="38">
        <f t="shared" si="106"/>
        <v>0</v>
      </c>
      <c r="AQ126" s="83" t="s">
        <v>169</v>
      </c>
      <c r="AV126" s="38">
        <f t="shared" si="107"/>
        <v>0</v>
      </c>
      <c r="AW126" s="38">
        <f t="shared" si="108"/>
        <v>0</v>
      </c>
      <c r="AX126" s="38">
        <f t="shared" si="109"/>
        <v>0</v>
      </c>
      <c r="AY126" s="72" t="s">
        <v>2827</v>
      </c>
      <c r="AZ126" s="72" t="s">
        <v>2828</v>
      </c>
      <c r="BA126" s="50" t="s">
        <v>2563</v>
      </c>
      <c r="BC126" s="38">
        <f t="shared" si="110"/>
        <v>0</v>
      </c>
      <c r="BD126" s="38">
        <f t="shared" si="111"/>
        <v>0</v>
      </c>
      <c r="BE126" s="38">
        <v>0</v>
      </c>
      <c r="BF126" s="38">
        <f t="shared" si="112"/>
        <v>0</v>
      </c>
      <c r="BH126" s="80">
        <f t="shared" si="113"/>
        <v>0</v>
      </c>
      <c r="BI126" s="80">
        <f t="shared" si="114"/>
        <v>0</v>
      </c>
      <c r="BJ126" s="80">
        <f t="shared" si="115"/>
        <v>0</v>
      </c>
      <c r="BK126" s="80"/>
      <c r="BL126" s="38"/>
      <c r="BW126" s="38">
        <v>21</v>
      </c>
    </row>
    <row r="127" spans="1:75" ht="13.5" customHeight="1">
      <c r="A127" s="78" t="s">
        <v>789</v>
      </c>
      <c r="B127" s="79" t="s">
        <v>93</v>
      </c>
      <c r="C127" s="79" t="s">
        <v>2867</v>
      </c>
      <c r="D127" s="198" t="s">
        <v>2868</v>
      </c>
      <c r="E127" s="199"/>
      <c r="F127" s="79" t="s">
        <v>2567</v>
      </c>
      <c r="G127" s="80">
        <f>'Stavební rozpočet'!G1448</f>
        <v>1</v>
      </c>
      <c r="H127" s="80">
        <f>'Stavební rozpočet'!H1448</f>
        <v>0</v>
      </c>
      <c r="I127" s="80">
        <f t="shared" si="92"/>
        <v>0</v>
      </c>
      <c r="J127" s="80">
        <f>'Stavební rozpočet'!J1448</f>
        <v>0</v>
      </c>
      <c r="K127" s="80">
        <f t="shared" si="93"/>
        <v>0</v>
      </c>
      <c r="L127" s="82" t="s">
        <v>207</v>
      </c>
      <c r="Z127" s="38">
        <f t="shared" si="94"/>
        <v>0</v>
      </c>
      <c r="AB127" s="38">
        <f t="shared" si="95"/>
        <v>0</v>
      </c>
      <c r="AC127" s="38">
        <f t="shared" si="96"/>
        <v>0</v>
      </c>
      <c r="AD127" s="38">
        <f t="shared" si="97"/>
        <v>0</v>
      </c>
      <c r="AE127" s="38">
        <f t="shared" si="98"/>
        <v>0</v>
      </c>
      <c r="AF127" s="38">
        <f t="shared" si="99"/>
        <v>0</v>
      </c>
      <c r="AG127" s="38">
        <f t="shared" si="100"/>
        <v>0</v>
      </c>
      <c r="AH127" s="38">
        <f t="shared" si="101"/>
        <v>0</v>
      </c>
      <c r="AI127" s="50" t="s">
        <v>93</v>
      </c>
      <c r="AJ127" s="80">
        <f t="shared" si="102"/>
        <v>0</v>
      </c>
      <c r="AK127" s="80">
        <f t="shared" si="103"/>
        <v>0</v>
      </c>
      <c r="AL127" s="80">
        <f t="shared" si="104"/>
        <v>0</v>
      </c>
      <c r="AN127" s="38">
        <v>21</v>
      </c>
      <c r="AO127" s="38">
        <f t="shared" si="105"/>
        <v>0</v>
      </c>
      <c r="AP127" s="38">
        <f t="shared" si="106"/>
        <v>0</v>
      </c>
      <c r="AQ127" s="83" t="s">
        <v>169</v>
      </c>
      <c r="AV127" s="38">
        <f t="shared" si="107"/>
        <v>0</v>
      </c>
      <c r="AW127" s="38">
        <f t="shared" si="108"/>
        <v>0</v>
      </c>
      <c r="AX127" s="38">
        <f t="shared" si="109"/>
        <v>0</v>
      </c>
      <c r="AY127" s="72" t="s">
        <v>2827</v>
      </c>
      <c r="AZ127" s="72" t="s">
        <v>2828</v>
      </c>
      <c r="BA127" s="50" t="s">
        <v>2563</v>
      </c>
      <c r="BC127" s="38">
        <f t="shared" si="110"/>
        <v>0</v>
      </c>
      <c r="BD127" s="38">
        <f t="shared" si="111"/>
        <v>0</v>
      </c>
      <c r="BE127" s="38">
        <v>0</v>
      </c>
      <c r="BF127" s="38">
        <f t="shared" si="112"/>
        <v>0</v>
      </c>
      <c r="BH127" s="80">
        <f t="shared" si="113"/>
        <v>0</v>
      </c>
      <c r="BI127" s="80">
        <f t="shared" si="114"/>
        <v>0</v>
      </c>
      <c r="BJ127" s="80">
        <f t="shared" si="115"/>
        <v>0</v>
      </c>
      <c r="BK127" s="80"/>
      <c r="BL127" s="38"/>
      <c r="BW127" s="38">
        <v>21</v>
      </c>
    </row>
    <row r="128" spans="1:75" ht="13.5" customHeight="1">
      <c r="A128" s="1" t="s">
        <v>792</v>
      </c>
      <c r="B128" s="2" t="s">
        <v>93</v>
      </c>
      <c r="C128" s="2" t="s">
        <v>2817</v>
      </c>
      <c r="D128" s="108" t="s">
        <v>2818</v>
      </c>
      <c r="E128" s="103"/>
      <c r="F128" s="2" t="s">
        <v>2286</v>
      </c>
      <c r="G128" s="38">
        <f>'Stavební rozpočet'!G1449</f>
        <v>22</v>
      </c>
      <c r="H128" s="38">
        <f>'Stavební rozpočet'!H1449</f>
        <v>0</v>
      </c>
      <c r="I128" s="38">
        <f t="shared" si="92"/>
        <v>0</v>
      </c>
      <c r="J128" s="38">
        <f>'Stavební rozpočet'!J1449</f>
        <v>0</v>
      </c>
      <c r="K128" s="38">
        <f t="shared" si="93"/>
        <v>0</v>
      </c>
      <c r="L128" s="71" t="s">
        <v>207</v>
      </c>
      <c r="Z128" s="38">
        <f t="shared" si="94"/>
        <v>0</v>
      </c>
      <c r="AB128" s="38">
        <f t="shared" si="95"/>
        <v>0</v>
      </c>
      <c r="AC128" s="38">
        <f t="shared" si="96"/>
        <v>0</v>
      </c>
      <c r="AD128" s="38">
        <f t="shared" si="97"/>
        <v>0</v>
      </c>
      <c r="AE128" s="38">
        <f t="shared" si="98"/>
        <v>0</v>
      </c>
      <c r="AF128" s="38">
        <f t="shared" si="99"/>
        <v>0</v>
      </c>
      <c r="AG128" s="38">
        <f t="shared" si="100"/>
        <v>0</v>
      </c>
      <c r="AH128" s="38">
        <f t="shared" si="101"/>
        <v>0</v>
      </c>
      <c r="AI128" s="50" t="s">
        <v>93</v>
      </c>
      <c r="AJ128" s="38">
        <f t="shared" si="102"/>
        <v>0</v>
      </c>
      <c r="AK128" s="38">
        <f t="shared" si="103"/>
        <v>0</v>
      </c>
      <c r="AL128" s="38">
        <f t="shared" si="104"/>
        <v>0</v>
      </c>
      <c r="AN128" s="38">
        <v>21</v>
      </c>
      <c r="AO128" s="38">
        <f>H128*0</f>
        <v>0</v>
      </c>
      <c r="AP128" s="38">
        <f>H128*(1-0)</f>
        <v>0</v>
      </c>
      <c r="AQ128" s="72" t="s">
        <v>169</v>
      </c>
      <c r="AV128" s="38">
        <f t="shared" si="107"/>
        <v>0</v>
      </c>
      <c r="AW128" s="38">
        <f t="shared" si="108"/>
        <v>0</v>
      </c>
      <c r="AX128" s="38">
        <f t="shared" si="109"/>
        <v>0</v>
      </c>
      <c r="AY128" s="72" t="s">
        <v>2827</v>
      </c>
      <c r="AZ128" s="72" t="s">
        <v>2828</v>
      </c>
      <c r="BA128" s="50" t="s">
        <v>2563</v>
      </c>
      <c r="BC128" s="38">
        <f t="shared" si="110"/>
        <v>0</v>
      </c>
      <c r="BD128" s="38">
        <f t="shared" si="111"/>
        <v>0</v>
      </c>
      <c r="BE128" s="38">
        <v>0</v>
      </c>
      <c r="BF128" s="38">
        <f t="shared" si="112"/>
        <v>0</v>
      </c>
      <c r="BH128" s="38">
        <f t="shared" si="113"/>
        <v>0</v>
      </c>
      <c r="BI128" s="38">
        <f t="shared" si="114"/>
        <v>0</v>
      </c>
      <c r="BJ128" s="38">
        <f t="shared" si="115"/>
        <v>0</v>
      </c>
      <c r="BK128" s="38"/>
      <c r="BL128" s="38"/>
      <c r="BW128" s="38">
        <v>21</v>
      </c>
    </row>
    <row r="129" spans="1:12" ht="13.5" customHeight="1">
      <c r="A129" s="74"/>
      <c r="D129" s="194" t="s">
        <v>2870</v>
      </c>
      <c r="E129" s="195"/>
      <c r="F129" s="195"/>
      <c r="G129" s="195"/>
      <c r="H129" s="195"/>
      <c r="I129" s="195"/>
      <c r="J129" s="195"/>
      <c r="K129" s="195"/>
      <c r="L129" s="197"/>
    </row>
    <row r="130" spans="1:75" ht="13.5" customHeight="1">
      <c r="A130" s="78" t="s">
        <v>795</v>
      </c>
      <c r="B130" s="79" t="s">
        <v>93</v>
      </c>
      <c r="C130" s="79" t="s">
        <v>2854</v>
      </c>
      <c r="D130" s="198" t="s">
        <v>2832</v>
      </c>
      <c r="E130" s="199"/>
      <c r="F130" s="79" t="s">
        <v>2567</v>
      </c>
      <c r="G130" s="80">
        <f>'Stavební rozpočet'!G1451</f>
        <v>1</v>
      </c>
      <c r="H130" s="80">
        <f>'Stavební rozpočet'!H1451</f>
        <v>0</v>
      </c>
      <c r="I130" s="80">
        <f aca="true" t="shared" si="116" ref="I130:I149">G130*H130</f>
        <v>0</v>
      </c>
      <c r="J130" s="80">
        <f>'Stavební rozpočet'!J1451</f>
        <v>0</v>
      </c>
      <c r="K130" s="80">
        <f aca="true" t="shared" si="117" ref="K130:K149">G130*J130</f>
        <v>0</v>
      </c>
      <c r="L130" s="82" t="s">
        <v>207</v>
      </c>
      <c r="Z130" s="38">
        <f aca="true" t="shared" si="118" ref="Z130:Z149">IF(AQ130="5",BJ130,0)</f>
        <v>0</v>
      </c>
      <c r="AB130" s="38">
        <f aca="true" t="shared" si="119" ref="AB130:AB149">IF(AQ130="1",BH130,0)</f>
        <v>0</v>
      </c>
      <c r="AC130" s="38">
        <f aca="true" t="shared" si="120" ref="AC130:AC149">IF(AQ130="1",BI130,0)</f>
        <v>0</v>
      </c>
      <c r="AD130" s="38">
        <f aca="true" t="shared" si="121" ref="AD130:AD149">IF(AQ130="7",BH130,0)</f>
        <v>0</v>
      </c>
      <c r="AE130" s="38">
        <f aca="true" t="shared" si="122" ref="AE130:AE149">IF(AQ130="7",BI130,0)</f>
        <v>0</v>
      </c>
      <c r="AF130" s="38">
        <f aca="true" t="shared" si="123" ref="AF130:AF149">IF(AQ130="2",BH130,0)</f>
        <v>0</v>
      </c>
      <c r="AG130" s="38">
        <f aca="true" t="shared" si="124" ref="AG130:AG149">IF(AQ130="2",BI130,0)</f>
        <v>0</v>
      </c>
      <c r="AH130" s="38">
        <f aca="true" t="shared" si="125" ref="AH130:AH149">IF(AQ130="0",BJ130,0)</f>
        <v>0</v>
      </c>
      <c r="AI130" s="50" t="s">
        <v>93</v>
      </c>
      <c r="AJ130" s="80">
        <f aca="true" t="shared" si="126" ref="AJ130:AJ149">IF(AN130=0,I130,0)</f>
        <v>0</v>
      </c>
      <c r="AK130" s="80">
        <f aca="true" t="shared" si="127" ref="AK130:AK149">IF(AN130=12,I130,0)</f>
        <v>0</v>
      </c>
      <c r="AL130" s="80">
        <f aca="true" t="shared" si="128" ref="AL130:AL149">IF(AN130=21,I130,0)</f>
        <v>0</v>
      </c>
      <c r="AN130" s="38">
        <v>21</v>
      </c>
      <c r="AO130" s="38">
        <f aca="true" t="shared" si="129" ref="AO130:AO148">H130*1</f>
        <v>0</v>
      </c>
      <c r="AP130" s="38">
        <f aca="true" t="shared" si="130" ref="AP130:AP148">H130*(1-1)</f>
        <v>0</v>
      </c>
      <c r="AQ130" s="83" t="s">
        <v>169</v>
      </c>
      <c r="AV130" s="38">
        <f aca="true" t="shared" si="131" ref="AV130:AV149">AW130+AX130</f>
        <v>0</v>
      </c>
      <c r="AW130" s="38">
        <f aca="true" t="shared" si="132" ref="AW130:AW149">G130*AO130</f>
        <v>0</v>
      </c>
      <c r="AX130" s="38">
        <f aca="true" t="shared" si="133" ref="AX130:AX149">G130*AP130</f>
        <v>0</v>
      </c>
      <c r="AY130" s="72" t="s">
        <v>2827</v>
      </c>
      <c r="AZ130" s="72" t="s">
        <v>2828</v>
      </c>
      <c r="BA130" s="50" t="s">
        <v>2563</v>
      </c>
      <c r="BC130" s="38">
        <f aca="true" t="shared" si="134" ref="BC130:BC149">AW130+AX130</f>
        <v>0</v>
      </c>
      <c r="BD130" s="38">
        <f aca="true" t="shared" si="135" ref="BD130:BD149">H130/(100-BE130)*100</f>
        <v>0</v>
      </c>
      <c r="BE130" s="38">
        <v>0</v>
      </c>
      <c r="BF130" s="38">
        <f aca="true" t="shared" si="136" ref="BF130:BF149">K130</f>
        <v>0</v>
      </c>
      <c r="BH130" s="80">
        <f aca="true" t="shared" si="137" ref="BH130:BH149">G130*AO130</f>
        <v>0</v>
      </c>
      <c r="BI130" s="80">
        <f aca="true" t="shared" si="138" ref="BI130:BI149">G130*AP130</f>
        <v>0</v>
      </c>
      <c r="BJ130" s="80">
        <f aca="true" t="shared" si="139" ref="BJ130:BJ149">G130*H130</f>
        <v>0</v>
      </c>
      <c r="BK130" s="80"/>
      <c r="BL130" s="38"/>
      <c r="BW130" s="38">
        <v>21</v>
      </c>
    </row>
    <row r="131" spans="1:75" ht="13.5" customHeight="1">
      <c r="A131" s="78" t="s">
        <v>798</v>
      </c>
      <c r="B131" s="79" t="s">
        <v>93</v>
      </c>
      <c r="C131" s="79" t="s">
        <v>2856</v>
      </c>
      <c r="D131" s="198" t="s">
        <v>2835</v>
      </c>
      <c r="E131" s="199"/>
      <c r="F131" s="79" t="s">
        <v>2567</v>
      </c>
      <c r="G131" s="80">
        <f>'Stavební rozpočet'!G1452</f>
        <v>1</v>
      </c>
      <c r="H131" s="80">
        <f>'Stavební rozpočet'!H1452</f>
        <v>0</v>
      </c>
      <c r="I131" s="80">
        <f t="shared" si="116"/>
        <v>0</v>
      </c>
      <c r="J131" s="80">
        <f>'Stavební rozpočet'!J1452</f>
        <v>0</v>
      </c>
      <c r="K131" s="80">
        <f t="shared" si="117"/>
        <v>0</v>
      </c>
      <c r="L131" s="82" t="s">
        <v>207</v>
      </c>
      <c r="Z131" s="38">
        <f t="shared" si="118"/>
        <v>0</v>
      </c>
      <c r="AB131" s="38">
        <f t="shared" si="119"/>
        <v>0</v>
      </c>
      <c r="AC131" s="38">
        <f t="shared" si="120"/>
        <v>0</v>
      </c>
      <c r="AD131" s="38">
        <f t="shared" si="121"/>
        <v>0</v>
      </c>
      <c r="AE131" s="38">
        <f t="shared" si="122"/>
        <v>0</v>
      </c>
      <c r="AF131" s="38">
        <f t="shared" si="123"/>
        <v>0</v>
      </c>
      <c r="AG131" s="38">
        <f t="shared" si="124"/>
        <v>0</v>
      </c>
      <c r="AH131" s="38">
        <f t="shared" si="125"/>
        <v>0</v>
      </c>
      <c r="AI131" s="50" t="s">
        <v>93</v>
      </c>
      <c r="AJ131" s="80">
        <f t="shared" si="126"/>
        <v>0</v>
      </c>
      <c r="AK131" s="80">
        <f t="shared" si="127"/>
        <v>0</v>
      </c>
      <c r="AL131" s="80">
        <f t="shared" si="128"/>
        <v>0</v>
      </c>
      <c r="AN131" s="38">
        <v>21</v>
      </c>
      <c r="AO131" s="38">
        <f t="shared" si="129"/>
        <v>0</v>
      </c>
      <c r="AP131" s="38">
        <f t="shared" si="130"/>
        <v>0</v>
      </c>
      <c r="AQ131" s="83" t="s">
        <v>169</v>
      </c>
      <c r="AV131" s="38">
        <f t="shared" si="131"/>
        <v>0</v>
      </c>
      <c r="AW131" s="38">
        <f t="shared" si="132"/>
        <v>0</v>
      </c>
      <c r="AX131" s="38">
        <f t="shared" si="133"/>
        <v>0</v>
      </c>
      <c r="AY131" s="72" t="s">
        <v>2827</v>
      </c>
      <c r="AZ131" s="72" t="s">
        <v>2828</v>
      </c>
      <c r="BA131" s="50" t="s">
        <v>2563</v>
      </c>
      <c r="BC131" s="38">
        <f t="shared" si="134"/>
        <v>0</v>
      </c>
      <c r="BD131" s="38">
        <f t="shared" si="135"/>
        <v>0</v>
      </c>
      <c r="BE131" s="38">
        <v>0</v>
      </c>
      <c r="BF131" s="38">
        <f t="shared" si="136"/>
        <v>0</v>
      </c>
      <c r="BH131" s="80">
        <f t="shared" si="137"/>
        <v>0</v>
      </c>
      <c r="BI131" s="80">
        <f t="shared" si="138"/>
        <v>0</v>
      </c>
      <c r="BJ131" s="80">
        <f t="shared" si="139"/>
        <v>0</v>
      </c>
      <c r="BK131" s="80"/>
      <c r="BL131" s="38"/>
      <c r="BW131" s="38">
        <v>21</v>
      </c>
    </row>
    <row r="132" spans="1:75" ht="27" customHeight="1">
      <c r="A132" s="78" t="s">
        <v>802</v>
      </c>
      <c r="B132" s="79" t="s">
        <v>93</v>
      </c>
      <c r="C132" s="79" t="s">
        <v>2874</v>
      </c>
      <c r="D132" s="198" t="s">
        <v>2875</v>
      </c>
      <c r="E132" s="199"/>
      <c r="F132" s="79" t="s">
        <v>2567</v>
      </c>
      <c r="G132" s="80">
        <f>'Stavební rozpočet'!G1453</f>
        <v>1</v>
      </c>
      <c r="H132" s="80">
        <f>'Stavební rozpočet'!H1453</f>
        <v>0</v>
      </c>
      <c r="I132" s="80">
        <f t="shared" si="116"/>
        <v>0</v>
      </c>
      <c r="J132" s="80">
        <f>'Stavební rozpočet'!J1453</f>
        <v>0</v>
      </c>
      <c r="K132" s="80">
        <f t="shared" si="117"/>
        <v>0</v>
      </c>
      <c r="L132" s="82" t="s">
        <v>207</v>
      </c>
      <c r="Z132" s="38">
        <f t="shared" si="118"/>
        <v>0</v>
      </c>
      <c r="AB132" s="38">
        <f t="shared" si="119"/>
        <v>0</v>
      </c>
      <c r="AC132" s="38">
        <f t="shared" si="120"/>
        <v>0</v>
      </c>
      <c r="AD132" s="38">
        <f t="shared" si="121"/>
        <v>0</v>
      </c>
      <c r="AE132" s="38">
        <f t="shared" si="122"/>
        <v>0</v>
      </c>
      <c r="AF132" s="38">
        <f t="shared" si="123"/>
        <v>0</v>
      </c>
      <c r="AG132" s="38">
        <f t="shared" si="124"/>
        <v>0</v>
      </c>
      <c r="AH132" s="38">
        <f t="shared" si="125"/>
        <v>0</v>
      </c>
      <c r="AI132" s="50" t="s">
        <v>93</v>
      </c>
      <c r="AJ132" s="80">
        <f t="shared" si="126"/>
        <v>0</v>
      </c>
      <c r="AK132" s="80">
        <f t="shared" si="127"/>
        <v>0</v>
      </c>
      <c r="AL132" s="80">
        <f t="shared" si="128"/>
        <v>0</v>
      </c>
      <c r="AN132" s="38">
        <v>21</v>
      </c>
      <c r="AO132" s="38">
        <f t="shared" si="129"/>
        <v>0</v>
      </c>
      <c r="AP132" s="38">
        <f t="shared" si="130"/>
        <v>0</v>
      </c>
      <c r="AQ132" s="83" t="s">
        <v>169</v>
      </c>
      <c r="AV132" s="38">
        <f t="shared" si="131"/>
        <v>0</v>
      </c>
      <c r="AW132" s="38">
        <f t="shared" si="132"/>
        <v>0</v>
      </c>
      <c r="AX132" s="38">
        <f t="shared" si="133"/>
        <v>0</v>
      </c>
      <c r="AY132" s="72" t="s">
        <v>2827</v>
      </c>
      <c r="AZ132" s="72" t="s">
        <v>2828</v>
      </c>
      <c r="BA132" s="50" t="s">
        <v>2563</v>
      </c>
      <c r="BC132" s="38">
        <f t="shared" si="134"/>
        <v>0</v>
      </c>
      <c r="BD132" s="38">
        <f t="shared" si="135"/>
        <v>0</v>
      </c>
      <c r="BE132" s="38">
        <v>0</v>
      </c>
      <c r="BF132" s="38">
        <f t="shared" si="136"/>
        <v>0</v>
      </c>
      <c r="BH132" s="80">
        <f t="shared" si="137"/>
        <v>0</v>
      </c>
      <c r="BI132" s="80">
        <f t="shared" si="138"/>
        <v>0</v>
      </c>
      <c r="BJ132" s="80">
        <f t="shared" si="139"/>
        <v>0</v>
      </c>
      <c r="BK132" s="80"/>
      <c r="BL132" s="38"/>
      <c r="BW132" s="38">
        <v>21</v>
      </c>
    </row>
    <row r="133" spans="1:75" ht="27" customHeight="1">
      <c r="A133" s="78" t="s">
        <v>805</v>
      </c>
      <c r="B133" s="79" t="s">
        <v>93</v>
      </c>
      <c r="C133" s="79" t="s">
        <v>2877</v>
      </c>
      <c r="D133" s="198" t="s">
        <v>2878</v>
      </c>
      <c r="E133" s="199"/>
      <c r="F133" s="79" t="s">
        <v>2567</v>
      </c>
      <c r="G133" s="80">
        <f>'Stavební rozpočet'!G1454</f>
        <v>1</v>
      </c>
      <c r="H133" s="80">
        <f>'Stavební rozpočet'!H1454</f>
        <v>0</v>
      </c>
      <c r="I133" s="80">
        <f t="shared" si="116"/>
        <v>0</v>
      </c>
      <c r="J133" s="80">
        <f>'Stavební rozpočet'!J1454</f>
        <v>0</v>
      </c>
      <c r="K133" s="80">
        <f t="shared" si="117"/>
        <v>0</v>
      </c>
      <c r="L133" s="82" t="s">
        <v>207</v>
      </c>
      <c r="Z133" s="38">
        <f t="shared" si="118"/>
        <v>0</v>
      </c>
      <c r="AB133" s="38">
        <f t="shared" si="119"/>
        <v>0</v>
      </c>
      <c r="AC133" s="38">
        <f t="shared" si="120"/>
        <v>0</v>
      </c>
      <c r="AD133" s="38">
        <f t="shared" si="121"/>
        <v>0</v>
      </c>
      <c r="AE133" s="38">
        <f t="shared" si="122"/>
        <v>0</v>
      </c>
      <c r="AF133" s="38">
        <f t="shared" si="123"/>
        <v>0</v>
      </c>
      <c r="AG133" s="38">
        <f t="shared" si="124"/>
        <v>0</v>
      </c>
      <c r="AH133" s="38">
        <f t="shared" si="125"/>
        <v>0</v>
      </c>
      <c r="AI133" s="50" t="s">
        <v>93</v>
      </c>
      <c r="AJ133" s="80">
        <f t="shared" si="126"/>
        <v>0</v>
      </c>
      <c r="AK133" s="80">
        <f t="shared" si="127"/>
        <v>0</v>
      </c>
      <c r="AL133" s="80">
        <f t="shared" si="128"/>
        <v>0</v>
      </c>
      <c r="AN133" s="38">
        <v>21</v>
      </c>
      <c r="AO133" s="38">
        <f t="shared" si="129"/>
        <v>0</v>
      </c>
      <c r="AP133" s="38">
        <f t="shared" si="130"/>
        <v>0</v>
      </c>
      <c r="AQ133" s="83" t="s">
        <v>169</v>
      </c>
      <c r="AV133" s="38">
        <f t="shared" si="131"/>
        <v>0</v>
      </c>
      <c r="AW133" s="38">
        <f t="shared" si="132"/>
        <v>0</v>
      </c>
      <c r="AX133" s="38">
        <f t="shared" si="133"/>
        <v>0</v>
      </c>
      <c r="AY133" s="72" t="s">
        <v>2827</v>
      </c>
      <c r="AZ133" s="72" t="s">
        <v>2828</v>
      </c>
      <c r="BA133" s="50" t="s">
        <v>2563</v>
      </c>
      <c r="BC133" s="38">
        <f t="shared" si="134"/>
        <v>0</v>
      </c>
      <c r="BD133" s="38">
        <f t="shared" si="135"/>
        <v>0</v>
      </c>
      <c r="BE133" s="38">
        <v>0</v>
      </c>
      <c r="BF133" s="38">
        <f t="shared" si="136"/>
        <v>0</v>
      </c>
      <c r="BH133" s="80">
        <f t="shared" si="137"/>
        <v>0</v>
      </c>
      <c r="BI133" s="80">
        <f t="shared" si="138"/>
        <v>0</v>
      </c>
      <c r="BJ133" s="80">
        <f t="shared" si="139"/>
        <v>0</v>
      </c>
      <c r="BK133" s="80"/>
      <c r="BL133" s="38"/>
      <c r="BW133" s="38">
        <v>21</v>
      </c>
    </row>
    <row r="134" spans="1:75" ht="13.5" customHeight="1">
      <c r="A134" s="78" t="s">
        <v>808</v>
      </c>
      <c r="B134" s="79" t="s">
        <v>93</v>
      </c>
      <c r="C134" s="79" t="s">
        <v>2880</v>
      </c>
      <c r="D134" s="198" t="s">
        <v>2881</v>
      </c>
      <c r="E134" s="199"/>
      <c r="F134" s="79" t="s">
        <v>2567</v>
      </c>
      <c r="G134" s="80">
        <f>'Stavební rozpočet'!G1455</f>
        <v>3</v>
      </c>
      <c r="H134" s="80">
        <f>'Stavební rozpočet'!H1455</f>
        <v>0</v>
      </c>
      <c r="I134" s="80">
        <f t="shared" si="116"/>
        <v>0</v>
      </c>
      <c r="J134" s="80">
        <f>'Stavební rozpočet'!J1455</f>
        <v>0</v>
      </c>
      <c r="K134" s="80">
        <f t="shared" si="117"/>
        <v>0</v>
      </c>
      <c r="L134" s="82" t="s">
        <v>207</v>
      </c>
      <c r="Z134" s="38">
        <f t="shared" si="118"/>
        <v>0</v>
      </c>
      <c r="AB134" s="38">
        <f t="shared" si="119"/>
        <v>0</v>
      </c>
      <c r="AC134" s="38">
        <f t="shared" si="120"/>
        <v>0</v>
      </c>
      <c r="AD134" s="38">
        <f t="shared" si="121"/>
        <v>0</v>
      </c>
      <c r="AE134" s="38">
        <f t="shared" si="122"/>
        <v>0</v>
      </c>
      <c r="AF134" s="38">
        <f t="shared" si="123"/>
        <v>0</v>
      </c>
      <c r="AG134" s="38">
        <f t="shared" si="124"/>
        <v>0</v>
      </c>
      <c r="AH134" s="38">
        <f t="shared" si="125"/>
        <v>0</v>
      </c>
      <c r="AI134" s="50" t="s">
        <v>93</v>
      </c>
      <c r="AJ134" s="80">
        <f t="shared" si="126"/>
        <v>0</v>
      </c>
      <c r="AK134" s="80">
        <f t="shared" si="127"/>
        <v>0</v>
      </c>
      <c r="AL134" s="80">
        <f t="shared" si="128"/>
        <v>0</v>
      </c>
      <c r="AN134" s="38">
        <v>21</v>
      </c>
      <c r="AO134" s="38">
        <f t="shared" si="129"/>
        <v>0</v>
      </c>
      <c r="AP134" s="38">
        <f t="shared" si="130"/>
        <v>0</v>
      </c>
      <c r="AQ134" s="83" t="s">
        <v>169</v>
      </c>
      <c r="AV134" s="38">
        <f t="shared" si="131"/>
        <v>0</v>
      </c>
      <c r="AW134" s="38">
        <f t="shared" si="132"/>
        <v>0</v>
      </c>
      <c r="AX134" s="38">
        <f t="shared" si="133"/>
        <v>0</v>
      </c>
      <c r="AY134" s="72" t="s">
        <v>2827</v>
      </c>
      <c r="AZ134" s="72" t="s">
        <v>2828</v>
      </c>
      <c r="BA134" s="50" t="s">
        <v>2563</v>
      </c>
      <c r="BC134" s="38">
        <f t="shared" si="134"/>
        <v>0</v>
      </c>
      <c r="BD134" s="38">
        <f t="shared" si="135"/>
        <v>0</v>
      </c>
      <c r="BE134" s="38">
        <v>0</v>
      </c>
      <c r="BF134" s="38">
        <f t="shared" si="136"/>
        <v>0</v>
      </c>
      <c r="BH134" s="80">
        <f t="shared" si="137"/>
        <v>0</v>
      </c>
      <c r="BI134" s="80">
        <f t="shared" si="138"/>
        <v>0</v>
      </c>
      <c r="BJ134" s="80">
        <f t="shared" si="139"/>
        <v>0</v>
      </c>
      <c r="BK134" s="80"/>
      <c r="BL134" s="38"/>
      <c r="BW134" s="38">
        <v>21</v>
      </c>
    </row>
    <row r="135" spans="1:75" ht="27" customHeight="1">
      <c r="A135" s="78" t="s">
        <v>813</v>
      </c>
      <c r="B135" s="79" t="s">
        <v>93</v>
      </c>
      <c r="C135" s="79" t="s">
        <v>2883</v>
      </c>
      <c r="D135" s="198" t="s">
        <v>2884</v>
      </c>
      <c r="E135" s="199"/>
      <c r="F135" s="79" t="s">
        <v>2567</v>
      </c>
      <c r="G135" s="80">
        <f>'Stavební rozpočet'!G1456</f>
        <v>1</v>
      </c>
      <c r="H135" s="80">
        <f>'Stavební rozpočet'!H1456</f>
        <v>0</v>
      </c>
      <c r="I135" s="80">
        <f t="shared" si="116"/>
        <v>0</v>
      </c>
      <c r="J135" s="80">
        <f>'Stavební rozpočet'!J1456</f>
        <v>0</v>
      </c>
      <c r="K135" s="80">
        <f t="shared" si="117"/>
        <v>0</v>
      </c>
      <c r="L135" s="82" t="s">
        <v>207</v>
      </c>
      <c r="Z135" s="38">
        <f t="shared" si="118"/>
        <v>0</v>
      </c>
      <c r="AB135" s="38">
        <f t="shared" si="119"/>
        <v>0</v>
      </c>
      <c r="AC135" s="38">
        <f t="shared" si="120"/>
        <v>0</v>
      </c>
      <c r="AD135" s="38">
        <f t="shared" si="121"/>
        <v>0</v>
      </c>
      <c r="AE135" s="38">
        <f t="shared" si="122"/>
        <v>0</v>
      </c>
      <c r="AF135" s="38">
        <f t="shared" si="123"/>
        <v>0</v>
      </c>
      <c r="AG135" s="38">
        <f t="shared" si="124"/>
        <v>0</v>
      </c>
      <c r="AH135" s="38">
        <f t="shared" si="125"/>
        <v>0</v>
      </c>
      <c r="AI135" s="50" t="s">
        <v>93</v>
      </c>
      <c r="AJ135" s="80">
        <f t="shared" si="126"/>
        <v>0</v>
      </c>
      <c r="AK135" s="80">
        <f t="shared" si="127"/>
        <v>0</v>
      </c>
      <c r="AL135" s="80">
        <f t="shared" si="128"/>
        <v>0</v>
      </c>
      <c r="AN135" s="38">
        <v>21</v>
      </c>
      <c r="AO135" s="38">
        <f t="shared" si="129"/>
        <v>0</v>
      </c>
      <c r="AP135" s="38">
        <f t="shared" si="130"/>
        <v>0</v>
      </c>
      <c r="AQ135" s="83" t="s">
        <v>169</v>
      </c>
      <c r="AV135" s="38">
        <f t="shared" si="131"/>
        <v>0</v>
      </c>
      <c r="AW135" s="38">
        <f t="shared" si="132"/>
        <v>0</v>
      </c>
      <c r="AX135" s="38">
        <f t="shared" si="133"/>
        <v>0</v>
      </c>
      <c r="AY135" s="72" t="s">
        <v>2827</v>
      </c>
      <c r="AZ135" s="72" t="s">
        <v>2828</v>
      </c>
      <c r="BA135" s="50" t="s">
        <v>2563</v>
      </c>
      <c r="BC135" s="38">
        <f t="shared" si="134"/>
        <v>0</v>
      </c>
      <c r="BD135" s="38">
        <f t="shared" si="135"/>
        <v>0</v>
      </c>
      <c r="BE135" s="38">
        <v>0</v>
      </c>
      <c r="BF135" s="38">
        <f t="shared" si="136"/>
        <v>0</v>
      </c>
      <c r="BH135" s="80">
        <f t="shared" si="137"/>
        <v>0</v>
      </c>
      <c r="BI135" s="80">
        <f t="shared" si="138"/>
        <v>0</v>
      </c>
      <c r="BJ135" s="80">
        <f t="shared" si="139"/>
        <v>0</v>
      </c>
      <c r="BK135" s="80"/>
      <c r="BL135" s="38"/>
      <c r="BW135" s="38">
        <v>21</v>
      </c>
    </row>
    <row r="136" spans="1:75" ht="27" customHeight="1">
      <c r="A136" s="78" t="s">
        <v>819</v>
      </c>
      <c r="B136" s="79" t="s">
        <v>93</v>
      </c>
      <c r="C136" s="79" t="s">
        <v>2886</v>
      </c>
      <c r="D136" s="198" t="s">
        <v>2887</v>
      </c>
      <c r="E136" s="199"/>
      <c r="F136" s="79" t="s">
        <v>2567</v>
      </c>
      <c r="G136" s="80">
        <f>'Stavební rozpočet'!G1457</f>
        <v>1</v>
      </c>
      <c r="H136" s="80">
        <f>'Stavební rozpočet'!H1457</f>
        <v>0</v>
      </c>
      <c r="I136" s="80">
        <f t="shared" si="116"/>
        <v>0</v>
      </c>
      <c r="J136" s="80">
        <f>'Stavební rozpočet'!J1457</f>
        <v>0</v>
      </c>
      <c r="K136" s="80">
        <f t="shared" si="117"/>
        <v>0</v>
      </c>
      <c r="L136" s="82" t="s">
        <v>207</v>
      </c>
      <c r="Z136" s="38">
        <f t="shared" si="118"/>
        <v>0</v>
      </c>
      <c r="AB136" s="38">
        <f t="shared" si="119"/>
        <v>0</v>
      </c>
      <c r="AC136" s="38">
        <f t="shared" si="120"/>
        <v>0</v>
      </c>
      <c r="AD136" s="38">
        <f t="shared" si="121"/>
        <v>0</v>
      </c>
      <c r="AE136" s="38">
        <f t="shared" si="122"/>
        <v>0</v>
      </c>
      <c r="AF136" s="38">
        <f t="shared" si="123"/>
        <v>0</v>
      </c>
      <c r="AG136" s="38">
        <f t="shared" si="124"/>
        <v>0</v>
      </c>
      <c r="AH136" s="38">
        <f t="shared" si="125"/>
        <v>0</v>
      </c>
      <c r="AI136" s="50" t="s">
        <v>93</v>
      </c>
      <c r="AJ136" s="80">
        <f t="shared" si="126"/>
        <v>0</v>
      </c>
      <c r="AK136" s="80">
        <f t="shared" si="127"/>
        <v>0</v>
      </c>
      <c r="AL136" s="80">
        <f t="shared" si="128"/>
        <v>0</v>
      </c>
      <c r="AN136" s="38">
        <v>21</v>
      </c>
      <c r="AO136" s="38">
        <f t="shared" si="129"/>
        <v>0</v>
      </c>
      <c r="AP136" s="38">
        <f t="shared" si="130"/>
        <v>0</v>
      </c>
      <c r="AQ136" s="83" t="s">
        <v>169</v>
      </c>
      <c r="AV136" s="38">
        <f t="shared" si="131"/>
        <v>0</v>
      </c>
      <c r="AW136" s="38">
        <f t="shared" si="132"/>
        <v>0</v>
      </c>
      <c r="AX136" s="38">
        <f t="shared" si="133"/>
        <v>0</v>
      </c>
      <c r="AY136" s="72" t="s">
        <v>2827</v>
      </c>
      <c r="AZ136" s="72" t="s">
        <v>2828</v>
      </c>
      <c r="BA136" s="50" t="s">
        <v>2563</v>
      </c>
      <c r="BC136" s="38">
        <f t="shared" si="134"/>
        <v>0</v>
      </c>
      <c r="BD136" s="38">
        <f t="shared" si="135"/>
        <v>0</v>
      </c>
      <c r="BE136" s="38">
        <v>0</v>
      </c>
      <c r="BF136" s="38">
        <f t="shared" si="136"/>
        <v>0</v>
      </c>
      <c r="BH136" s="80">
        <f t="shared" si="137"/>
        <v>0</v>
      </c>
      <c r="BI136" s="80">
        <f t="shared" si="138"/>
        <v>0</v>
      </c>
      <c r="BJ136" s="80">
        <f t="shared" si="139"/>
        <v>0</v>
      </c>
      <c r="BK136" s="80"/>
      <c r="BL136" s="38"/>
      <c r="BW136" s="38">
        <v>21</v>
      </c>
    </row>
    <row r="137" spans="1:75" ht="27" customHeight="1">
      <c r="A137" s="78" t="s">
        <v>825</v>
      </c>
      <c r="B137" s="79" t="s">
        <v>93</v>
      </c>
      <c r="C137" s="79" t="s">
        <v>2889</v>
      </c>
      <c r="D137" s="198" t="s">
        <v>2890</v>
      </c>
      <c r="E137" s="199"/>
      <c r="F137" s="79" t="s">
        <v>2567</v>
      </c>
      <c r="G137" s="80">
        <f>'Stavební rozpočet'!G1458</f>
        <v>8</v>
      </c>
      <c r="H137" s="80">
        <f>'Stavební rozpočet'!H1458</f>
        <v>0</v>
      </c>
      <c r="I137" s="80">
        <f t="shared" si="116"/>
        <v>0</v>
      </c>
      <c r="J137" s="80">
        <f>'Stavební rozpočet'!J1458</f>
        <v>0</v>
      </c>
      <c r="K137" s="80">
        <f t="shared" si="117"/>
        <v>0</v>
      </c>
      <c r="L137" s="82" t="s">
        <v>207</v>
      </c>
      <c r="Z137" s="38">
        <f t="shared" si="118"/>
        <v>0</v>
      </c>
      <c r="AB137" s="38">
        <f t="shared" si="119"/>
        <v>0</v>
      </c>
      <c r="AC137" s="38">
        <f t="shared" si="120"/>
        <v>0</v>
      </c>
      <c r="AD137" s="38">
        <f t="shared" si="121"/>
        <v>0</v>
      </c>
      <c r="AE137" s="38">
        <f t="shared" si="122"/>
        <v>0</v>
      </c>
      <c r="AF137" s="38">
        <f t="shared" si="123"/>
        <v>0</v>
      </c>
      <c r="AG137" s="38">
        <f t="shared" si="124"/>
        <v>0</v>
      </c>
      <c r="AH137" s="38">
        <f t="shared" si="125"/>
        <v>0</v>
      </c>
      <c r="AI137" s="50" t="s">
        <v>93</v>
      </c>
      <c r="AJ137" s="80">
        <f t="shared" si="126"/>
        <v>0</v>
      </c>
      <c r="AK137" s="80">
        <f t="shared" si="127"/>
        <v>0</v>
      </c>
      <c r="AL137" s="80">
        <f t="shared" si="128"/>
        <v>0</v>
      </c>
      <c r="AN137" s="38">
        <v>21</v>
      </c>
      <c r="AO137" s="38">
        <f t="shared" si="129"/>
        <v>0</v>
      </c>
      <c r="AP137" s="38">
        <f t="shared" si="130"/>
        <v>0</v>
      </c>
      <c r="AQ137" s="83" t="s">
        <v>169</v>
      </c>
      <c r="AV137" s="38">
        <f t="shared" si="131"/>
        <v>0</v>
      </c>
      <c r="AW137" s="38">
        <f t="shared" si="132"/>
        <v>0</v>
      </c>
      <c r="AX137" s="38">
        <f t="shared" si="133"/>
        <v>0</v>
      </c>
      <c r="AY137" s="72" t="s">
        <v>2827</v>
      </c>
      <c r="AZ137" s="72" t="s">
        <v>2828</v>
      </c>
      <c r="BA137" s="50" t="s">
        <v>2563</v>
      </c>
      <c r="BC137" s="38">
        <f t="shared" si="134"/>
        <v>0</v>
      </c>
      <c r="BD137" s="38">
        <f t="shared" si="135"/>
        <v>0</v>
      </c>
      <c r="BE137" s="38">
        <v>0</v>
      </c>
      <c r="BF137" s="38">
        <f t="shared" si="136"/>
        <v>0</v>
      </c>
      <c r="BH137" s="80">
        <f t="shared" si="137"/>
        <v>0</v>
      </c>
      <c r="BI137" s="80">
        <f t="shared" si="138"/>
        <v>0</v>
      </c>
      <c r="BJ137" s="80">
        <f t="shared" si="139"/>
        <v>0</v>
      </c>
      <c r="BK137" s="80"/>
      <c r="BL137" s="38"/>
      <c r="BW137" s="38">
        <v>21</v>
      </c>
    </row>
    <row r="138" spans="1:75" ht="27" customHeight="1">
      <c r="A138" s="78" t="s">
        <v>831</v>
      </c>
      <c r="B138" s="79" t="s">
        <v>93</v>
      </c>
      <c r="C138" s="79" t="s">
        <v>2892</v>
      </c>
      <c r="D138" s="198" t="s">
        <v>2893</v>
      </c>
      <c r="E138" s="199"/>
      <c r="F138" s="79" t="s">
        <v>2567</v>
      </c>
      <c r="G138" s="80">
        <f>'Stavební rozpočet'!G1459</f>
        <v>9</v>
      </c>
      <c r="H138" s="80">
        <f>'Stavební rozpočet'!H1459</f>
        <v>0</v>
      </c>
      <c r="I138" s="80">
        <f t="shared" si="116"/>
        <v>0</v>
      </c>
      <c r="J138" s="80">
        <f>'Stavební rozpočet'!J1459</f>
        <v>0</v>
      </c>
      <c r="K138" s="80">
        <f t="shared" si="117"/>
        <v>0</v>
      </c>
      <c r="L138" s="82" t="s">
        <v>207</v>
      </c>
      <c r="Z138" s="38">
        <f t="shared" si="118"/>
        <v>0</v>
      </c>
      <c r="AB138" s="38">
        <f t="shared" si="119"/>
        <v>0</v>
      </c>
      <c r="AC138" s="38">
        <f t="shared" si="120"/>
        <v>0</v>
      </c>
      <c r="AD138" s="38">
        <f t="shared" si="121"/>
        <v>0</v>
      </c>
      <c r="AE138" s="38">
        <f t="shared" si="122"/>
        <v>0</v>
      </c>
      <c r="AF138" s="38">
        <f t="shared" si="123"/>
        <v>0</v>
      </c>
      <c r="AG138" s="38">
        <f t="shared" si="124"/>
        <v>0</v>
      </c>
      <c r="AH138" s="38">
        <f t="shared" si="125"/>
        <v>0</v>
      </c>
      <c r="AI138" s="50" t="s">
        <v>93</v>
      </c>
      <c r="AJ138" s="80">
        <f t="shared" si="126"/>
        <v>0</v>
      </c>
      <c r="AK138" s="80">
        <f t="shared" si="127"/>
        <v>0</v>
      </c>
      <c r="AL138" s="80">
        <f t="shared" si="128"/>
        <v>0</v>
      </c>
      <c r="AN138" s="38">
        <v>21</v>
      </c>
      <c r="AO138" s="38">
        <f t="shared" si="129"/>
        <v>0</v>
      </c>
      <c r="AP138" s="38">
        <f t="shared" si="130"/>
        <v>0</v>
      </c>
      <c r="AQ138" s="83" t="s">
        <v>169</v>
      </c>
      <c r="AV138" s="38">
        <f t="shared" si="131"/>
        <v>0</v>
      </c>
      <c r="AW138" s="38">
        <f t="shared" si="132"/>
        <v>0</v>
      </c>
      <c r="AX138" s="38">
        <f t="shared" si="133"/>
        <v>0</v>
      </c>
      <c r="AY138" s="72" t="s">
        <v>2827</v>
      </c>
      <c r="AZ138" s="72" t="s">
        <v>2828</v>
      </c>
      <c r="BA138" s="50" t="s">
        <v>2563</v>
      </c>
      <c r="BC138" s="38">
        <f t="shared" si="134"/>
        <v>0</v>
      </c>
      <c r="BD138" s="38">
        <f t="shared" si="135"/>
        <v>0</v>
      </c>
      <c r="BE138" s="38">
        <v>0</v>
      </c>
      <c r="BF138" s="38">
        <f t="shared" si="136"/>
        <v>0</v>
      </c>
      <c r="BH138" s="80">
        <f t="shared" si="137"/>
        <v>0</v>
      </c>
      <c r="BI138" s="80">
        <f t="shared" si="138"/>
        <v>0</v>
      </c>
      <c r="BJ138" s="80">
        <f t="shared" si="139"/>
        <v>0</v>
      </c>
      <c r="BK138" s="80"/>
      <c r="BL138" s="38"/>
      <c r="BW138" s="38">
        <v>21</v>
      </c>
    </row>
    <row r="139" spans="1:75" ht="13.5" customHeight="1">
      <c r="A139" s="78" t="s">
        <v>836</v>
      </c>
      <c r="B139" s="79" t="s">
        <v>93</v>
      </c>
      <c r="C139" s="79" t="s">
        <v>2895</v>
      </c>
      <c r="D139" s="198" t="s">
        <v>2896</v>
      </c>
      <c r="E139" s="199"/>
      <c r="F139" s="79" t="s">
        <v>2567</v>
      </c>
      <c r="G139" s="80">
        <f>'Stavební rozpočet'!G1460</f>
        <v>1</v>
      </c>
      <c r="H139" s="80">
        <f>'Stavební rozpočet'!H1460</f>
        <v>0</v>
      </c>
      <c r="I139" s="80">
        <f t="shared" si="116"/>
        <v>0</v>
      </c>
      <c r="J139" s="80">
        <f>'Stavební rozpočet'!J1460</f>
        <v>0</v>
      </c>
      <c r="K139" s="80">
        <f t="shared" si="117"/>
        <v>0</v>
      </c>
      <c r="L139" s="82" t="s">
        <v>207</v>
      </c>
      <c r="Z139" s="38">
        <f t="shared" si="118"/>
        <v>0</v>
      </c>
      <c r="AB139" s="38">
        <f t="shared" si="119"/>
        <v>0</v>
      </c>
      <c r="AC139" s="38">
        <f t="shared" si="120"/>
        <v>0</v>
      </c>
      <c r="AD139" s="38">
        <f t="shared" si="121"/>
        <v>0</v>
      </c>
      <c r="AE139" s="38">
        <f t="shared" si="122"/>
        <v>0</v>
      </c>
      <c r="AF139" s="38">
        <f t="shared" si="123"/>
        <v>0</v>
      </c>
      <c r="AG139" s="38">
        <f t="shared" si="124"/>
        <v>0</v>
      </c>
      <c r="AH139" s="38">
        <f t="shared" si="125"/>
        <v>0</v>
      </c>
      <c r="AI139" s="50" t="s">
        <v>93</v>
      </c>
      <c r="AJ139" s="80">
        <f t="shared" si="126"/>
        <v>0</v>
      </c>
      <c r="AK139" s="80">
        <f t="shared" si="127"/>
        <v>0</v>
      </c>
      <c r="AL139" s="80">
        <f t="shared" si="128"/>
        <v>0</v>
      </c>
      <c r="AN139" s="38">
        <v>21</v>
      </c>
      <c r="AO139" s="38">
        <f t="shared" si="129"/>
        <v>0</v>
      </c>
      <c r="AP139" s="38">
        <f t="shared" si="130"/>
        <v>0</v>
      </c>
      <c r="AQ139" s="83" t="s">
        <v>169</v>
      </c>
      <c r="AV139" s="38">
        <f t="shared" si="131"/>
        <v>0</v>
      </c>
      <c r="AW139" s="38">
        <f t="shared" si="132"/>
        <v>0</v>
      </c>
      <c r="AX139" s="38">
        <f t="shared" si="133"/>
        <v>0</v>
      </c>
      <c r="AY139" s="72" t="s">
        <v>2827</v>
      </c>
      <c r="AZ139" s="72" t="s">
        <v>2828</v>
      </c>
      <c r="BA139" s="50" t="s">
        <v>2563</v>
      </c>
      <c r="BC139" s="38">
        <f t="shared" si="134"/>
        <v>0</v>
      </c>
      <c r="BD139" s="38">
        <f t="shared" si="135"/>
        <v>0</v>
      </c>
      <c r="BE139" s="38">
        <v>0</v>
      </c>
      <c r="BF139" s="38">
        <f t="shared" si="136"/>
        <v>0</v>
      </c>
      <c r="BH139" s="80">
        <f t="shared" si="137"/>
        <v>0</v>
      </c>
      <c r="BI139" s="80">
        <f t="shared" si="138"/>
        <v>0</v>
      </c>
      <c r="BJ139" s="80">
        <f t="shared" si="139"/>
        <v>0</v>
      </c>
      <c r="BK139" s="80"/>
      <c r="BL139" s="38"/>
      <c r="BW139" s="38">
        <v>21</v>
      </c>
    </row>
    <row r="140" spans="1:75" ht="27" customHeight="1">
      <c r="A140" s="78" t="s">
        <v>841</v>
      </c>
      <c r="B140" s="79" t="s">
        <v>93</v>
      </c>
      <c r="C140" s="79" t="s">
        <v>2898</v>
      </c>
      <c r="D140" s="198" t="s">
        <v>2899</v>
      </c>
      <c r="E140" s="199"/>
      <c r="F140" s="79" t="s">
        <v>2567</v>
      </c>
      <c r="G140" s="80">
        <f>'Stavební rozpočet'!G1461</f>
        <v>1</v>
      </c>
      <c r="H140" s="80">
        <f>'Stavební rozpočet'!H1461</f>
        <v>0</v>
      </c>
      <c r="I140" s="80">
        <f t="shared" si="116"/>
        <v>0</v>
      </c>
      <c r="J140" s="80">
        <f>'Stavební rozpočet'!J1461</f>
        <v>0</v>
      </c>
      <c r="K140" s="80">
        <f t="shared" si="117"/>
        <v>0</v>
      </c>
      <c r="L140" s="82" t="s">
        <v>207</v>
      </c>
      <c r="Z140" s="38">
        <f t="shared" si="118"/>
        <v>0</v>
      </c>
      <c r="AB140" s="38">
        <f t="shared" si="119"/>
        <v>0</v>
      </c>
      <c r="AC140" s="38">
        <f t="shared" si="120"/>
        <v>0</v>
      </c>
      <c r="AD140" s="38">
        <f t="shared" si="121"/>
        <v>0</v>
      </c>
      <c r="AE140" s="38">
        <f t="shared" si="122"/>
        <v>0</v>
      </c>
      <c r="AF140" s="38">
        <f t="shared" si="123"/>
        <v>0</v>
      </c>
      <c r="AG140" s="38">
        <f t="shared" si="124"/>
        <v>0</v>
      </c>
      <c r="AH140" s="38">
        <f t="shared" si="125"/>
        <v>0</v>
      </c>
      <c r="AI140" s="50" t="s">
        <v>93</v>
      </c>
      <c r="AJ140" s="80">
        <f t="shared" si="126"/>
        <v>0</v>
      </c>
      <c r="AK140" s="80">
        <f t="shared" si="127"/>
        <v>0</v>
      </c>
      <c r="AL140" s="80">
        <f t="shared" si="128"/>
        <v>0</v>
      </c>
      <c r="AN140" s="38">
        <v>21</v>
      </c>
      <c r="AO140" s="38">
        <f t="shared" si="129"/>
        <v>0</v>
      </c>
      <c r="AP140" s="38">
        <f t="shared" si="130"/>
        <v>0</v>
      </c>
      <c r="AQ140" s="83" t="s">
        <v>169</v>
      </c>
      <c r="AV140" s="38">
        <f t="shared" si="131"/>
        <v>0</v>
      </c>
      <c r="AW140" s="38">
        <f t="shared" si="132"/>
        <v>0</v>
      </c>
      <c r="AX140" s="38">
        <f t="shared" si="133"/>
        <v>0</v>
      </c>
      <c r="AY140" s="72" t="s">
        <v>2827</v>
      </c>
      <c r="AZ140" s="72" t="s">
        <v>2828</v>
      </c>
      <c r="BA140" s="50" t="s">
        <v>2563</v>
      </c>
      <c r="BC140" s="38">
        <f t="shared" si="134"/>
        <v>0</v>
      </c>
      <c r="BD140" s="38">
        <f t="shared" si="135"/>
        <v>0</v>
      </c>
      <c r="BE140" s="38">
        <v>0</v>
      </c>
      <c r="BF140" s="38">
        <f t="shared" si="136"/>
        <v>0</v>
      </c>
      <c r="BH140" s="80">
        <f t="shared" si="137"/>
        <v>0</v>
      </c>
      <c r="BI140" s="80">
        <f t="shared" si="138"/>
        <v>0</v>
      </c>
      <c r="BJ140" s="80">
        <f t="shared" si="139"/>
        <v>0</v>
      </c>
      <c r="BK140" s="80"/>
      <c r="BL140" s="38"/>
      <c r="BW140" s="38">
        <v>21</v>
      </c>
    </row>
    <row r="141" spans="1:75" ht="27" customHeight="1">
      <c r="A141" s="78" t="s">
        <v>845</v>
      </c>
      <c r="B141" s="79" t="s">
        <v>93</v>
      </c>
      <c r="C141" s="79" t="s">
        <v>2901</v>
      </c>
      <c r="D141" s="198" t="s">
        <v>2902</v>
      </c>
      <c r="E141" s="199"/>
      <c r="F141" s="79" t="s">
        <v>2567</v>
      </c>
      <c r="G141" s="80">
        <f>'Stavební rozpočet'!G1462</f>
        <v>1</v>
      </c>
      <c r="H141" s="80">
        <f>'Stavební rozpočet'!H1462</f>
        <v>0</v>
      </c>
      <c r="I141" s="80">
        <f t="shared" si="116"/>
        <v>0</v>
      </c>
      <c r="J141" s="80">
        <f>'Stavební rozpočet'!J1462</f>
        <v>0</v>
      </c>
      <c r="K141" s="80">
        <f t="shared" si="117"/>
        <v>0</v>
      </c>
      <c r="L141" s="82" t="s">
        <v>207</v>
      </c>
      <c r="Z141" s="38">
        <f t="shared" si="118"/>
        <v>0</v>
      </c>
      <c r="AB141" s="38">
        <f t="shared" si="119"/>
        <v>0</v>
      </c>
      <c r="AC141" s="38">
        <f t="shared" si="120"/>
        <v>0</v>
      </c>
      <c r="AD141" s="38">
        <f t="shared" si="121"/>
        <v>0</v>
      </c>
      <c r="AE141" s="38">
        <f t="shared" si="122"/>
        <v>0</v>
      </c>
      <c r="AF141" s="38">
        <f t="shared" si="123"/>
        <v>0</v>
      </c>
      <c r="AG141" s="38">
        <f t="shared" si="124"/>
        <v>0</v>
      </c>
      <c r="AH141" s="38">
        <f t="shared" si="125"/>
        <v>0</v>
      </c>
      <c r="AI141" s="50" t="s">
        <v>93</v>
      </c>
      <c r="AJ141" s="80">
        <f t="shared" si="126"/>
        <v>0</v>
      </c>
      <c r="AK141" s="80">
        <f t="shared" si="127"/>
        <v>0</v>
      </c>
      <c r="AL141" s="80">
        <f t="shared" si="128"/>
        <v>0</v>
      </c>
      <c r="AN141" s="38">
        <v>21</v>
      </c>
      <c r="AO141" s="38">
        <f t="shared" si="129"/>
        <v>0</v>
      </c>
      <c r="AP141" s="38">
        <f t="shared" si="130"/>
        <v>0</v>
      </c>
      <c r="AQ141" s="83" t="s">
        <v>169</v>
      </c>
      <c r="AV141" s="38">
        <f t="shared" si="131"/>
        <v>0</v>
      </c>
      <c r="AW141" s="38">
        <f t="shared" si="132"/>
        <v>0</v>
      </c>
      <c r="AX141" s="38">
        <f t="shared" si="133"/>
        <v>0</v>
      </c>
      <c r="AY141" s="72" t="s">
        <v>2827</v>
      </c>
      <c r="AZ141" s="72" t="s">
        <v>2828</v>
      </c>
      <c r="BA141" s="50" t="s">
        <v>2563</v>
      </c>
      <c r="BC141" s="38">
        <f t="shared" si="134"/>
        <v>0</v>
      </c>
      <c r="BD141" s="38">
        <f t="shared" si="135"/>
        <v>0</v>
      </c>
      <c r="BE141" s="38">
        <v>0</v>
      </c>
      <c r="BF141" s="38">
        <f t="shared" si="136"/>
        <v>0</v>
      </c>
      <c r="BH141" s="80">
        <f t="shared" si="137"/>
        <v>0</v>
      </c>
      <c r="BI141" s="80">
        <f t="shared" si="138"/>
        <v>0</v>
      </c>
      <c r="BJ141" s="80">
        <f t="shared" si="139"/>
        <v>0</v>
      </c>
      <c r="BK141" s="80"/>
      <c r="BL141" s="38"/>
      <c r="BW141" s="38">
        <v>21</v>
      </c>
    </row>
    <row r="142" spans="1:75" ht="13.5" customHeight="1">
      <c r="A142" s="78" t="s">
        <v>850</v>
      </c>
      <c r="B142" s="79" t="s">
        <v>93</v>
      </c>
      <c r="C142" s="79" t="s">
        <v>2843</v>
      </c>
      <c r="D142" s="198" t="s">
        <v>2844</v>
      </c>
      <c r="E142" s="199"/>
      <c r="F142" s="79" t="s">
        <v>2567</v>
      </c>
      <c r="G142" s="80">
        <f>'Stavební rozpočet'!G1463</f>
        <v>22</v>
      </c>
      <c r="H142" s="80">
        <f>'Stavební rozpočet'!H1463</f>
        <v>0</v>
      </c>
      <c r="I142" s="80">
        <f t="shared" si="116"/>
        <v>0</v>
      </c>
      <c r="J142" s="80">
        <f>'Stavební rozpočet'!J1463</f>
        <v>0</v>
      </c>
      <c r="K142" s="80">
        <f t="shared" si="117"/>
        <v>0</v>
      </c>
      <c r="L142" s="82" t="s">
        <v>207</v>
      </c>
      <c r="Z142" s="38">
        <f t="shared" si="118"/>
        <v>0</v>
      </c>
      <c r="AB142" s="38">
        <f t="shared" si="119"/>
        <v>0</v>
      </c>
      <c r="AC142" s="38">
        <f t="shared" si="120"/>
        <v>0</v>
      </c>
      <c r="AD142" s="38">
        <f t="shared" si="121"/>
        <v>0</v>
      </c>
      <c r="AE142" s="38">
        <f t="shared" si="122"/>
        <v>0</v>
      </c>
      <c r="AF142" s="38">
        <f t="shared" si="123"/>
        <v>0</v>
      </c>
      <c r="AG142" s="38">
        <f t="shared" si="124"/>
        <v>0</v>
      </c>
      <c r="AH142" s="38">
        <f t="shared" si="125"/>
        <v>0</v>
      </c>
      <c r="AI142" s="50" t="s">
        <v>93</v>
      </c>
      <c r="AJ142" s="80">
        <f t="shared" si="126"/>
        <v>0</v>
      </c>
      <c r="AK142" s="80">
        <f t="shared" si="127"/>
        <v>0</v>
      </c>
      <c r="AL142" s="80">
        <f t="shared" si="128"/>
        <v>0</v>
      </c>
      <c r="AN142" s="38">
        <v>21</v>
      </c>
      <c r="AO142" s="38">
        <f t="shared" si="129"/>
        <v>0</v>
      </c>
      <c r="AP142" s="38">
        <f t="shared" si="130"/>
        <v>0</v>
      </c>
      <c r="AQ142" s="83" t="s">
        <v>169</v>
      </c>
      <c r="AV142" s="38">
        <f t="shared" si="131"/>
        <v>0</v>
      </c>
      <c r="AW142" s="38">
        <f t="shared" si="132"/>
        <v>0</v>
      </c>
      <c r="AX142" s="38">
        <f t="shared" si="133"/>
        <v>0</v>
      </c>
      <c r="AY142" s="72" t="s">
        <v>2827</v>
      </c>
      <c r="AZ142" s="72" t="s">
        <v>2828</v>
      </c>
      <c r="BA142" s="50" t="s">
        <v>2563</v>
      </c>
      <c r="BC142" s="38">
        <f t="shared" si="134"/>
        <v>0</v>
      </c>
      <c r="BD142" s="38">
        <f t="shared" si="135"/>
        <v>0</v>
      </c>
      <c r="BE142" s="38">
        <v>0</v>
      </c>
      <c r="BF142" s="38">
        <f t="shared" si="136"/>
        <v>0</v>
      </c>
      <c r="BH142" s="80">
        <f t="shared" si="137"/>
        <v>0</v>
      </c>
      <c r="BI142" s="80">
        <f t="shared" si="138"/>
        <v>0</v>
      </c>
      <c r="BJ142" s="80">
        <f t="shared" si="139"/>
        <v>0</v>
      </c>
      <c r="BK142" s="80"/>
      <c r="BL142" s="38"/>
      <c r="BW142" s="38">
        <v>21</v>
      </c>
    </row>
    <row r="143" spans="1:75" ht="13.5" customHeight="1">
      <c r="A143" s="78" t="s">
        <v>853</v>
      </c>
      <c r="B143" s="79" t="s">
        <v>93</v>
      </c>
      <c r="C143" s="79" t="s">
        <v>2846</v>
      </c>
      <c r="D143" s="198" t="s">
        <v>2847</v>
      </c>
      <c r="E143" s="199"/>
      <c r="F143" s="79" t="s">
        <v>2567</v>
      </c>
      <c r="G143" s="80">
        <f>'Stavební rozpočet'!G1464</f>
        <v>19</v>
      </c>
      <c r="H143" s="80">
        <f>'Stavební rozpočet'!H1464</f>
        <v>0</v>
      </c>
      <c r="I143" s="80">
        <f t="shared" si="116"/>
        <v>0</v>
      </c>
      <c r="J143" s="80">
        <f>'Stavební rozpočet'!J1464</f>
        <v>0</v>
      </c>
      <c r="K143" s="80">
        <f t="shared" si="117"/>
        <v>0</v>
      </c>
      <c r="L143" s="82" t="s">
        <v>207</v>
      </c>
      <c r="Z143" s="38">
        <f t="shared" si="118"/>
        <v>0</v>
      </c>
      <c r="AB143" s="38">
        <f t="shared" si="119"/>
        <v>0</v>
      </c>
      <c r="AC143" s="38">
        <f t="shared" si="120"/>
        <v>0</v>
      </c>
      <c r="AD143" s="38">
        <f t="shared" si="121"/>
        <v>0</v>
      </c>
      <c r="AE143" s="38">
        <f t="shared" si="122"/>
        <v>0</v>
      </c>
      <c r="AF143" s="38">
        <f t="shared" si="123"/>
        <v>0</v>
      </c>
      <c r="AG143" s="38">
        <f t="shared" si="124"/>
        <v>0</v>
      </c>
      <c r="AH143" s="38">
        <f t="shared" si="125"/>
        <v>0</v>
      </c>
      <c r="AI143" s="50" t="s">
        <v>93</v>
      </c>
      <c r="AJ143" s="80">
        <f t="shared" si="126"/>
        <v>0</v>
      </c>
      <c r="AK143" s="80">
        <f t="shared" si="127"/>
        <v>0</v>
      </c>
      <c r="AL143" s="80">
        <f t="shared" si="128"/>
        <v>0</v>
      </c>
      <c r="AN143" s="38">
        <v>21</v>
      </c>
      <c r="AO143" s="38">
        <f t="shared" si="129"/>
        <v>0</v>
      </c>
      <c r="AP143" s="38">
        <f t="shared" si="130"/>
        <v>0</v>
      </c>
      <c r="AQ143" s="83" t="s">
        <v>169</v>
      </c>
      <c r="AV143" s="38">
        <f t="shared" si="131"/>
        <v>0</v>
      </c>
      <c r="AW143" s="38">
        <f t="shared" si="132"/>
        <v>0</v>
      </c>
      <c r="AX143" s="38">
        <f t="shared" si="133"/>
        <v>0</v>
      </c>
      <c r="AY143" s="72" t="s">
        <v>2827</v>
      </c>
      <c r="AZ143" s="72" t="s">
        <v>2828</v>
      </c>
      <c r="BA143" s="50" t="s">
        <v>2563</v>
      </c>
      <c r="BC143" s="38">
        <f t="shared" si="134"/>
        <v>0</v>
      </c>
      <c r="BD143" s="38">
        <f t="shared" si="135"/>
        <v>0</v>
      </c>
      <c r="BE143" s="38">
        <v>0</v>
      </c>
      <c r="BF143" s="38">
        <f t="shared" si="136"/>
        <v>0</v>
      </c>
      <c r="BH143" s="80">
        <f t="shared" si="137"/>
        <v>0</v>
      </c>
      <c r="BI143" s="80">
        <f t="shared" si="138"/>
        <v>0</v>
      </c>
      <c r="BJ143" s="80">
        <f t="shared" si="139"/>
        <v>0</v>
      </c>
      <c r="BK143" s="80"/>
      <c r="BL143" s="38"/>
      <c r="BW143" s="38">
        <v>21</v>
      </c>
    </row>
    <row r="144" spans="1:75" ht="13.5" customHeight="1">
      <c r="A144" s="78" t="s">
        <v>857</v>
      </c>
      <c r="B144" s="79" t="s">
        <v>93</v>
      </c>
      <c r="C144" s="79" t="s">
        <v>2849</v>
      </c>
      <c r="D144" s="198" t="s">
        <v>2850</v>
      </c>
      <c r="E144" s="199"/>
      <c r="F144" s="79" t="s">
        <v>2567</v>
      </c>
      <c r="G144" s="80">
        <f>'Stavební rozpočet'!G1465</f>
        <v>16</v>
      </c>
      <c r="H144" s="80">
        <f>'Stavební rozpočet'!H1465</f>
        <v>0</v>
      </c>
      <c r="I144" s="80">
        <f t="shared" si="116"/>
        <v>0</v>
      </c>
      <c r="J144" s="80">
        <f>'Stavební rozpočet'!J1465</f>
        <v>0</v>
      </c>
      <c r="K144" s="80">
        <f t="shared" si="117"/>
        <v>0</v>
      </c>
      <c r="L144" s="82" t="s">
        <v>207</v>
      </c>
      <c r="Z144" s="38">
        <f t="shared" si="118"/>
        <v>0</v>
      </c>
      <c r="AB144" s="38">
        <f t="shared" si="119"/>
        <v>0</v>
      </c>
      <c r="AC144" s="38">
        <f t="shared" si="120"/>
        <v>0</v>
      </c>
      <c r="AD144" s="38">
        <f t="shared" si="121"/>
        <v>0</v>
      </c>
      <c r="AE144" s="38">
        <f t="shared" si="122"/>
        <v>0</v>
      </c>
      <c r="AF144" s="38">
        <f t="shared" si="123"/>
        <v>0</v>
      </c>
      <c r="AG144" s="38">
        <f t="shared" si="124"/>
        <v>0</v>
      </c>
      <c r="AH144" s="38">
        <f t="shared" si="125"/>
        <v>0</v>
      </c>
      <c r="AI144" s="50" t="s">
        <v>93</v>
      </c>
      <c r="AJ144" s="80">
        <f t="shared" si="126"/>
        <v>0</v>
      </c>
      <c r="AK144" s="80">
        <f t="shared" si="127"/>
        <v>0</v>
      </c>
      <c r="AL144" s="80">
        <f t="shared" si="128"/>
        <v>0</v>
      </c>
      <c r="AN144" s="38">
        <v>21</v>
      </c>
      <c r="AO144" s="38">
        <f t="shared" si="129"/>
        <v>0</v>
      </c>
      <c r="AP144" s="38">
        <f t="shared" si="130"/>
        <v>0</v>
      </c>
      <c r="AQ144" s="83" t="s">
        <v>169</v>
      </c>
      <c r="AV144" s="38">
        <f t="shared" si="131"/>
        <v>0</v>
      </c>
      <c r="AW144" s="38">
        <f t="shared" si="132"/>
        <v>0</v>
      </c>
      <c r="AX144" s="38">
        <f t="shared" si="133"/>
        <v>0</v>
      </c>
      <c r="AY144" s="72" t="s">
        <v>2827</v>
      </c>
      <c r="AZ144" s="72" t="s">
        <v>2828</v>
      </c>
      <c r="BA144" s="50" t="s">
        <v>2563</v>
      </c>
      <c r="BC144" s="38">
        <f t="shared" si="134"/>
        <v>0</v>
      </c>
      <c r="BD144" s="38">
        <f t="shared" si="135"/>
        <v>0</v>
      </c>
      <c r="BE144" s="38">
        <v>0</v>
      </c>
      <c r="BF144" s="38">
        <f t="shared" si="136"/>
        <v>0</v>
      </c>
      <c r="BH144" s="80">
        <f t="shared" si="137"/>
        <v>0</v>
      </c>
      <c r="BI144" s="80">
        <f t="shared" si="138"/>
        <v>0</v>
      </c>
      <c r="BJ144" s="80">
        <f t="shared" si="139"/>
        <v>0</v>
      </c>
      <c r="BK144" s="80"/>
      <c r="BL144" s="38"/>
      <c r="BW144" s="38">
        <v>21</v>
      </c>
    </row>
    <row r="145" spans="1:75" ht="13.5" customHeight="1">
      <c r="A145" s="78" t="s">
        <v>860</v>
      </c>
      <c r="B145" s="79" t="s">
        <v>93</v>
      </c>
      <c r="C145" s="79" t="s">
        <v>2861</v>
      </c>
      <c r="D145" s="198" t="s">
        <v>2862</v>
      </c>
      <c r="E145" s="199"/>
      <c r="F145" s="79" t="s">
        <v>2567</v>
      </c>
      <c r="G145" s="80">
        <f>'Stavební rozpočet'!G1466</f>
        <v>3</v>
      </c>
      <c r="H145" s="80">
        <f>'Stavební rozpočet'!H1466</f>
        <v>0</v>
      </c>
      <c r="I145" s="80">
        <f t="shared" si="116"/>
        <v>0</v>
      </c>
      <c r="J145" s="80">
        <f>'Stavební rozpočet'!J1466</f>
        <v>0</v>
      </c>
      <c r="K145" s="80">
        <f t="shared" si="117"/>
        <v>0</v>
      </c>
      <c r="L145" s="82" t="s">
        <v>207</v>
      </c>
      <c r="Z145" s="38">
        <f t="shared" si="118"/>
        <v>0</v>
      </c>
      <c r="AB145" s="38">
        <f t="shared" si="119"/>
        <v>0</v>
      </c>
      <c r="AC145" s="38">
        <f t="shared" si="120"/>
        <v>0</v>
      </c>
      <c r="AD145" s="38">
        <f t="shared" si="121"/>
        <v>0</v>
      </c>
      <c r="AE145" s="38">
        <f t="shared" si="122"/>
        <v>0</v>
      </c>
      <c r="AF145" s="38">
        <f t="shared" si="123"/>
        <v>0</v>
      </c>
      <c r="AG145" s="38">
        <f t="shared" si="124"/>
        <v>0</v>
      </c>
      <c r="AH145" s="38">
        <f t="shared" si="125"/>
        <v>0</v>
      </c>
      <c r="AI145" s="50" t="s">
        <v>93</v>
      </c>
      <c r="AJ145" s="80">
        <f t="shared" si="126"/>
        <v>0</v>
      </c>
      <c r="AK145" s="80">
        <f t="shared" si="127"/>
        <v>0</v>
      </c>
      <c r="AL145" s="80">
        <f t="shared" si="128"/>
        <v>0</v>
      </c>
      <c r="AN145" s="38">
        <v>21</v>
      </c>
      <c r="AO145" s="38">
        <f t="shared" si="129"/>
        <v>0</v>
      </c>
      <c r="AP145" s="38">
        <f t="shared" si="130"/>
        <v>0</v>
      </c>
      <c r="AQ145" s="83" t="s">
        <v>169</v>
      </c>
      <c r="AV145" s="38">
        <f t="shared" si="131"/>
        <v>0</v>
      </c>
      <c r="AW145" s="38">
        <f t="shared" si="132"/>
        <v>0</v>
      </c>
      <c r="AX145" s="38">
        <f t="shared" si="133"/>
        <v>0</v>
      </c>
      <c r="AY145" s="72" t="s">
        <v>2827</v>
      </c>
      <c r="AZ145" s="72" t="s">
        <v>2828</v>
      </c>
      <c r="BA145" s="50" t="s">
        <v>2563</v>
      </c>
      <c r="BC145" s="38">
        <f t="shared" si="134"/>
        <v>0</v>
      </c>
      <c r="BD145" s="38">
        <f t="shared" si="135"/>
        <v>0</v>
      </c>
      <c r="BE145" s="38">
        <v>0</v>
      </c>
      <c r="BF145" s="38">
        <f t="shared" si="136"/>
        <v>0</v>
      </c>
      <c r="BH145" s="80">
        <f t="shared" si="137"/>
        <v>0</v>
      </c>
      <c r="BI145" s="80">
        <f t="shared" si="138"/>
        <v>0</v>
      </c>
      <c r="BJ145" s="80">
        <f t="shared" si="139"/>
        <v>0</v>
      </c>
      <c r="BK145" s="80"/>
      <c r="BL145" s="38"/>
      <c r="BW145" s="38">
        <v>21</v>
      </c>
    </row>
    <row r="146" spans="1:75" ht="13.5" customHeight="1">
      <c r="A146" s="78" t="s">
        <v>865</v>
      </c>
      <c r="B146" s="79" t="s">
        <v>93</v>
      </c>
      <c r="C146" s="79" t="s">
        <v>2864</v>
      </c>
      <c r="D146" s="198" t="s">
        <v>2865</v>
      </c>
      <c r="E146" s="199"/>
      <c r="F146" s="79" t="s">
        <v>2567</v>
      </c>
      <c r="G146" s="80">
        <f>'Stavební rozpočet'!G1467</f>
        <v>1</v>
      </c>
      <c r="H146" s="80">
        <f>'Stavební rozpočet'!H1467</f>
        <v>0</v>
      </c>
      <c r="I146" s="80">
        <f t="shared" si="116"/>
        <v>0</v>
      </c>
      <c r="J146" s="80">
        <f>'Stavební rozpočet'!J1467</f>
        <v>0</v>
      </c>
      <c r="K146" s="80">
        <f t="shared" si="117"/>
        <v>0</v>
      </c>
      <c r="L146" s="82" t="s">
        <v>207</v>
      </c>
      <c r="Z146" s="38">
        <f t="shared" si="118"/>
        <v>0</v>
      </c>
      <c r="AB146" s="38">
        <f t="shared" si="119"/>
        <v>0</v>
      </c>
      <c r="AC146" s="38">
        <f t="shared" si="120"/>
        <v>0</v>
      </c>
      <c r="AD146" s="38">
        <f t="shared" si="121"/>
        <v>0</v>
      </c>
      <c r="AE146" s="38">
        <f t="shared" si="122"/>
        <v>0</v>
      </c>
      <c r="AF146" s="38">
        <f t="shared" si="123"/>
        <v>0</v>
      </c>
      <c r="AG146" s="38">
        <f t="shared" si="124"/>
        <v>0</v>
      </c>
      <c r="AH146" s="38">
        <f t="shared" si="125"/>
        <v>0</v>
      </c>
      <c r="AI146" s="50" t="s">
        <v>93</v>
      </c>
      <c r="AJ146" s="80">
        <f t="shared" si="126"/>
        <v>0</v>
      </c>
      <c r="AK146" s="80">
        <f t="shared" si="127"/>
        <v>0</v>
      </c>
      <c r="AL146" s="80">
        <f t="shared" si="128"/>
        <v>0</v>
      </c>
      <c r="AN146" s="38">
        <v>21</v>
      </c>
      <c r="AO146" s="38">
        <f t="shared" si="129"/>
        <v>0</v>
      </c>
      <c r="AP146" s="38">
        <f t="shared" si="130"/>
        <v>0</v>
      </c>
      <c r="AQ146" s="83" t="s">
        <v>169</v>
      </c>
      <c r="AV146" s="38">
        <f t="shared" si="131"/>
        <v>0</v>
      </c>
      <c r="AW146" s="38">
        <f t="shared" si="132"/>
        <v>0</v>
      </c>
      <c r="AX146" s="38">
        <f t="shared" si="133"/>
        <v>0</v>
      </c>
      <c r="AY146" s="72" t="s">
        <v>2827</v>
      </c>
      <c r="AZ146" s="72" t="s">
        <v>2828</v>
      </c>
      <c r="BA146" s="50" t="s">
        <v>2563</v>
      </c>
      <c r="BC146" s="38">
        <f t="shared" si="134"/>
        <v>0</v>
      </c>
      <c r="BD146" s="38">
        <f t="shared" si="135"/>
        <v>0</v>
      </c>
      <c r="BE146" s="38">
        <v>0</v>
      </c>
      <c r="BF146" s="38">
        <f t="shared" si="136"/>
        <v>0</v>
      </c>
      <c r="BH146" s="80">
        <f t="shared" si="137"/>
        <v>0</v>
      </c>
      <c r="BI146" s="80">
        <f t="shared" si="138"/>
        <v>0</v>
      </c>
      <c r="BJ146" s="80">
        <f t="shared" si="139"/>
        <v>0</v>
      </c>
      <c r="BK146" s="80"/>
      <c r="BL146" s="38"/>
      <c r="BW146" s="38">
        <v>21</v>
      </c>
    </row>
    <row r="147" spans="1:75" ht="13.5" customHeight="1">
      <c r="A147" s="78" t="s">
        <v>871</v>
      </c>
      <c r="B147" s="79" t="s">
        <v>93</v>
      </c>
      <c r="C147" s="79" t="s">
        <v>2867</v>
      </c>
      <c r="D147" s="198" t="s">
        <v>2868</v>
      </c>
      <c r="E147" s="199"/>
      <c r="F147" s="79" t="s">
        <v>2567</v>
      </c>
      <c r="G147" s="80">
        <f>'Stavební rozpočet'!G1468</f>
        <v>1</v>
      </c>
      <c r="H147" s="80">
        <f>'Stavební rozpočet'!H1468</f>
        <v>0</v>
      </c>
      <c r="I147" s="80">
        <f t="shared" si="116"/>
        <v>0</v>
      </c>
      <c r="J147" s="80">
        <f>'Stavební rozpočet'!J1468</f>
        <v>0</v>
      </c>
      <c r="K147" s="80">
        <f t="shared" si="117"/>
        <v>0</v>
      </c>
      <c r="L147" s="82" t="s">
        <v>207</v>
      </c>
      <c r="Z147" s="38">
        <f t="shared" si="118"/>
        <v>0</v>
      </c>
      <c r="AB147" s="38">
        <f t="shared" si="119"/>
        <v>0</v>
      </c>
      <c r="AC147" s="38">
        <f t="shared" si="120"/>
        <v>0</v>
      </c>
      <c r="AD147" s="38">
        <f t="shared" si="121"/>
        <v>0</v>
      </c>
      <c r="AE147" s="38">
        <f t="shared" si="122"/>
        <v>0</v>
      </c>
      <c r="AF147" s="38">
        <f t="shared" si="123"/>
        <v>0</v>
      </c>
      <c r="AG147" s="38">
        <f t="shared" si="124"/>
        <v>0</v>
      </c>
      <c r="AH147" s="38">
        <f t="shared" si="125"/>
        <v>0</v>
      </c>
      <c r="AI147" s="50" t="s">
        <v>93</v>
      </c>
      <c r="AJ147" s="80">
        <f t="shared" si="126"/>
        <v>0</v>
      </c>
      <c r="AK147" s="80">
        <f t="shared" si="127"/>
        <v>0</v>
      </c>
      <c r="AL147" s="80">
        <f t="shared" si="128"/>
        <v>0</v>
      </c>
      <c r="AN147" s="38">
        <v>21</v>
      </c>
      <c r="AO147" s="38">
        <f t="shared" si="129"/>
        <v>0</v>
      </c>
      <c r="AP147" s="38">
        <f t="shared" si="130"/>
        <v>0</v>
      </c>
      <c r="AQ147" s="83" t="s">
        <v>169</v>
      </c>
      <c r="AV147" s="38">
        <f t="shared" si="131"/>
        <v>0</v>
      </c>
      <c r="AW147" s="38">
        <f t="shared" si="132"/>
        <v>0</v>
      </c>
      <c r="AX147" s="38">
        <f t="shared" si="133"/>
        <v>0</v>
      </c>
      <c r="AY147" s="72" t="s">
        <v>2827</v>
      </c>
      <c r="AZ147" s="72" t="s">
        <v>2828</v>
      </c>
      <c r="BA147" s="50" t="s">
        <v>2563</v>
      </c>
      <c r="BC147" s="38">
        <f t="shared" si="134"/>
        <v>0</v>
      </c>
      <c r="BD147" s="38">
        <f t="shared" si="135"/>
        <v>0</v>
      </c>
      <c r="BE147" s="38">
        <v>0</v>
      </c>
      <c r="BF147" s="38">
        <f t="shared" si="136"/>
        <v>0</v>
      </c>
      <c r="BH147" s="80">
        <f t="shared" si="137"/>
        <v>0</v>
      </c>
      <c r="BI147" s="80">
        <f t="shared" si="138"/>
        <v>0</v>
      </c>
      <c r="BJ147" s="80">
        <f t="shared" si="139"/>
        <v>0</v>
      </c>
      <c r="BK147" s="80"/>
      <c r="BL147" s="38"/>
      <c r="BW147" s="38">
        <v>21</v>
      </c>
    </row>
    <row r="148" spans="1:75" ht="13.5" customHeight="1">
      <c r="A148" s="78" t="s">
        <v>881</v>
      </c>
      <c r="B148" s="79" t="s">
        <v>93</v>
      </c>
      <c r="C148" s="79" t="s">
        <v>2840</v>
      </c>
      <c r="D148" s="198" t="s">
        <v>2841</v>
      </c>
      <c r="E148" s="199"/>
      <c r="F148" s="79" t="s">
        <v>2567</v>
      </c>
      <c r="G148" s="80">
        <f>'Stavební rozpočet'!G1469</f>
        <v>22</v>
      </c>
      <c r="H148" s="80">
        <f>'Stavební rozpočet'!H1469</f>
        <v>0</v>
      </c>
      <c r="I148" s="80">
        <f t="shared" si="116"/>
        <v>0</v>
      </c>
      <c r="J148" s="80">
        <f>'Stavební rozpočet'!J1469</f>
        <v>0</v>
      </c>
      <c r="K148" s="80">
        <f t="shared" si="117"/>
        <v>0</v>
      </c>
      <c r="L148" s="82" t="s">
        <v>207</v>
      </c>
      <c r="Z148" s="38">
        <f t="shared" si="118"/>
        <v>0</v>
      </c>
      <c r="AB148" s="38">
        <f t="shared" si="119"/>
        <v>0</v>
      </c>
      <c r="AC148" s="38">
        <f t="shared" si="120"/>
        <v>0</v>
      </c>
      <c r="AD148" s="38">
        <f t="shared" si="121"/>
        <v>0</v>
      </c>
      <c r="AE148" s="38">
        <f t="shared" si="122"/>
        <v>0</v>
      </c>
      <c r="AF148" s="38">
        <f t="shared" si="123"/>
        <v>0</v>
      </c>
      <c r="AG148" s="38">
        <f t="shared" si="124"/>
        <v>0</v>
      </c>
      <c r="AH148" s="38">
        <f t="shared" si="125"/>
        <v>0</v>
      </c>
      <c r="AI148" s="50" t="s">
        <v>93</v>
      </c>
      <c r="AJ148" s="80">
        <f t="shared" si="126"/>
        <v>0</v>
      </c>
      <c r="AK148" s="80">
        <f t="shared" si="127"/>
        <v>0</v>
      </c>
      <c r="AL148" s="80">
        <f t="shared" si="128"/>
        <v>0</v>
      </c>
      <c r="AN148" s="38">
        <v>21</v>
      </c>
      <c r="AO148" s="38">
        <f t="shared" si="129"/>
        <v>0</v>
      </c>
      <c r="AP148" s="38">
        <f t="shared" si="130"/>
        <v>0</v>
      </c>
      <c r="AQ148" s="83" t="s">
        <v>169</v>
      </c>
      <c r="AV148" s="38">
        <f t="shared" si="131"/>
        <v>0</v>
      </c>
      <c r="AW148" s="38">
        <f t="shared" si="132"/>
        <v>0</v>
      </c>
      <c r="AX148" s="38">
        <f t="shared" si="133"/>
        <v>0</v>
      </c>
      <c r="AY148" s="72" t="s">
        <v>2827</v>
      </c>
      <c r="AZ148" s="72" t="s">
        <v>2828</v>
      </c>
      <c r="BA148" s="50" t="s">
        <v>2563</v>
      </c>
      <c r="BC148" s="38">
        <f t="shared" si="134"/>
        <v>0</v>
      </c>
      <c r="BD148" s="38">
        <f t="shared" si="135"/>
        <v>0</v>
      </c>
      <c r="BE148" s="38">
        <v>0</v>
      </c>
      <c r="BF148" s="38">
        <f t="shared" si="136"/>
        <v>0</v>
      </c>
      <c r="BH148" s="80">
        <f t="shared" si="137"/>
        <v>0</v>
      </c>
      <c r="BI148" s="80">
        <f t="shared" si="138"/>
        <v>0</v>
      </c>
      <c r="BJ148" s="80">
        <f t="shared" si="139"/>
        <v>0</v>
      </c>
      <c r="BK148" s="80"/>
      <c r="BL148" s="38"/>
      <c r="BW148" s="38">
        <v>21</v>
      </c>
    </row>
    <row r="149" spans="1:75" ht="13.5" customHeight="1">
      <c r="A149" s="1" t="s">
        <v>886</v>
      </c>
      <c r="B149" s="2" t="s">
        <v>93</v>
      </c>
      <c r="C149" s="2" t="s">
        <v>2817</v>
      </c>
      <c r="D149" s="108" t="s">
        <v>2818</v>
      </c>
      <c r="E149" s="103"/>
      <c r="F149" s="2" t="s">
        <v>2286</v>
      </c>
      <c r="G149" s="38">
        <f>'Stavební rozpočet'!G1470</f>
        <v>6</v>
      </c>
      <c r="H149" s="38">
        <f>'Stavební rozpočet'!H1470</f>
        <v>0</v>
      </c>
      <c r="I149" s="38">
        <f t="shared" si="116"/>
        <v>0</v>
      </c>
      <c r="J149" s="38">
        <f>'Stavební rozpočet'!J1470</f>
        <v>0</v>
      </c>
      <c r="K149" s="38">
        <f t="shared" si="117"/>
        <v>0</v>
      </c>
      <c r="L149" s="71" t="s">
        <v>207</v>
      </c>
      <c r="Z149" s="38">
        <f t="shared" si="118"/>
        <v>0</v>
      </c>
      <c r="AB149" s="38">
        <f t="shared" si="119"/>
        <v>0</v>
      </c>
      <c r="AC149" s="38">
        <f t="shared" si="120"/>
        <v>0</v>
      </c>
      <c r="AD149" s="38">
        <f t="shared" si="121"/>
        <v>0</v>
      </c>
      <c r="AE149" s="38">
        <f t="shared" si="122"/>
        <v>0</v>
      </c>
      <c r="AF149" s="38">
        <f t="shared" si="123"/>
        <v>0</v>
      </c>
      <c r="AG149" s="38">
        <f t="shared" si="124"/>
        <v>0</v>
      </c>
      <c r="AH149" s="38">
        <f t="shared" si="125"/>
        <v>0</v>
      </c>
      <c r="AI149" s="50" t="s">
        <v>93</v>
      </c>
      <c r="AJ149" s="38">
        <f t="shared" si="126"/>
        <v>0</v>
      </c>
      <c r="AK149" s="38">
        <f t="shared" si="127"/>
        <v>0</v>
      </c>
      <c r="AL149" s="38">
        <f t="shared" si="128"/>
        <v>0</v>
      </c>
      <c r="AN149" s="38">
        <v>21</v>
      </c>
      <c r="AO149" s="38">
        <f>H149*0</f>
        <v>0</v>
      </c>
      <c r="AP149" s="38">
        <f>H149*(1-0)</f>
        <v>0</v>
      </c>
      <c r="AQ149" s="72" t="s">
        <v>169</v>
      </c>
      <c r="AV149" s="38">
        <f t="shared" si="131"/>
        <v>0</v>
      </c>
      <c r="AW149" s="38">
        <f t="shared" si="132"/>
        <v>0</v>
      </c>
      <c r="AX149" s="38">
        <f t="shared" si="133"/>
        <v>0</v>
      </c>
      <c r="AY149" s="72" t="s">
        <v>2827</v>
      </c>
      <c r="AZ149" s="72" t="s">
        <v>2828</v>
      </c>
      <c r="BA149" s="50" t="s">
        <v>2563</v>
      </c>
      <c r="BC149" s="38">
        <f t="shared" si="134"/>
        <v>0</v>
      </c>
      <c r="BD149" s="38">
        <f t="shared" si="135"/>
        <v>0</v>
      </c>
      <c r="BE149" s="38">
        <v>0</v>
      </c>
      <c r="BF149" s="38">
        <f t="shared" si="136"/>
        <v>0</v>
      </c>
      <c r="BH149" s="38">
        <f t="shared" si="137"/>
        <v>0</v>
      </c>
      <c r="BI149" s="38">
        <f t="shared" si="138"/>
        <v>0</v>
      </c>
      <c r="BJ149" s="38">
        <f t="shared" si="139"/>
        <v>0</v>
      </c>
      <c r="BK149" s="38"/>
      <c r="BL149" s="38"/>
      <c r="BW149" s="38">
        <v>21</v>
      </c>
    </row>
    <row r="150" spans="1:12" ht="13.5" customHeight="1">
      <c r="A150" s="74"/>
      <c r="D150" s="194" t="s">
        <v>2911</v>
      </c>
      <c r="E150" s="195"/>
      <c r="F150" s="195"/>
      <c r="G150" s="195"/>
      <c r="H150" s="195"/>
      <c r="I150" s="195"/>
      <c r="J150" s="195"/>
      <c r="K150" s="195"/>
      <c r="L150" s="197"/>
    </row>
    <row r="151" spans="1:75" ht="13.5" customHeight="1">
      <c r="A151" s="78" t="s">
        <v>892</v>
      </c>
      <c r="B151" s="79" t="s">
        <v>93</v>
      </c>
      <c r="C151" s="79" t="s">
        <v>2913</v>
      </c>
      <c r="D151" s="198" t="s">
        <v>2832</v>
      </c>
      <c r="E151" s="199"/>
      <c r="F151" s="79" t="s">
        <v>2567</v>
      </c>
      <c r="G151" s="80">
        <f>'Stavební rozpočet'!G1472</f>
        <v>1</v>
      </c>
      <c r="H151" s="80">
        <f>'Stavební rozpočet'!H1472</f>
        <v>0</v>
      </c>
      <c r="I151" s="80">
        <f aca="true" t="shared" si="140" ref="I151:I158">G151*H151</f>
        <v>0</v>
      </c>
      <c r="J151" s="80">
        <f>'Stavební rozpočet'!J1472</f>
        <v>0</v>
      </c>
      <c r="K151" s="80">
        <f aca="true" t="shared" si="141" ref="K151:K158">G151*J151</f>
        <v>0</v>
      </c>
      <c r="L151" s="82" t="s">
        <v>207</v>
      </c>
      <c r="Z151" s="38">
        <f aca="true" t="shared" si="142" ref="Z151:Z158">IF(AQ151="5",BJ151,0)</f>
        <v>0</v>
      </c>
      <c r="AB151" s="38">
        <f aca="true" t="shared" si="143" ref="AB151:AB158">IF(AQ151="1",BH151,0)</f>
        <v>0</v>
      </c>
      <c r="AC151" s="38">
        <f aca="true" t="shared" si="144" ref="AC151:AC158">IF(AQ151="1",BI151,0)</f>
        <v>0</v>
      </c>
      <c r="AD151" s="38">
        <f aca="true" t="shared" si="145" ref="AD151:AD158">IF(AQ151="7",BH151,0)</f>
        <v>0</v>
      </c>
      <c r="AE151" s="38">
        <f aca="true" t="shared" si="146" ref="AE151:AE158">IF(AQ151="7",BI151,0)</f>
        <v>0</v>
      </c>
      <c r="AF151" s="38">
        <f aca="true" t="shared" si="147" ref="AF151:AF158">IF(AQ151="2",BH151,0)</f>
        <v>0</v>
      </c>
      <c r="AG151" s="38">
        <f aca="true" t="shared" si="148" ref="AG151:AG158">IF(AQ151="2",BI151,0)</f>
        <v>0</v>
      </c>
      <c r="AH151" s="38">
        <f aca="true" t="shared" si="149" ref="AH151:AH158">IF(AQ151="0",BJ151,0)</f>
        <v>0</v>
      </c>
      <c r="AI151" s="50" t="s">
        <v>93</v>
      </c>
      <c r="AJ151" s="80">
        <f aca="true" t="shared" si="150" ref="AJ151:AJ158">IF(AN151=0,I151,0)</f>
        <v>0</v>
      </c>
      <c r="AK151" s="80">
        <f aca="true" t="shared" si="151" ref="AK151:AK158">IF(AN151=12,I151,0)</f>
        <v>0</v>
      </c>
      <c r="AL151" s="80">
        <f aca="true" t="shared" si="152" ref="AL151:AL158">IF(AN151=21,I151,0)</f>
        <v>0</v>
      </c>
      <c r="AN151" s="38">
        <v>21</v>
      </c>
      <c r="AO151" s="38">
        <f aca="true" t="shared" si="153" ref="AO151:AO157">H151*1</f>
        <v>0</v>
      </c>
      <c r="AP151" s="38">
        <f aca="true" t="shared" si="154" ref="AP151:AP157">H151*(1-1)</f>
        <v>0</v>
      </c>
      <c r="AQ151" s="83" t="s">
        <v>169</v>
      </c>
      <c r="AV151" s="38">
        <f aca="true" t="shared" si="155" ref="AV151:AV158">AW151+AX151</f>
        <v>0</v>
      </c>
      <c r="AW151" s="38">
        <f aca="true" t="shared" si="156" ref="AW151:AW158">G151*AO151</f>
        <v>0</v>
      </c>
      <c r="AX151" s="38">
        <f aca="true" t="shared" si="157" ref="AX151:AX158">G151*AP151</f>
        <v>0</v>
      </c>
      <c r="AY151" s="72" t="s">
        <v>2827</v>
      </c>
      <c r="AZ151" s="72" t="s">
        <v>2828</v>
      </c>
      <c r="BA151" s="50" t="s">
        <v>2563</v>
      </c>
      <c r="BC151" s="38">
        <f aca="true" t="shared" si="158" ref="BC151:BC158">AW151+AX151</f>
        <v>0</v>
      </c>
      <c r="BD151" s="38">
        <f aca="true" t="shared" si="159" ref="BD151:BD158">H151/(100-BE151)*100</f>
        <v>0</v>
      </c>
      <c r="BE151" s="38">
        <v>0</v>
      </c>
      <c r="BF151" s="38">
        <f aca="true" t="shared" si="160" ref="BF151:BF158">K151</f>
        <v>0</v>
      </c>
      <c r="BH151" s="80">
        <f aca="true" t="shared" si="161" ref="BH151:BH158">G151*AO151</f>
        <v>0</v>
      </c>
      <c r="BI151" s="80">
        <f aca="true" t="shared" si="162" ref="BI151:BI158">G151*AP151</f>
        <v>0</v>
      </c>
      <c r="BJ151" s="80">
        <f aca="true" t="shared" si="163" ref="BJ151:BJ158">G151*H151</f>
        <v>0</v>
      </c>
      <c r="BK151" s="80"/>
      <c r="BL151" s="38"/>
      <c r="BW151" s="38">
        <v>21</v>
      </c>
    </row>
    <row r="152" spans="1:75" ht="13.5" customHeight="1">
      <c r="A152" s="78" t="s">
        <v>896</v>
      </c>
      <c r="B152" s="79" t="s">
        <v>93</v>
      </c>
      <c r="C152" s="79" t="s">
        <v>2915</v>
      </c>
      <c r="D152" s="198" t="s">
        <v>2835</v>
      </c>
      <c r="E152" s="199"/>
      <c r="F152" s="79" t="s">
        <v>2567</v>
      </c>
      <c r="G152" s="80">
        <f>'Stavební rozpočet'!G1473</f>
        <v>1</v>
      </c>
      <c r="H152" s="80">
        <f>'Stavební rozpočet'!H1473</f>
        <v>0</v>
      </c>
      <c r="I152" s="80">
        <f t="shared" si="140"/>
        <v>0</v>
      </c>
      <c r="J152" s="80">
        <f>'Stavební rozpočet'!J1473</f>
        <v>0</v>
      </c>
      <c r="K152" s="80">
        <f t="shared" si="141"/>
        <v>0</v>
      </c>
      <c r="L152" s="82" t="s">
        <v>207</v>
      </c>
      <c r="Z152" s="38">
        <f t="shared" si="142"/>
        <v>0</v>
      </c>
      <c r="AB152" s="38">
        <f t="shared" si="143"/>
        <v>0</v>
      </c>
      <c r="AC152" s="38">
        <f t="shared" si="144"/>
        <v>0</v>
      </c>
      <c r="AD152" s="38">
        <f t="shared" si="145"/>
        <v>0</v>
      </c>
      <c r="AE152" s="38">
        <f t="shared" si="146"/>
        <v>0</v>
      </c>
      <c r="AF152" s="38">
        <f t="shared" si="147"/>
        <v>0</v>
      </c>
      <c r="AG152" s="38">
        <f t="shared" si="148"/>
        <v>0</v>
      </c>
      <c r="AH152" s="38">
        <f t="shared" si="149"/>
        <v>0</v>
      </c>
      <c r="AI152" s="50" t="s">
        <v>93</v>
      </c>
      <c r="AJ152" s="80">
        <f t="shared" si="150"/>
        <v>0</v>
      </c>
      <c r="AK152" s="80">
        <f t="shared" si="151"/>
        <v>0</v>
      </c>
      <c r="AL152" s="80">
        <f t="shared" si="152"/>
        <v>0</v>
      </c>
      <c r="AN152" s="38">
        <v>21</v>
      </c>
      <c r="AO152" s="38">
        <f t="shared" si="153"/>
        <v>0</v>
      </c>
      <c r="AP152" s="38">
        <f t="shared" si="154"/>
        <v>0</v>
      </c>
      <c r="AQ152" s="83" t="s">
        <v>169</v>
      </c>
      <c r="AV152" s="38">
        <f t="shared" si="155"/>
        <v>0</v>
      </c>
      <c r="AW152" s="38">
        <f t="shared" si="156"/>
        <v>0</v>
      </c>
      <c r="AX152" s="38">
        <f t="shared" si="157"/>
        <v>0</v>
      </c>
      <c r="AY152" s="72" t="s">
        <v>2827</v>
      </c>
      <c r="AZ152" s="72" t="s">
        <v>2828</v>
      </c>
      <c r="BA152" s="50" t="s">
        <v>2563</v>
      </c>
      <c r="BC152" s="38">
        <f t="shared" si="158"/>
        <v>0</v>
      </c>
      <c r="BD152" s="38">
        <f t="shared" si="159"/>
        <v>0</v>
      </c>
      <c r="BE152" s="38">
        <v>0</v>
      </c>
      <c r="BF152" s="38">
        <f t="shared" si="160"/>
        <v>0</v>
      </c>
      <c r="BH152" s="80">
        <f t="shared" si="161"/>
        <v>0</v>
      </c>
      <c r="BI152" s="80">
        <f t="shared" si="162"/>
        <v>0</v>
      </c>
      <c r="BJ152" s="80">
        <f t="shared" si="163"/>
        <v>0</v>
      </c>
      <c r="BK152" s="80"/>
      <c r="BL152" s="38"/>
      <c r="BW152" s="38">
        <v>21</v>
      </c>
    </row>
    <row r="153" spans="1:75" ht="27" customHeight="1">
      <c r="A153" s="78" t="s">
        <v>899</v>
      </c>
      <c r="B153" s="79" t="s">
        <v>93</v>
      </c>
      <c r="C153" s="79" t="s">
        <v>2889</v>
      </c>
      <c r="D153" s="198" t="s">
        <v>2890</v>
      </c>
      <c r="E153" s="199"/>
      <c r="F153" s="79" t="s">
        <v>2567</v>
      </c>
      <c r="G153" s="80">
        <f>'Stavební rozpočet'!G1474</f>
        <v>2</v>
      </c>
      <c r="H153" s="80">
        <f>'Stavební rozpočet'!H1474</f>
        <v>0</v>
      </c>
      <c r="I153" s="80">
        <f t="shared" si="140"/>
        <v>0</v>
      </c>
      <c r="J153" s="80">
        <f>'Stavební rozpočet'!J1474</f>
        <v>0</v>
      </c>
      <c r="K153" s="80">
        <f t="shared" si="141"/>
        <v>0</v>
      </c>
      <c r="L153" s="82" t="s">
        <v>207</v>
      </c>
      <c r="Z153" s="38">
        <f t="shared" si="142"/>
        <v>0</v>
      </c>
      <c r="AB153" s="38">
        <f t="shared" si="143"/>
        <v>0</v>
      </c>
      <c r="AC153" s="38">
        <f t="shared" si="144"/>
        <v>0</v>
      </c>
      <c r="AD153" s="38">
        <f t="shared" si="145"/>
        <v>0</v>
      </c>
      <c r="AE153" s="38">
        <f t="shared" si="146"/>
        <v>0</v>
      </c>
      <c r="AF153" s="38">
        <f t="shared" si="147"/>
        <v>0</v>
      </c>
      <c r="AG153" s="38">
        <f t="shared" si="148"/>
        <v>0</v>
      </c>
      <c r="AH153" s="38">
        <f t="shared" si="149"/>
        <v>0</v>
      </c>
      <c r="AI153" s="50" t="s">
        <v>93</v>
      </c>
      <c r="AJ153" s="80">
        <f t="shared" si="150"/>
        <v>0</v>
      </c>
      <c r="AK153" s="80">
        <f t="shared" si="151"/>
        <v>0</v>
      </c>
      <c r="AL153" s="80">
        <f t="shared" si="152"/>
        <v>0</v>
      </c>
      <c r="AN153" s="38">
        <v>21</v>
      </c>
      <c r="AO153" s="38">
        <f t="shared" si="153"/>
        <v>0</v>
      </c>
      <c r="AP153" s="38">
        <f t="shared" si="154"/>
        <v>0</v>
      </c>
      <c r="AQ153" s="83" t="s">
        <v>169</v>
      </c>
      <c r="AV153" s="38">
        <f t="shared" si="155"/>
        <v>0</v>
      </c>
      <c r="AW153" s="38">
        <f t="shared" si="156"/>
        <v>0</v>
      </c>
      <c r="AX153" s="38">
        <f t="shared" si="157"/>
        <v>0</v>
      </c>
      <c r="AY153" s="72" t="s">
        <v>2827</v>
      </c>
      <c r="AZ153" s="72" t="s">
        <v>2828</v>
      </c>
      <c r="BA153" s="50" t="s">
        <v>2563</v>
      </c>
      <c r="BC153" s="38">
        <f t="shared" si="158"/>
        <v>0</v>
      </c>
      <c r="BD153" s="38">
        <f t="shared" si="159"/>
        <v>0</v>
      </c>
      <c r="BE153" s="38">
        <v>0</v>
      </c>
      <c r="BF153" s="38">
        <f t="shared" si="160"/>
        <v>0</v>
      </c>
      <c r="BH153" s="80">
        <f t="shared" si="161"/>
        <v>0</v>
      </c>
      <c r="BI153" s="80">
        <f t="shared" si="162"/>
        <v>0</v>
      </c>
      <c r="BJ153" s="80">
        <f t="shared" si="163"/>
        <v>0</v>
      </c>
      <c r="BK153" s="80"/>
      <c r="BL153" s="38"/>
      <c r="BW153" s="38">
        <v>21</v>
      </c>
    </row>
    <row r="154" spans="1:75" ht="27" customHeight="1">
      <c r="A154" s="78" t="s">
        <v>903</v>
      </c>
      <c r="B154" s="79" t="s">
        <v>93</v>
      </c>
      <c r="C154" s="79" t="s">
        <v>2892</v>
      </c>
      <c r="D154" s="198" t="s">
        <v>2893</v>
      </c>
      <c r="E154" s="199"/>
      <c r="F154" s="79" t="s">
        <v>2567</v>
      </c>
      <c r="G154" s="80">
        <f>'Stavební rozpočet'!G1475</f>
        <v>3</v>
      </c>
      <c r="H154" s="80">
        <f>'Stavební rozpočet'!H1475</f>
        <v>0</v>
      </c>
      <c r="I154" s="80">
        <f t="shared" si="140"/>
        <v>0</v>
      </c>
      <c r="J154" s="80">
        <f>'Stavební rozpočet'!J1475</f>
        <v>0</v>
      </c>
      <c r="K154" s="80">
        <f t="shared" si="141"/>
        <v>0</v>
      </c>
      <c r="L154" s="82" t="s">
        <v>207</v>
      </c>
      <c r="Z154" s="38">
        <f t="shared" si="142"/>
        <v>0</v>
      </c>
      <c r="AB154" s="38">
        <f t="shared" si="143"/>
        <v>0</v>
      </c>
      <c r="AC154" s="38">
        <f t="shared" si="144"/>
        <v>0</v>
      </c>
      <c r="AD154" s="38">
        <f t="shared" si="145"/>
        <v>0</v>
      </c>
      <c r="AE154" s="38">
        <f t="shared" si="146"/>
        <v>0</v>
      </c>
      <c r="AF154" s="38">
        <f t="shared" si="147"/>
        <v>0</v>
      </c>
      <c r="AG154" s="38">
        <f t="shared" si="148"/>
        <v>0</v>
      </c>
      <c r="AH154" s="38">
        <f t="shared" si="149"/>
        <v>0</v>
      </c>
      <c r="AI154" s="50" t="s">
        <v>93</v>
      </c>
      <c r="AJ154" s="80">
        <f t="shared" si="150"/>
        <v>0</v>
      </c>
      <c r="AK154" s="80">
        <f t="shared" si="151"/>
        <v>0</v>
      </c>
      <c r="AL154" s="80">
        <f t="shared" si="152"/>
        <v>0</v>
      </c>
      <c r="AN154" s="38">
        <v>21</v>
      </c>
      <c r="AO154" s="38">
        <f t="shared" si="153"/>
        <v>0</v>
      </c>
      <c r="AP154" s="38">
        <f t="shared" si="154"/>
        <v>0</v>
      </c>
      <c r="AQ154" s="83" t="s">
        <v>169</v>
      </c>
      <c r="AV154" s="38">
        <f t="shared" si="155"/>
        <v>0</v>
      </c>
      <c r="AW154" s="38">
        <f t="shared" si="156"/>
        <v>0</v>
      </c>
      <c r="AX154" s="38">
        <f t="shared" si="157"/>
        <v>0</v>
      </c>
      <c r="AY154" s="72" t="s">
        <v>2827</v>
      </c>
      <c r="AZ154" s="72" t="s">
        <v>2828</v>
      </c>
      <c r="BA154" s="50" t="s">
        <v>2563</v>
      </c>
      <c r="BC154" s="38">
        <f t="shared" si="158"/>
        <v>0</v>
      </c>
      <c r="BD154" s="38">
        <f t="shared" si="159"/>
        <v>0</v>
      </c>
      <c r="BE154" s="38">
        <v>0</v>
      </c>
      <c r="BF154" s="38">
        <f t="shared" si="160"/>
        <v>0</v>
      </c>
      <c r="BH154" s="80">
        <f t="shared" si="161"/>
        <v>0</v>
      </c>
      <c r="BI154" s="80">
        <f t="shared" si="162"/>
        <v>0</v>
      </c>
      <c r="BJ154" s="80">
        <f t="shared" si="163"/>
        <v>0</v>
      </c>
      <c r="BK154" s="80"/>
      <c r="BL154" s="38"/>
      <c r="BW154" s="38">
        <v>21</v>
      </c>
    </row>
    <row r="155" spans="1:75" ht="13.5" customHeight="1">
      <c r="A155" s="78" t="s">
        <v>907</v>
      </c>
      <c r="B155" s="79" t="s">
        <v>93</v>
      </c>
      <c r="C155" s="79" t="s">
        <v>2843</v>
      </c>
      <c r="D155" s="198" t="s">
        <v>2844</v>
      </c>
      <c r="E155" s="199"/>
      <c r="F155" s="79" t="s">
        <v>2567</v>
      </c>
      <c r="G155" s="80">
        <f>'Stavební rozpočet'!G1476</f>
        <v>5</v>
      </c>
      <c r="H155" s="80">
        <f>'Stavební rozpočet'!H1476</f>
        <v>0</v>
      </c>
      <c r="I155" s="80">
        <f t="shared" si="140"/>
        <v>0</v>
      </c>
      <c r="J155" s="80">
        <f>'Stavební rozpočet'!J1476</f>
        <v>0</v>
      </c>
      <c r="K155" s="80">
        <f t="shared" si="141"/>
        <v>0</v>
      </c>
      <c r="L155" s="82" t="s">
        <v>207</v>
      </c>
      <c r="Z155" s="38">
        <f t="shared" si="142"/>
        <v>0</v>
      </c>
      <c r="AB155" s="38">
        <f t="shared" si="143"/>
        <v>0</v>
      </c>
      <c r="AC155" s="38">
        <f t="shared" si="144"/>
        <v>0</v>
      </c>
      <c r="AD155" s="38">
        <f t="shared" si="145"/>
        <v>0</v>
      </c>
      <c r="AE155" s="38">
        <f t="shared" si="146"/>
        <v>0</v>
      </c>
      <c r="AF155" s="38">
        <f t="shared" si="147"/>
        <v>0</v>
      </c>
      <c r="AG155" s="38">
        <f t="shared" si="148"/>
        <v>0</v>
      </c>
      <c r="AH155" s="38">
        <f t="shared" si="149"/>
        <v>0</v>
      </c>
      <c r="AI155" s="50" t="s">
        <v>93</v>
      </c>
      <c r="AJ155" s="80">
        <f t="shared" si="150"/>
        <v>0</v>
      </c>
      <c r="AK155" s="80">
        <f t="shared" si="151"/>
        <v>0</v>
      </c>
      <c r="AL155" s="80">
        <f t="shared" si="152"/>
        <v>0</v>
      </c>
      <c r="AN155" s="38">
        <v>21</v>
      </c>
      <c r="AO155" s="38">
        <f t="shared" si="153"/>
        <v>0</v>
      </c>
      <c r="AP155" s="38">
        <f t="shared" si="154"/>
        <v>0</v>
      </c>
      <c r="AQ155" s="83" t="s">
        <v>169</v>
      </c>
      <c r="AV155" s="38">
        <f t="shared" si="155"/>
        <v>0</v>
      </c>
      <c r="AW155" s="38">
        <f t="shared" si="156"/>
        <v>0</v>
      </c>
      <c r="AX155" s="38">
        <f t="shared" si="157"/>
        <v>0</v>
      </c>
      <c r="AY155" s="72" t="s">
        <v>2827</v>
      </c>
      <c r="AZ155" s="72" t="s">
        <v>2828</v>
      </c>
      <c r="BA155" s="50" t="s">
        <v>2563</v>
      </c>
      <c r="BC155" s="38">
        <f t="shared" si="158"/>
        <v>0</v>
      </c>
      <c r="BD155" s="38">
        <f t="shared" si="159"/>
        <v>0</v>
      </c>
      <c r="BE155" s="38">
        <v>0</v>
      </c>
      <c r="BF155" s="38">
        <f t="shared" si="160"/>
        <v>0</v>
      </c>
      <c r="BH155" s="80">
        <f t="shared" si="161"/>
        <v>0</v>
      </c>
      <c r="BI155" s="80">
        <f t="shared" si="162"/>
        <v>0</v>
      </c>
      <c r="BJ155" s="80">
        <f t="shared" si="163"/>
        <v>0</v>
      </c>
      <c r="BK155" s="80"/>
      <c r="BL155" s="38"/>
      <c r="BW155" s="38">
        <v>21</v>
      </c>
    </row>
    <row r="156" spans="1:75" ht="13.5" customHeight="1">
      <c r="A156" s="78" t="s">
        <v>912</v>
      </c>
      <c r="B156" s="79" t="s">
        <v>93</v>
      </c>
      <c r="C156" s="79" t="s">
        <v>2846</v>
      </c>
      <c r="D156" s="198" t="s">
        <v>2847</v>
      </c>
      <c r="E156" s="199"/>
      <c r="F156" s="79" t="s">
        <v>2567</v>
      </c>
      <c r="G156" s="80">
        <f>'Stavební rozpočet'!G1477</f>
        <v>5</v>
      </c>
      <c r="H156" s="80">
        <f>'Stavební rozpočet'!H1477</f>
        <v>0</v>
      </c>
      <c r="I156" s="80">
        <f t="shared" si="140"/>
        <v>0</v>
      </c>
      <c r="J156" s="80">
        <f>'Stavební rozpočet'!J1477</f>
        <v>0</v>
      </c>
      <c r="K156" s="80">
        <f t="shared" si="141"/>
        <v>0</v>
      </c>
      <c r="L156" s="82" t="s">
        <v>207</v>
      </c>
      <c r="Z156" s="38">
        <f t="shared" si="142"/>
        <v>0</v>
      </c>
      <c r="AB156" s="38">
        <f t="shared" si="143"/>
        <v>0</v>
      </c>
      <c r="AC156" s="38">
        <f t="shared" si="144"/>
        <v>0</v>
      </c>
      <c r="AD156" s="38">
        <f t="shared" si="145"/>
        <v>0</v>
      </c>
      <c r="AE156" s="38">
        <f t="shared" si="146"/>
        <v>0</v>
      </c>
      <c r="AF156" s="38">
        <f t="shared" si="147"/>
        <v>0</v>
      </c>
      <c r="AG156" s="38">
        <f t="shared" si="148"/>
        <v>0</v>
      </c>
      <c r="AH156" s="38">
        <f t="shared" si="149"/>
        <v>0</v>
      </c>
      <c r="AI156" s="50" t="s">
        <v>93</v>
      </c>
      <c r="AJ156" s="80">
        <f t="shared" si="150"/>
        <v>0</v>
      </c>
      <c r="AK156" s="80">
        <f t="shared" si="151"/>
        <v>0</v>
      </c>
      <c r="AL156" s="80">
        <f t="shared" si="152"/>
        <v>0</v>
      </c>
      <c r="AN156" s="38">
        <v>21</v>
      </c>
      <c r="AO156" s="38">
        <f t="shared" si="153"/>
        <v>0</v>
      </c>
      <c r="AP156" s="38">
        <f t="shared" si="154"/>
        <v>0</v>
      </c>
      <c r="AQ156" s="83" t="s">
        <v>169</v>
      </c>
      <c r="AV156" s="38">
        <f t="shared" si="155"/>
        <v>0</v>
      </c>
      <c r="AW156" s="38">
        <f t="shared" si="156"/>
        <v>0</v>
      </c>
      <c r="AX156" s="38">
        <f t="shared" si="157"/>
        <v>0</v>
      </c>
      <c r="AY156" s="72" t="s">
        <v>2827</v>
      </c>
      <c r="AZ156" s="72" t="s">
        <v>2828</v>
      </c>
      <c r="BA156" s="50" t="s">
        <v>2563</v>
      </c>
      <c r="BC156" s="38">
        <f t="shared" si="158"/>
        <v>0</v>
      </c>
      <c r="BD156" s="38">
        <f t="shared" si="159"/>
        <v>0</v>
      </c>
      <c r="BE156" s="38">
        <v>0</v>
      </c>
      <c r="BF156" s="38">
        <f t="shared" si="160"/>
        <v>0</v>
      </c>
      <c r="BH156" s="80">
        <f t="shared" si="161"/>
        <v>0</v>
      </c>
      <c r="BI156" s="80">
        <f t="shared" si="162"/>
        <v>0</v>
      </c>
      <c r="BJ156" s="80">
        <f t="shared" si="163"/>
        <v>0</v>
      </c>
      <c r="BK156" s="80"/>
      <c r="BL156" s="38"/>
      <c r="BW156" s="38">
        <v>21</v>
      </c>
    </row>
    <row r="157" spans="1:75" ht="13.5" customHeight="1">
      <c r="A157" s="78" t="s">
        <v>917</v>
      </c>
      <c r="B157" s="79" t="s">
        <v>93</v>
      </c>
      <c r="C157" s="79" t="s">
        <v>2849</v>
      </c>
      <c r="D157" s="198" t="s">
        <v>2850</v>
      </c>
      <c r="E157" s="199"/>
      <c r="F157" s="79" t="s">
        <v>2567</v>
      </c>
      <c r="G157" s="80">
        <f>'Stavební rozpočet'!G1478</f>
        <v>5</v>
      </c>
      <c r="H157" s="80">
        <f>'Stavební rozpočet'!H1478</f>
        <v>0</v>
      </c>
      <c r="I157" s="80">
        <f t="shared" si="140"/>
        <v>0</v>
      </c>
      <c r="J157" s="80">
        <f>'Stavební rozpočet'!J1478</f>
        <v>0</v>
      </c>
      <c r="K157" s="80">
        <f t="shared" si="141"/>
        <v>0</v>
      </c>
      <c r="L157" s="82" t="s">
        <v>207</v>
      </c>
      <c r="Z157" s="38">
        <f t="shared" si="142"/>
        <v>0</v>
      </c>
      <c r="AB157" s="38">
        <f t="shared" si="143"/>
        <v>0</v>
      </c>
      <c r="AC157" s="38">
        <f t="shared" si="144"/>
        <v>0</v>
      </c>
      <c r="AD157" s="38">
        <f t="shared" si="145"/>
        <v>0</v>
      </c>
      <c r="AE157" s="38">
        <f t="shared" si="146"/>
        <v>0</v>
      </c>
      <c r="AF157" s="38">
        <f t="shared" si="147"/>
        <v>0</v>
      </c>
      <c r="AG157" s="38">
        <f t="shared" si="148"/>
        <v>0</v>
      </c>
      <c r="AH157" s="38">
        <f t="shared" si="149"/>
        <v>0</v>
      </c>
      <c r="AI157" s="50" t="s">
        <v>93</v>
      </c>
      <c r="AJ157" s="80">
        <f t="shared" si="150"/>
        <v>0</v>
      </c>
      <c r="AK157" s="80">
        <f t="shared" si="151"/>
        <v>0</v>
      </c>
      <c r="AL157" s="80">
        <f t="shared" si="152"/>
        <v>0</v>
      </c>
      <c r="AN157" s="38">
        <v>21</v>
      </c>
      <c r="AO157" s="38">
        <f t="shared" si="153"/>
        <v>0</v>
      </c>
      <c r="AP157" s="38">
        <f t="shared" si="154"/>
        <v>0</v>
      </c>
      <c r="AQ157" s="83" t="s">
        <v>169</v>
      </c>
      <c r="AV157" s="38">
        <f t="shared" si="155"/>
        <v>0</v>
      </c>
      <c r="AW157" s="38">
        <f t="shared" si="156"/>
        <v>0</v>
      </c>
      <c r="AX157" s="38">
        <f t="shared" si="157"/>
        <v>0</v>
      </c>
      <c r="AY157" s="72" t="s">
        <v>2827</v>
      </c>
      <c r="AZ157" s="72" t="s">
        <v>2828</v>
      </c>
      <c r="BA157" s="50" t="s">
        <v>2563</v>
      </c>
      <c r="BC157" s="38">
        <f t="shared" si="158"/>
        <v>0</v>
      </c>
      <c r="BD157" s="38">
        <f t="shared" si="159"/>
        <v>0</v>
      </c>
      <c r="BE157" s="38">
        <v>0</v>
      </c>
      <c r="BF157" s="38">
        <f t="shared" si="160"/>
        <v>0</v>
      </c>
      <c r="BH157" s="80">
        <f t="shared" si="161"/>
        <v>0</v>
      </c>
      <c r="BI157" s="80">
        <f t="shared" si="162"/>
        <v>0</v>
      </c>
      <c r="BJ157" s="80">
        <f t="shared" si="163"/>
        <v>0</v>
      </c>
      <c r="BK157" s="80"/>
      <c r="BL157" s="38"/>
      <c r="BW157" s="38">
        <v>21</v>
      </c>
    </row>
    <row r="158" spans="1:75" ht="13.5" customHeight="1">
      <c r="A158" s="1" t="s">
        <v>922</v>
      </c>
      <c r="B158" s="2" t="s">
        <v>93</v>
      </c>
      <c r="C158" s="2" t="s">
        <v>2817</v>
      </c>
      <c r="D158" s="108" t="s">
        <v>2818</v>
      </c>
      <c r="E158" s="103"/>
      <c r="F158" s="2" t="s">
        <v>2286</v>
      </c>
      <c r="G158" s="38">
        <f>'Stavební rozpočet'!G1479</f>
        <v>35</v>
      </c>
      <c r="H158" s="38">
        <f>'Stavební rozpočet'!H1479</f>
        <v>0</v>
      </c>
      <c r="I158" s="38">
        <f t="shared" si="140"/>
        <v>0</v>
      </c>
      <c r="J158" s="38">
        <f>'Stavební rozpočet'!J1479</f>
        <v>0</v>
      </c>
      <c r="K158" s="38">
        <f t="shared" si="141"/>
        <v>0</v>
      </c>
      <c r="L158" s="71" t="s">
        <v>207</v>
      </c>
      <c r="Z158" s="38">
        <f t="shared" si="142"/>
        <v>0</v>
      </c>
      <c r="AB158" s="38">
        <f t="shared" si="143"/>
        <v>0</v>
      </c>
      <c r="AC158" s="38">
        <f t="shared" si="144"/>
        <v>0</v>
      </c>
      <c r="AD158" s="38">
        <f t="shared" si="145"/>
        <v>0</v>
      </c>
      <c r="AE158" s="38">
        <f t="shared" si="146"/>
        <v>0</v>
      </c>
      <c r="AF158" s="38">
        <f t="shared" si="147"/>
        <v>0</v>
      </c>
      <c r="AG158" s="38">
        <f t="shared" si="148"/>
        <v>0</v>
      </c>
      <c r="AH158" s="38">
        <f t="shared" si="149"/>
        <v>0</v>
      </c>
      <c r="AI158" s="50" t="s">
        <v>93</v>
      </c>
      <c r="AJ158" s="38">
        <f t="shared" si="150"/>
        <v>0</v>
      </c>
      <c r="AK158" s="38">
        <f t="shared" si="151"/>
        <v>0</v>
      </c>
      <c r="AL158" s="38">
        <f t="shared" si="152"/>
        <v>0</v>
      </c>
      <c r="AN158" s="38">
        <v>21</v>
      </c>
      <c r="AO158" s="38">
        <f>H158*0</f>
        <v>0</v>
      </c>
      <c r="AP158" s="38">
        <f>H158*(1-0)</f>
        <v>0</v>
      </c>
      <c r="AQ158" s="72" t="s">
        <v>169</v>
      </c>
      <c r="AV158" s="38">
        <f t="shared" si="155"/>
        <v>0</v>
      </c>
      <c r="AW158" s="38">
        <f t="shared" si="156"/>
        <v>0</v>
      </c>
      <c r="AX158" s="38">
        <f t="shared" si="157"/>
        <v>0</v>
      </c>
      <c r="AY158" s="72" t="s">
        <v>2827</v>
      </c>
      <c r="AZ158" s="72" t="s">
        <v>2828</v>
      </c>
      <c r="BA158" s="50" t="s">
        <v>2563</v>
      </c>
      <c r="BC158" s="38">
        <f t="shared" si="158"/>
        <v>0</v>
      </c>
      <c r="BD158" s="38">
        <f t="shared" si="159"/>
        <v>0</v>
      </c>
      <c r="BE158" s="38">
        <v>0</v>
      </c>
      <c r="BF158" s="38">
        <f t="shared" si="160"/>
        <v>0</v>
      </c>
      <c r="BH158" s="38">
        <f t="shared" si="161"/>
        <v>0</v>
      </c>
      <c r="BI158" s="38">
        <f t="shared" si="162"/>
        <v>0</v>
      </c>
      <c r="BJ158" s="38">
        <f t="shared" si="163"/>
        <v>0</v>
      </c>
      <c r="BK158" s="38"/>
      <c r="BL158" s="38"/>
      <c r="BW158" s="38">
        <v>21</v>
      </c>
    </row>
    <row r="159" spans="1:12" ht="13.5" customHeight="1">
      <c r="A159" s="74"/>
      <c r="D159" s="194" t="s">
        <v>2922</v>
      </c>
      <c r="E159" s="195"/>
      <c r="F159" s="195"/>
      <c r="G159" s="195"/>
      <c r="H159" s="195"/>
      <c r="I159" s="195"/>
      <c r="J159" s="195"/>
      <c r="K159" s="195"/>
      <c r="L159" s="197"/>
    </row>
    <row r="160" spans="1:75" ht="13.5" customHeight="1">
      <c r="A160" s="78" t="s">
        <v>934</v>
      </c>
      <c r="B160" s="79" t="s">
        <v>93</v>
      </c>
      <c r="C160" s="79" t="s">
        <v>2913</v>
      </c>
      <c r="D160" s="198" t="s">
        <v>2832</v>
      </c>
      <c r="E160" s="199"/>
      <c r="F160" s="79" t="s">
        <v>2567</v>
      </c>
      <c r="G160" s="80">
        <f>'Stavební rozpočet'!G1481</f>
        <v>1</v>
      </c>
      <c r="H160" s="80">
        <f>'Stavební rozpočet'!H1481</f>
        <v>0</v>
      </c>
      <c r="I160" s="80">
        <f aca="true" t="shared" si="164" ref="I160:I187">G160*H160</f>
        <v>0</v>
      </c>
      <c r="J160" s="80">
        <f>'Stavební rozpočet'!J1481</f>
        <v>0</v>
      </c>
      <c r="K160" s="80">
        <f aca="true" t="shared" si="165" ref="K160:K187">G160*J160</f>
        <v>0</v>
      </c>
      <c r="L160" s="82" t="s">
        <v>207</v>
      </c>
      <c r="Z160" s="38">
        <f aca="true" t="shared" si="166" ref="Z160:Z187">IF(AQ160="5",BJ160,0)</f>
        <v>0</v>
      </c>
      <c r="AB160" s="38">
        <f aca="true" t="shared" si="167" ref="AB160:AB187">IF(AQ160="1",BH160,0)</f>
        <v>0</v>
      </c>
      <c r="AC160" s="38">
        <f aca="true" t="shared" si="168" ref="AC160:AC187">IF(AQ160="1",BI160,0)</f>
        <v>0</v>
      </c>
      <c r="AD160" s="38">
        <f aca="true" t="shared" si="169" ref="AD160:AD187">IF(AQ160="7",BH160,0)</f>
        <v>0</v>
      </c>
      <c r="AE160" s="38">
        <f aca="true" t="shared" si="170" ref="AE160:AE187">IF(AQ160="7",BI160,0)</f>
        <v>0</v>
      </c>
      <c r="AF160" s="38">
        <f aca="true" t="shared" si="171" ref="AF160:AF187">IF(AQ160="2",BH160,0)</f>
        <v>0</v>
      </c>
      <c r="AG160" s="38">
        <f aca="true" t="shared" si="172" ref="AG160:AG187">IF(AQ160="2",BI160,0)</f>
        <v>0</v>
      </c>
      <c r="AH160" s="38">
        <f aca="true" t="shared" si="173" ref="AH160:AH187">IF(AQ160="0",BJ160,0)</f>
        <v>0</v>
      </c>
      <c r="AI160" s="50" t="s">
        <v>93</v>
      </c>
      <c r="AJ160" s="80">
        <f aca="true" t="shared" si="174" ref="AJ160:AJ187">IF(AN160=0,I160,0)</f>
        <v>0</v>
      </c>
      <c r="AK160" s="80">
        <f aca="true" t="shared" si="175" ref="AK160:AK187">IF(AN160=12,I160,0)</f>
        <v>0</v>
      </c>
      <c r="AL160" s="80">
        <f aca="true" t="shared" si="176" ref="AL160:AL187">IF(AN160=21,I160,0)</f>
        <v>0</v>
      </c>
      <c r="AN160" s="38">
        <v>21</v>
      </c>
      <c r="AO160" s="38">
        <f aca="true" t="shared" si="177" ref="AO160:AO186">H160*1</f>
        <v>0</v>
      </c>
      <c r="AP160" s="38">
        <f aca="true" t="shared" si="178" ref="AP160:AP186">H160*(1-1)</f>
        <v>0</v>
      </c>
      <c r="AQ160" s="83" t="s">
        <v>169</v>
      </c>
      <c r="AV160" s="38">
        <f aca="true" t="shared" si="179" ref="AV160:AV187">AW160+AX160</f>
        <v>0</v>
      </c>
      <c r="AW160" s="38">
        <f aca="true" t="shared" si="180" ref="AW160:AW187">G160*AO160</f>
        <v>0</v>
      </c>
      <c r="AX160" s="38">
        <f aca="true" t="shared" si="181" ref="AX160:AX187">G160*AP160</f>
        <v>0</v>
      </c>
      <c r="AY160" s="72" t="s">
        <v>2827</v>
      </c>
      <c r="AZ160" s="72" t="s">
        <v>2828</v>
      </c>
      <c r="BA160" s="50" t="s">
        <v>2563</v>
      </c>
      <c r="BC160" s="38">
        <f aca="true" t="shared" si="182" ref="BC160:BC187">AW160+AX160</f>
        <v>0</v>
      </c>
      <c r="BD160" s="38">
        <f aca="true" t="shared" si="183" ref="BD160:BD187">H160/(100-BE160)*100</f>
        <v>0</v>
      </c>
      <c r="BE160" s="38">
        <v>0</v>
      </c>
      <c r="BF160" s="38">
        <f aca="true" t="shared" si="184" ref="BF160:BF187">K160</f>
        <v>0</v>
      </c>
      <c r="BH160" s="80">
        <f aca="true" t="shared" si="185" ref="BH160:BH187">G160*AO160</f>
        <v>0</v>
      </c>
      <c r="BI160" s="80">
        <f aca="true" t="shared" si="186" ref="BI160:BI187">G160*AP160</f>
        <v>0</v>
      </c>
      <c r="BJ160" s="80">
        <f aca="true" t="shared" si="187" ref="BJ160:BJ187">G160*H160</f>
        <v>0</v>
      </c>
      <c r="BK160" s="80"/>
      <c r="BL160" s="38"/>
      <c r="BW160" s="38">
        <v>21</v>
      </c>
    </row>
    <row r="161" spans="1:75" ht="13.5" customHeight="1">
      <c r="A161" s="78" t="s">
        <v>939</v>
      </c>
      <c r="B161" s="79" t="s">
        <v>93</v>
      </c>
      <c r="C161" s="79" t="s">
        <v>2915</v>
      </c>
      <c r="D161" s="198" t="s">
        <v>2835</v>
      </c>
      <c r="E161" s="199"/>
      <c r="F161" s="79" t="s">
        <v>2567</v>
      </c>
      <c r="G161" s="80">
        <f>'Stavební rozpočet'!G1482</f>
        <v>1</v>
      </c>
      <c r="H161" s="80">
        <f>'Stavební rozpočet'!H1482</f>
        <v>0</v>
      </c>
      <c r="I161" s="80">
        <f t="shared" si="164"/>
        <v>0</v>
      </c>
      <c r="J161" s="80">
        <f>'Stavební rozpočet'!J1482</f>
        <v>0</v>
      </c>
      <c r="K161" s="80">
        <f t="shared" si="165"/>
        <v>0</v>
      </c>
      <c r="L161" s="82" t="s">
        <v>207</v>
      </c>
      <c r="Z161" s="38">
        <f t="shared" si="166"/>
        <v>0</v>
      </c>
      <c r="AB161" s="38">
        <f t="shared" si="167"/>
        <v>0</v>
      </c>
      <c r="AC161" s="38">
        <f t="shared" si="168"/>
        <v>0</v>
      </c>
      <c r="AD161" s="38">
        <f t="shared" si="169"/>
        <v>0</v>
      </c>
      <c r="AE161" s="38">
        <f t="shared" si="170"/>
        <v>0</v>
      </c>
      <c r="AF161" s="38">
        <f t="shared" si="171"/>
        <v>0</v>
      </c>
      <c r="AG161" s="38">
        <f t="shared" si="172"/>
        <v>0</v>
      </c>
      <c r="AH161" s="38">
        <f t="shared" si="173"/>
        <v>0</v>
      </c>
      <c r="AI161" s="50" t="s">
        <v>93</v>
      </c>
      <c r="AJ161" s="80">
        <f t="shared" si="174"/>
        <v>0</v>
      </c>
      <c r="AK161" s="80">
        <f t="shared" si="175"/>
        <v>0</v>
      </c>
      <c r="AL161" s="80">
        <f t="shared" si="176"/>
        <v>0</v>
      </c>
      <c r="AN161" s="38">
        <v>21</v>
      </c>
      <c r="AO161" s="38">
        <f t="shared" si="177"/>
        <v>0</v>
      </c>
      <c r="AP161" s="38">
        <f t="shared" si="178"/>
        <v>0</v>
      </c>
      <c r="AQ161" s="83" t="s">
        <v>169</v>
      </c>
      <c r="AV161" s="38">
        <f t="shared" si="179"/>
        <v>0</v>
      </c>
      <c r="AW161" s="38">
        <f t="shared" si="180"/>
        <v>0</v>
      </c>
      <c r="AX161" s="38">
        <f t="shared" si="181"/>
        <v>0</v>
      </c>
      <c r="AY161" s="72" t="s">
        <v>2827</v>
      </c>
      <c r="AZ161" s="72" t="s">
        <v>2828</v>
      </c>
      <c r="BA161" s="50" t="s">
        <v>2563</v>
      </c>
      <c r="BC161" s="38">
        <f t="shared" si="182"/>
        <v>0</v>
      </c>
      <c r="BD161" s="38">
        <f t="shared" si="183"/>
        <v>0</v>
      </c>
      <c r="BE161" s="38">
        <v>0</v>
      </c>
      <c r="BF161" s="38">
        <f t="shared" si="184"/>
        <v>0</v>
      </c>
      <c r="BH161" s="80">
        <f t="shared" si="185"/>
        <v>0</v>
      </c>
      <c r="BI161" s="80">
        <f t="shared" si="186"/>
        <v>0</v>
      </c>
      <c r="BJ161" s="80">
        <f t="shared" si="187"/>
        <v>0</v>
      </c>
      <c r="BK161" s="80"/>
      <c r="BL161" s="38"/>
      <c r="BW161" s="38">
        <v>21</v>
      </c>
    </row>
    <row r="162" spans="1:75" ht="27" customHeight="1">
      <c r="A162" s="78" t="s">
        <v>943</v>
      </c>
      <c r="B162" s="79" t="s">
        <v>93</v>
      </c>
      <c r="C162" s="79" t="s">
        <v>2926</v>
      </c>
      <c r="D162" s="198" t="s">
        <v>2927</v>
      </c>
      <c r="E162" s="199"/>
      <c r="F162" s="79" t="s">
        <v>2567</v>
      </c>
      <c r="G162" s="80">
        <f>'Stavební rozpočet'!G1483</f>
        <v>1</v>
      </c>
      <c r="H162" s="80">
        <f>'Stavební rozpočet'!H1483</f>
        <v>0</v>
      </c>
      <c r="I162" s="80">
        <f t="shared" si="164"/>
        <v>0</v>
      </c>
      <c r="J162" s="80">
        <f>'Stavební rozpočet'!J1483</f>
        <v>0</v>
      </c>
      <c r="K162" s="80">
        <f t="shared" si="165"/>
        <v>0</v>
      </c>
      <c r="L162" s="82" t="s">
        <v>207</v>
      </c>
      <c r="Z162" s="38">
        <f t="shared" si="166"/>
        <v>0</v>
      </c>
      <c r="AB162" s="38">
        <f t="shared" si="167"/>
        <v>0</v>
      </c>
      <c r="AC162" s="38">
        <f t="shared" si="168"/>
        <v>0</v>
      </c>
      <c r="AD162" s="38">
        <f t="shared" si="169"/>
        <v>0</v>
      </c>
      <c r="AE162" s="38">
        <f t="shared" si="170"/>
        <v>0</v>
      </c>
      <c r="AF162" s="38">
        <f t="shared" si="171"/>
        <v>0</v>
      </c>
      <c r="AG162" s="38">
        <f t="shared" si="172"/>
        <v>0</v>
      </c>
      <c r="AH162" s="38">
        <f t="shared" si="173"/>
        <v>0</v>
      </c>
      <c r="AI162" s="50" t="s">
        <v>93</v>
      </c>
      <c r="AJ162" s="80">
        <f t="shared" si="174"/>
        <v>0</v>
      </c>
      <c r="AK162" s="80">
        <f t="shared" si="175"/>
        <v>0</v>
      </c>
      <c r="AL162" s="80">
        <f t="shared" si="176"/>
        <v>0</v>
      </c>
      <c r="AN162" s="38">
        <v>21</v>
      </c>
      <c r="AO162" s="38">
        <f t="shared" si="177"/>
        <v>0</v>
      </c>
      <c r="AP162" s="38">
        <f t="shared" si="178"/>
        <v>0</v>
      </c>
      <c r="AQ162" s="83" t="s">
        <v>169</v>
      </c>
      <c r="AV162" s="38">
        <f t="shared" si="179"/>
        <v>0</v>
      </c>
      <c r="AW162" s="38">
        <f t="shared" si="180"/>
        <v>0</v>
      </c>
      <c r="AX162" s="38">
        <f t="shared" si="181"/>
        <v>0</v>
      </c>
      <c r="AY162" s="72" t="s">
        <v>2827</v>
      </c>
      <c r="AZ162" s="72" t="s">
        <v>2828</v>
      </c>
      <c r="BA162" s="50" t="s">
        <v>2563</v>
      </c>
      <c r="BC162" s="38">
        <f t="shared" si="182"/>
        <v>0</v>
      </c>
      <c r="BD162" s="38">
        <f t="shared" si="183"/>
        <v>0</v>
      </c>
      <c r="BE162" s="38">
        <v>0</v>
      </c>
      <c r="BF162" s="38">
        <f t="shared" si="184"/>
        <v>0</v>
      </c>
      <c r="BH162" s="80">
        <f t="shared" si="185"/>
        <v>0</v>
      </c>
      <c r="BI162" s="80">
        <f t="shared" si="186"/>
        <v>0</v>
      </c>
      <c r="BJ162" s="80">
        <f t="shared" si="187"/>
        <v>0</v>
      </c>
      <c r="BK162" s="80"/>
      <c r="BL162" s="38"/>
      <c r="BW162" s="38">
        <v>21</v>
      </c>
    </row>
    <row r="163" spans="1:75" ht="27" customHeight="1">
      <c r="A163" s="78" t="s">
        <v>946</v>
      </c>
      <c r="B163" s="79" t="s">
        <v>93</v>
      </c>
      <c r="C163" s="79" t="s">
        <v>2929</v>
      </c>
      <c r="D163" s="198" t="s">
        <v>2930</v>
      </c>
      <c r="E163" s="199"/>
      <c r="F163" s="79" t="s">
        <v>2567</v>
      </c>
      <c r="G163" s="80">
        <f>'Stavební rozpočet'!G1484</f>
        <v>1</v>
      </c>
      <c r="H163" s="80">
        <f>'Stavební rozpočet'!H1484</f>
        <v>0</v>
      </c>
      <c r="I163" s="80">
        <f t="shared" si="164"/>
        <v>0</v>
      </c>
      <c r="J163" s="80">
        <f>'Stavební rozpočet'!J1484</f>
        <v>0</v>
      </c>
      <c r="K163" s="80">
        <f t="shared" si="165"/>
        <v>0</v>
      </c>
      <c r="L163" s="82" t="s">
        <v>207</v>
      </c>
      <c r="Z163" s="38">
        <f t="shared" si="166"/>
        <v>0</v>
      </c>
      <c r="AB163" s="38">
        <f t="shared" si="167"/>
        <v>0</v>
      </c>
      <c r="AC163" s="38">
        <f t="shared" si="168"/>
        <v>0</v>
      </c>
      <c r="AD163" s="38">
        <f t="shared" si="169"/>
        <v>0</v>
      </c>
      <c r="AE163" s="38">
        <f t="shared" si="170"/>
        <v>0</v>
      </c>
      <c r="AF163" s="38">
        <f t="shared" si="171"/>
        <v>0</v>
      </c>
      <c r="AG163" s="38">
        <f t="shared" si="172"/>
        <v>0</v>
      </c>
      <c r="AH163" s="38">
        <f t="shared" si="173"/>
        <v>0</v>
      </c>
      <c r="AI163" s="50" t="s">
        <v>93</v>
      </c>
      <c r="AJ163" s="80">
        <f t="shared" si="174"/>
        <v>0</v>
      </c>
      <c r="AK163" s="80">
        <f t="shared" si="175"/>
        <v>0</v>
      </c>
      <c r="AL163" s="80">
        <f t="shared" si="176"/>
        <v>0</v>
      </c>
      <c r="AN163" s="38">
        <v>21</v>
      </c>
      <c r="AO163" s="38">
        <f t="shared" si="177"/>
        <v>0</v>
      </c>
      <c r="AP163" s="38">
        <f t="shared" si="178"/>
        <v>0</v>
      </c>
      <c r="AQ163" s="83" t="s">
        <v>169</v>
      </c>
      <c r="AV163" s="38">
        <f t="shared" si="179"/>
        <v>0</v>
      </c>
      <c r="AW163" s="38">
        <f t="shared" si="180"/>
        <v>0</v>
      </c>
      <c r="AX163" s="38">
        <f t="shared" si="181"/>
        <v>0</v>
      </c>
      <c r="AY163" s="72" t="s">
        <v>2827</v>
      </c>
      <c r="AZ163" s="72" t="s">
        <v>2828</v>
      </c>
      <c r="BA163" s="50" t="s">
        <v>2563</v>
      </c>
      <c r="BC163" s="38">
        <f t="shared" si="182"/>
        <v>0</v>
      </c>
      <c r="BD163" s="38">
        <f t="shared" si="183"/>
        <v>0</v>
      </c>
      <c r="BE163" s="38">
        <v>0</v>
      </c>
      <c r="BF163" s="38">
        <f t="shared" si="184"/>
        <v>0</v>
      </c>
      <c r="BH163" s="80">
        <f t="shared" si="185"/>
        <v>0</v>
      </c>
      <c r="BI163" s="80">
        <f t="shared" si="186"/>
        <v>0</v>
      </c>
      <c r="BJ163" s="80">
        <f t="shared" si="187"/>
        <v>0</v>
      </c>
      <c r="BK163" s="80"/>
      <c r="BL163" s="38"/>
      <c r="BW163" s="38">
        <v>21</v>
      </c>
    </row>
    <row r="164" spans="1:75" ht="27" customHeight="1">
      <c r="A164" s="78" t="s">
        <v>948</v>
      </c>
      <c r="B164" s="79" t="s">
        <v>93</v>
      </c>
      <c r="C164" s="79" t="s">
        <v>2877</v>
      </c>
      <c r="D164" s="198" t="s">
        <v>2878</v>
      </c>
      <c r="E164" s="199"/>
      <c r="F164" s="79" t="s">
        <v>2567</v>
      </c>
      <c r="G164" s="80">
        <f>'Stavební rozpočet'!G1485</f>
        <v>1</v>
      </c>
      <c r="H164" s="80">
        <f>'Stavební rozpočet'!H1485</f>
        <v>0</v>
      </c>
      <c r="I164" s="80">
        <f t="shared" si="164"/>
        <v>0</v>
      </c>
      <c r="J164" s="80">
        <f>'Stavební rozpočet'!J1485</f>
        <v>0</v>
      </c>
      <c r="K164" s="80">
        <f t="shared" si="165"/>
        <v>0</v>
      </c>
      <c r="L164" s="82" t="s">
        <v>207</v>
      </c>
      <c r="Z164" s="38">
        <f t="shared" si="166"/>
        <v>0</v>
      </c>
      <c r="AB164" s="38">
        <f t="shared" si="167"/>
        <v>0</v>
      </c>
      <c r="AC164" s="38">
        <f t="shared" si="168"/>
        <v>0</v>
      </c>
      <c r="AD164" s="38">
        <f t="shared" si="169"/>
        <v>0</v>
      </c>
      <c r="AE164" s="38">
        <f t="shared" si="170"/>
        <v>0</v>
      </c>
      <c r="AF164" s="38">
        <f t="shared" si="171"/>
        <v>0</v>
      </c>
      <c r="AG164" s="38">
        <f t="shared" si="172"/>
        <v>0</v>
      </c>
      <c r="AH164" s="38">
        <f t="shared" si="173"/>
        <v>0</v>
      </c>
      <c r="AI164" s="50" t="s">
        <v>93</v>
      </c>
      <c r="AJ164" s="80">
        <f t="shared" si="174"/>
        <v>0</v>
      </c>
      <c r="AK164" s="80">
        <f t="shared" si="175"/>
        <v>0</v>
      </c>
      <c r="AL164" s="80">
        <f t="shared" si="176"/>
        <v>0</v>
      </c>
      <c r="AN164" s="38">
        <v>21</v>
      </c>
      <c r="AO164" s="38">
        <f t="shared" si="177"/>
        <v>0</v>
      </c>
      <c r="AP164" s="38">
        <f t="shared" si="178"/>
        <v>0</v>
      </c>
      <c r="AQ164" s="83" t="s">
        <v>169</v>
      </c>
      <c r="AV164" s="38">
        <f t="shared" si="179"/>
        <v>0</v>
      </c>
      <c r="AW164" s="38">
        <f t="shared" si="180"/>
        <v>0</v>
      </c>
      <c r="AX164" s="38">
        <f t="shared" si="181"/>
        <v>0</v>
      </c>
      <c r="AY164" s="72" t="s">
        <v>2827</v>
      </c>
      <c r="AZ164" s="72" t="s">
        <v>2828</v>
      </c>
      <c r="BA164" s="50" t="s">
        <v>2563</v>
      </c>
      <c r="BC164" s="38">
        <f t="shared" si="182"/>
        <v>0</v>
      </c>
      <c r="BD164" s="38">
        <f t="shared" si="183"/>
        <v>0</v>
      </c>
      <c r="BE164" s="38">
        <v>0</v>
      </c>
      <c r="BF164" s="38">
        <f t="shared" si="184"/>
        <v>0</v>
      </c>
      <c r="BH164" s="80">
        <f t="shared" si="185"/>
        <v>0</v>
      </c>
      <c r="BI164" s="80">
        <f t="shared" si="186"/>
        <v>0</v>
      </c>
      <c r="BJ164" s="80">
        <f t="shared" si="187"/>
        <v>0</v>
      </c>
      <c r="BK164" s="80"/>
      <c r="BL164" s="38"/>
      <c r="BW164" s="38">
        <v>21</v>
      </c>
    </row>
    <row r="165" spans="1:75" ht="13.5" customHeight="1">
      <c r="A165" s="78" t="s">
        <v>955</v>
      </c>
      <c r="B165" s="79" t="s">
        <v>93</v>
      </c>
      <c r="C165" s="79" t="s">
        <v>2880</v>
      </c>
      <c r="D165" s="198" t="s">
        <v>2881</v>
      </c>
      <c r="E165" s="199"/>
      <c r="F165" s="79" t="s">
        <v>2567</v>
      </c>
      <c r="G165" s="80">
        <f>'Stavební rozpočet'!G1486</f>
        <v>3</v>
      </c>
      <c r="H165" s="80">
        <f>'Stavební rozpočet'!H1486</f>
        <v>0</v>
      </c>
      <c r="I165" s="80">
        <f t="shared" si="164"/>
        <v>0</v>
      </c>
      <c r="J165" s="80">
        <f>'Stavební rozpočet'!J1486</f>
        <v>0</v>
      </c>
      <c r="K165" s="80">
        <f t="shared" si="165"/>
        <v>0</v>
      </c>
      <c r="L165" s="82" t="s">
        <v>207</v>
      </c>
      <c r="Z165" s="38">
        <f t="shared" si="166"/>
        <v>0</v>
      </c>
      <c r="AB165" s="38">
        <f t="shared" si="167"/>
        <v>0</v>
      </c>
      <c r="AC165" s="38">
        <f t="shared" si="168"/>
        <v>0</v>
      </c>
      <c r="AD165" s="38">
        <f t="shared" si="169"/>
        <v>0</v>
      </c>
      <c r="AE165" s="38">
        <f t="shared" si="170"/>
        <v>0</v>
      </c>
      <c r="AF165" s="38">
        <f t="shared" si="171"/>
        <v>0</v>
      </c>
      <c r="AG165" s="38">
        <f t="shared" si="172"/>
        <v>0</v>
      </c>
      <c r="AH165" s="38">
        <f t="shared" si="173"/>
        <v>0</v>
      </c>
      <c r="AI165" s="50" t="s">
        <v>93</v>
      </c>
      <c r="AJ165" s="80">
        <f t="shared" si="174"/>
        <v>0</v>
      </c>
      <c r="AK165" s="80">
        <f t="shared" si="175"/>
        <v>0</v>
      </c>
      <c r="AL165" s="80">
        <f t="shared" si="176"/>
        <v>0</v>
      </c>
      <c r="AN165" s="38">
        <v>21</v>
      </c>
      <c r="AO165" s="38">
        <f t="shared" si="177"/>
        <v>0</v>
      </c>
      <c r="AP165" s="38">
        <f t="shared" si="178"/>
        <v>0</v>
      </c>
      <c r="AQ165" s="83" t="s">
        <v>169</v>
      </c>
      <c r="AV165" s="38">
        <f t="shared" si="179"/>
        <v>0</v>
      </c>
      <c r="AW165" s="38">
        <f t="shared" si="180"/>
        <v>0</v>
      </c>
      <c r="AX165" s="38">
        <f t="shared" si="181"/>
        <v>0</v>
      </c>
      <c r="AY165" s="72" t="s">
        <v>2827</v>
      </c>
      <c r="AZ165" s="72" t="s">
        <v>2828</v>
      </c>
      <c r="BA165" s="50" t="s">
        <v>2563</v>
      </c>
      <c r="BC165" s="38">
        <f t="shared" si="182"/>
        <v>0</v>
      </c>
      <c r="BD165" s="38">
        <f t="shared" si="183"/>
        <v>0</v>
      </c>
      <c r="BE165" s="38">
        <v>0</v>
      </c>
      <c r="BF165" s="38">
        <f t="shared" si="184"/>
        <v>0</v>
      </c>
      <c r="BH165" s="80">
        <f t="shared" si="185"/>
        <v>0</v>
      </c>
      <c r="BI165" s="80">
        <f t="shared" si="186"/>
        <v>0</v>
      </c>
      <c r="BJ165" s="80">
        <f t="shared" si="187"/>
        <v>0</v>
      </c>
      <c r="BK165" s="80"/>
      <c r="BL165" s="38"/>
      <c r="BW165" s="38">
        <v>21</v>
      </c>
    </row>
    <row r="166" spans="1:75" ht="27" customHeight="1">
      <c r="A166" s="78" t="s">
        <v>960</v>
      </c>
      <c r="B166" s="79" t="s">
        <v>93</v>
      </c>
      <c r="C166" s="79" t="s">
        <v>2934</v>
      </c>
      <c r="D166" s="198" t="s">
        <v>2935</v>
      </c>
      <c r="E166" s="199"/>
      <c r="F166" s="79" t="s">
        <v>2567</v>
      </c>
      <c r="G166" s="80">
        <f>'Stavební rozpočet'!G1487</f>
        <v>1</v>
      </c>
      <c r="H166" s="80">
        <f>'Stavební rozpočet'!H1487</f>
        <v>0</v>
      </c>
      <c r="I166" s="80">
        <f t="shared" si="164"/>
        <v>0</v>
      </c>
      <c r="J166" s="80">
        <f>'Stavební rozpočet'!J1487</f>
        <v>0</v>
      </c>
      <c r="K166" s="80">
        <f t="shared" si="165"/>
        <v>0</v>
      </c>
      <c r="L166" s="82" t="s">
        <v>207</v>
      </c>
      <c r="Z166" s="38">
        <f t="shared" si="166"/>
        <v>0</v>
      </c>
      <c r="AB166" s="38">
        <f t="shared" si="167"/>
        <v>0</v>
      </c>
      <c r="AC166" s="38">
        <f t="shared" si="168"/>
        <v>0</v>
      </c>
      <c r="AD166" s="38">
        <f t="shared" si="169"/>
        <v>0</v>
      </c>
      <c r="AE166" s="38">
        <f t="shared" si="170"/>
        <v>0</v>
      </c>
      <c r="AF166" s="38">
        <f t="shared" si="171"/>
        <v>0</v>
      </c>
      <c r="AG166" s="38">
        <f t="shared" si="172"/>
        <v>0</v>
      </c>
      <c r="AH166" s="38">
        <f t="shared" si="173"/>
        <v>0</v>
      </c>
      <c r="AI166" s="50" t="s">
        <v>93</v>
      </c>
      <c r="AJ166" s="80">
        <f t="shared" si="174"/>
        <v>0</v>
      </c>
      <c r="AK166" s="80">
        <f t="shared" si="175"/>
        <v>0</v>
      </c>
      <c r="AL166" s="80">
        <f t="shared" si="176"/>
        <v>0</v>
      </c>
      <c r="AN166" s="38">
        <v>21</v>
      </c>
      <c r="AO166" s="38">
        <f t="shared" si="177"/>
        <v>0</v>
      </c>
      <c r="AP166" s="38">
        <f t="shared" si="178"/>
        <v>0</v>
      </c>
      <c r="AQ166" s="83" t="s">
        <v>169</v>
      </c>
      <c r="AV166" s="38">
        <f t="shared" si="179"/>
        <v>0</v>
      </c>
      <c r="AW166" s="38">
        <f t="shared" si="180"/>
        <v>0</v>
      </c>
      <c r="AX166" s="38">
        <f t="shared" si="181"/>
        <v>0</v>
      </c>
      <c r="AY166" s="72" t="s">
        <v>2827</v>
      </c>
      <c r="AZ166" s="72" t="s">
        <v>2828</v>
      </c>
      <c r="BA166" s="50" t="s">
        <v>2563</v>
      </c>
      <c r="BC166" s="38">
        <f t="shared" si="182"/>
        <v>0</v>
      </c>
      <c r="BD166" s="38">
        <f t="shared" si="183"/>
        <v>0</v>
      </c>
      <c r="BE166" s="38">
        <v>0</v>
      </c>
      <c r="BF166" s="38">
        <f t="shared" si="184"/>
        <v>0</v>
      </c>
      <c r="BH166" s="80">
        <f t="shared" si="185"/>
        <v>0</v>
      </c>
      <c r="BI166" s="80">
        <f t="shared" si="186"/>
        <v>0</v>
      </c>
      <c r="BJ166" s="80">
        <f t="shared" si="187"/>
        <v>0</v>
      </c>
      <c r="BK166" s="80"/>
      <c r="BL166" s="38"/>
      <c r="BW166" s="38">
        <v>21</v>
      </c>
    </row>
    <row r="167" spans="1:75" ht="27" customHeight="1">
      <c r="A167" s="78" t="s">
        <v>966</v>
      </c>
      <c r="B167" s="79" t="s">
        <v>93</v>
      </c>
      <c r="C167" s="79" t="s">
        <v>2937</v>
      </c>
      <c r="D167" s="198" t="s">
        <v>2938</v>
      </c>
      <c r="E167" s="199"/>
      <c r="F167" s="79" t="s">
        <v>2567</v>
      </c>
      <c r="G167" s="80">
        <f>'Stavební rozpočet'!G1488</f>
        <v>1</v>
      </c>
      <c r="H167" s="80">
        <f>'Stavební rozpočet'!H1488</f>
        <v>0</v>
      </c>
      <c r="I167" s="80">
        <f t="shared" si="164"/>
        <v>0</v>
      </c>
      <c r="J167" s="80">
        <f>'Stavební rozpočet'!J1488</f>
        <v>0</v>
      </c>
      <c r="K167" s="80">
        <f t="shared" si="165"/>
        <v>0</v>
      </c>
      <c r="L167" s="82" t="s">
        <v>207</v>
      </c>
      <c r="Z167" s="38">
        <f t="shared" si="166"/>
        <v>0</v>
      </c>
      <c r="AB167" s="38">
        <f t="shared" si="167"/>
        <v>0</v>
      </c>
      <c r="AC167" s="38">
        <f t="shared" si="168"/>
        <v>0</v>
      </c>
      <c r="AD167" s="38">
        <f t="shared" si="169"/>
        <v>0</v>
      </c>
      <c r="AE167" s="38">
        <f t="shared" si="170"/>
        <v>0</v>
      </c>
      <c r="AF167" s="38">
        <f t="shared" si="171"/>
        <v>0</v>
      </c>
      <c r="AG167" s="38">
        <f t="shared" si="172"/>
        <v>0</v>
      </c>
      <c r="AH167" s="38">
        <f t="shared" si="173"/>
        <v>0</v>
      </c>
      <c r="AI167" s="50" t="s">
        <v>93</v>
      </c>
      <c r="AJ167" s="80">
        <f t="shared" si="174"/>
        <v>0</v>
      </c>
      <c r="AK167" s="80">
        <f t="shared" si="175"/>
        <v>0</v>
      </c>
      <c r="AL167" s="80">
        <f t="shared" si="176"/>
        <v>0</v>
      </c>
      <c r="AN167" s="38">
        <v>21</v>
      </c>
      <c r="AO167" s="38">
        <f t="shared" si="177"/>
        <v>0</v>
      </c>
      <c r="AP167" s="38">
        <f t="shared" si="178"/>
        <v>0</v>
      </c>
      <c r="AQ167" s="83" t="s">
        <v>169</v>
      </c>
      <c r="AV167" s="38">
        <f t="shared" si="179"/>
        <v>0</v>
      </c>
      <c r="AW167" s="38">
        <f t="shared" si="180"/>
        <v>0</v>
      </c>
      <c r="AX167" s="38">
        <f t="shared" si="181"/>
        <v>0</v>
      </c>
      <c r="AY167" s="72" t="s">
        <v>2827</v>
      </c>
      <c r="AZ167" s="72" t="s">
        <v>2828</v>
      </c>
      <c r="BA167" s="50" t="s">
        <v>2563</v>
      </c>
      <c r="BC167" s="38">
        <f t="shared" si="182"/>
        <v>0</v>
      </c>
      <c r="BD167" s="38">
        <f t="shared" si="183"/>
        <v>0</v>
      </c>
      <c r="BE167" s="38">
        <v>0</v>
      </c>
      <c r="BF167" s="38">
        <f t="shared" si="184"/>
        <v>0</v>
      </c>
      <c r="BH167" s="80">
        <f t="shared" si="185"/>
        <v>0</v>
      </c>
      <c r="BI167" s="80">
        <f t="shared" si="186"/>
        <v>0</v>
      </c>
      <c r="BJ167" s="80">
        <f t="shared" si="187"/>
        <v>0</v>
      </c>
      <c r="BK167" s="80"/>
      <c r="BL167" s="38"/>
      <c r="BW167" s="38">
        <v>21</v>
      </c>
    </row>
    <row r="168" spans="1:75" ht="13.5" customHeight="1">
      <c r="A168" s="78" t="s">
        <v>968</v>
      </c>
      <c r="B168" s="79" t="s">
        <v>93</v>
      </c>
      <c r="C168" s="79" t="s">
        <v>2940</v>
      </c>
      <c r="D168" s="198" t="s">
        <v>2941</v>
      </c>
      <c r="E168" s="199"/>
      <c r="F168" s="79" t="s">
        <v>2567</v>
      </c>
      <c r="G168" s="80">
        <f>'Stavební rozpočet'!G1489</f>
        <v>1</v>
      </c>
      <c r="H168" s="80">
        <f>'Stavební rozpočet'!H1489</f>
        <v>0</v>
      </c>
      <c r="I168" s="80">
        <f t="shared" si="164"/>
        <v>0</v>
      </c>
      <c r="J168" s="80">
        <f>'Stavební rozpočet'!J1489</f>
        <v>0</v>
      </c>
      <c r="K168" s="80">
        <f t="shared" si="165"/>
        <v>0</v>
      </c>
      <c r="L168" s="82" t="s">
        <v>207</v>
      </c>
      <c r="Z168" s="38">
        <f t="shared" si="166"/>
        <v>0</v>
      </c>
      <c r="AB168" s="38">
        <f t="shared" si="167"/>
        <v>0</v>
      </c>
      <c r="AC168" s="38">
        <f t="shared" si="168"/>
        <v>0</v>
      </c>
      <c r="AD168" s="38">
        <f t="shared" si="169"/>
        <v>0</v>
      </c>
      <c r="AE168" s="38">
        <f t="shared" si="170"/>
        <v>0</v>
      </c>
      <c r="AF168" s="38">
        <f t="shared" si="171"/>
        <v>0</v>
      </c>
      <c r="AG168" s="38">
        <f t="shared" si="172"/>
        <v>0</v>
      </c>
      <c r="AH168" s="38">
        <f t="shared" si="173"/>
        <v>0</v>
      </c>
      <c r="AI168" s="50" t="s">
        <v>93</v>
      </c>
      <c r="AJ168" s="80">
        <f t="shared" si="174"/>
        <v>0</v>
      </c>
      <c r="AK168" s="80">
        <f t="shared" si="175"/>
        <v>0</v>
      </c>
      <c r="AL168" s="80">
        <f t="shared" si="176"/>
        <v>0</v>
      </c>
      <c r="AN168" s="38">
        <v>21</v>
      </c>
      <c r="AO168" s="38">
        <f t="shared" si="177"/>
        <v>0</v>
      </c>
      <c r="AP168" s="38">
        <f t="shared" si="178"/>
        <v>0</v>
      </c>
      <c r="AQ168" s="83" t="s">
        <v>169</v>
      </c>
      <c r="AV168" s="38">
        <f t="shared" si="179"/>
        <v>0</v>
      </c>
      <c r="AW168" s="38">
        <f t="shared" si="180"/>
        <v>0</v>
      </c>
      <c r="AX168" s="38">
        <f t="shared" si="181"/>
        <v>0</v>
      </c>
      <c r="AY168" s="72" t="s">
        <v>2827</v>
      </c>
      <c r="AZ168" s="72" t="s">
        <v>2828</v>
      </c>
      <c r="BA168" s="50" t="s">
        <v>2563</v>
      </c>
      <c r="BC168" s="38">
        <f t="shared" si="182"/>
        <v>0</v>
      </c>
      <c r="BD168" s="38">
        <f t="shared" si="183"/>
        <v>0</v>
      </c>
      <c r="BE168" s="38">
        <v>0</v>
      </c>
      <c r="BF168" s="38">
        <f t="shared" si="184"/>
        <v>0</v>
      </c>
      <c r="BH168" s="80">
        <f t="shared" si="185"/>
        <v>0</v>
      </c>
      <c r="BI168" s="80">
        <f t="shared" si="186"/>
        <v>0</v>
      </c>
      <c r="BJ168" s="80">
        <f t="shared" si="187"/>
        <v>0</v>
      </c>
      <c r="BK168" s="80"/>
      <c r="BL168" s="38"/>
      <c r="BW168" s="38">
        <v>21</v>
      </c>
    </row>
    <row r="169" spans="1:75" ht="27" customHeight="1">
      <c r="A169" s="78" t="s">
        <v>975</v>
      </c>
      <c r="B169" s="79" t="s">
        <v>93</v>
      </c>
      <c r="C169" s="79" t="s">
        <v>2943</v>
      </c>
      <c r="D169" s="198" t="s">
        <v>2944</v>
      </c>
      <c r="E169" s="199"/>
      <c r="F169" s="79" t="s">
        <v>2567</v>
      </c>
      <c r="G169" s="80">
        <f>'Stavební rozpočet'!G1490</f>
        <v>1</v>
      </c>
      <c r="H169" s="80">
        <f>'Stavební rozpočet'!H1490</f>
        <v>0</v>
      </c>
      <c r="I169" s="80">
        <f t="shared" si="164"/>
        <v>0</v>
      </c>
      <c r="J169" s="80">
        <f>'Stavební rozpočet'!J1490</f>
        <v>0</v>
      </c>
      <c r="K169" s="80">
        <f t="shared" si="165"/>
        <v>0</v>
      </c>
      <c r="L169" s="82" t="s">
        <v>207</v>
      </c>
      <c r="Z169" s="38">
        <f t="shared" si="166"/>
        <v>0</v>
      </c>
      <c r="AB169" s="38">
        <f t="shared" si="167"/>
        <v>0</v>
      </c>
      <c r="AC169" s="38">
        <f t="shared" si="168"/>
        <v>0</v>
      </c>
      <c r="AD169" s="38">
        <f t="shared" si="169"/>
        <v>0</v>
      </c>
      <c r="AE169" s="38">
        <f t="shared" si="170"/>
        <v>0</v>
      </c>
      <c r="AF169" s="38">
        <f t="shared" si="171"/>
        <v>0</v>
      </c>
      <c r="AG169" s="38">
        <f t="shared" si="172"/>
        <v>0</v>
      </c>
      <c r="AH169" s="38">
        <f t="shared" si="173"/>
        <v>0</v>
      </c>
      <c r="AI169" s="50" t="s">
        <v>93</v>
      </c>
      <c r="AJ169" s="80">
        <f t="shared" si="174"/>
        <v>0</v>
      </c>
      <c r="AK169" s="80">
        <f t="shared" si="175"/>
        <v>0</v>
      </c>
      <c r="AL169" s="80">
        <f t="shared" si="176"/>
        <v>0</v>
      </c>
      <c r="AN169" s="38">
        <v>21</v>
      </c>
      <c r="AO169" s="38">
        <f t="shared" si="177"/>
        <v>0</v>
      </c>
      <c r="AP169" s="38">
        <f t="shared" si="178"/>
        <v>0</v>
      </c>
      <c r="AQ169" s="83" t="s">
        <v>169</v>
      </c>
      <c r="AV169" s="38">
        <f t="shared" si="179"/>
        <v>0</v>
      </c>
      <c r="AW169" s="38">
        <f t="shared" si="180"/>
        <v>0</v>
      </c>
      <c r="AX169" s="38">
        <f t="shared" si="181"/>
        <v>0</v>
      </c>
      <c r="AY169" s="72" t="s">
        <v>2827</v>
      </c>
      <c r="AZ169" s="72" t="s">
        <v>2828</v>
      </c>
      <c r="BA169" s="50" t="s">
        <v>2563</v>
      </c>
      <c r="BC169" s="38">
        <f t="shared" si="182"/>
        <v>0</v>
      </c>
      <c r="BD169" s="38">
        <f t="shared" si="183"/>
        <v>0</v>
      </c>
      <c r="BE169" s="38">
        <v>0</v>
      </c>
      <c r="BF169" s="38">
        <f t="shared" si="184"/>
        <v>0</v>
      </c>
      <c r="BH169" s="80">
        <f t="shared" si="185"/>
        <v>0</v>
      </c>
      <c r="BI169" s="80">
        <f t="shared" si="186"/>
        <v>0</v>
      </c>
      <c r="BJ169" s="80">
        <f t="shared" si="187"/>
        <v>0</v>
      </c>
      <c r="BK169" s="80"/>
      <c r="BL169" s="38"/>
      <c r="BW169" s="38">
        <v>21</v>
      </c>
    </row>
    <row r="170" spans="1:75" ht="27" customHeight="1">
      <c r="A170" s="78" t="s">
        <v>980</v>
      </c>
      <c r="B170" s="79" t="s">
        <v>93</v>
      </c>
      <c r="C170" s="79" t="s">
        <v>2886</v>
      </c>
      <c r="D170" s="198" t="s">
        <v>2887</v>
      </c>
      <c r="E170" s="199"/>
      <c r="F170" s="79" t="s">
        <v>2567</v>
      </c>
      <c r="G170" s="80">
        <f>'Stavební rozpočet'!G1491</f>
        <v>2</v>
      </c>
      <c r="H170" s="80">
        <f>'Stavební rozpočet'!H1491</f>
        <v>0</v>
      </c>
      <c r="I170" s="80">
        <f t="shared" si="164"/>
        <v>0</v>
      </c>
      <c r="J170" s="80">
        <f>'Stavební rozpočet'!J1491</f>
        <v>0</v>
      </c>
      <c r="K170" s="80">
        <f t="shared" si="165"/>
        <v>0</v>
      </c>
      <c r="L170" s="82" t="s">
        <v>207</v>
      </c>
      <c r="Z170" s="38">
        <f t="shared" si="166"/>
        <v>0</v>
      </c>
      <c r="AB170" s="38">
        <f t="shared" si="167"/>
        <v>0</v>
      </c>
      <c r="AC170" s="38">
        <f t="shared" si="168"/>
        <v>0</v>
      </c>
      <c r="AD170" s="38">
        <f t="shared" si="169"/>
        <v>0</v>
      </c>
      <c r="AE170" s="38">
        <f t="shared" si="170"/>
        <v>0</v>
      </c>
      <c r="AF170" s="38">
        <f t="shared" si="171"/>
        <v>0</v>
      </c>
      <c r="AG170" s="38">
        <f t="shared" si="172"/>
        <v>0</v>
      </c>
      <c r="AH170" s="38">
        <f t="shared" si="173"/>
        <v>0</v>
      </c>
      <c r="AI170" s="50" t="s">
        <v>93</v>
      </c>
      <c r="AJ170" s="80">
        <f t="shared" si="174"/>
        <v>0</v>
      </c>
      <c r="AK170" s="80">
        <f t="shared" si="175"/>
        <v>0</v>
      </c>
      <c r="AL170" s="80">
        <f t="shared" si="176"/>
        <v>0</v>
      </c>
      <c r="AN170" s="38">
        <v>21</v>
      </c>
      <c r="AO170" s="38">
        <f t="shared" si="177"/>
        <v>0</v>
      </c>
      <c r="AP170" s="38">
        <f t="shared" si="178"/>
        <v>0</v>
      </c>
      <c r="AQ170" s="83" t="s">
        <v>169</v>
      </c>
      <c r="AV170" s="38">
        <f t="shared" si="179"/>
        <v>0</v>
      </c>
      <c r="AW170" s="38">
        <f t="shared" si="180"/>
        <v>0</v>
      </c>
      <c r="AX170" s="38">
        <f t="shared" si="181"/>
        <v>0</v>
      </c>
      <c r="AY170" s="72" t="s">
        <v>2827</v>
      </c>
      <c r="AZ170" s="72" t="s">
        <v>2828</v>
      </c>
      <c r="BA170" s="50" t="s">
        <v>2563</v>
      </c>
      <c r="BC170" s="38">
        <f t="shared" si="182"/>
        <v>0</v>
      </c>
      <c r="BD170" s="38">
        <f t="shared" si="183"/>
        <v>0</v>
      </c>
      <c r="BE170" s="38">
        <v>0</v>
      </c>
      <c r="BF170" s="38">
        <f t="shared" si="184"/>
        <v>0</v>
      </c>
      <c r="BH170" s="80">
        <f t="shared" si="185"/>
        <v>0</v>
      </c>
      <c r="BI170" s="80">
        <f t="shared" si="186"/>
        <v>0</v>
      </c>
      <c r="BJ170" s="80">
        <f t="shared" si="187"/>
        <v>0</v>
      </c>
      <c r="BK170" s="80"/>
      <c r="BL170" s="38"/>
      <c r="BW170" s="38">
        <v>21</v>
      </c>
    </row>
    <row r="171" spans="1:75" ht="27" customHeight="1">
      <c r="A171" s="78" t="s">
        <v>986</v>
      </c>
      <c r="B171" s="79" t="s">
        <v>93</v>
      </c>
      <c r="C171" s="79" t="s">
        <v>2889</v>
      </c>
      <c r="D171" s="198" t="s">
        <v>2890</v>
      </c>
      <c r="E171" s="199"/>
      <c r="F171" s="79" t="s">
        <v>2567</v>
      </c>
      <c r="G171" s="80">
        <f>'Stavební rozpočet'!G1492</f>
        <v>9</v>
      </c>
      <c r="H171" s="80">
        <f>'Stavební rozpočet'!H1492</f>
        <v>0</v>
      </c>
      <c r="I171" s="80">
        <f t="shared" si="164"/>
        <v>0</v>
      </c>
      <c r="J171" s="80">
        <f>'Stavební rozpočet'!J1492</f>
        <v>0</v>
      </c>
      <c r="K171" s="80">
        <f t="shared" si="165"/>
        <v>0</v>
      </c>
      <c r="L171" s="82" t="s">
        <v>207</v>
      </c>
      <c r="Z171" s="38">
        <f t="shared" si="166"/>
        <v>0</v>
      </c>
      <c r="AB171" s="38">
        <f t="shared" si="167"/>
        <v>0</v>
      </c>
      <c r="AC171" s="38">
        <f t="shared" si="168"/>
        <v>0</v>
      </c>
      <c r="AD171" s="38">
        <f t="shared" si="169"/>
        <v>0</v>
      </c>
      <c r="AE171" s="38">
        <f t="shared" si="170"/>
        <v>0</v>
      </c>
      <c r="AF171" s="38">
        <f t="shared" si="171"/>
        <v>0</v>
      </c>
      <c r="AG171" s="38">
        <f t="shared" si="172"/>
        <v>0</v>
      </c>
      <c r="AH171" s="38">
        <f t="shared" si="173"/>
        <v>0</v>
      </c>
      <c r="AI171" s="50" t="s">
        <v>93</v>
      </c>
      <c r="AJ171" s="80">
        <f t="shared" si="174"/>
        <v>0</v>
      </c>
      <c r="AK171" s="80">
        <f t="shared" si="175"/>
        <v>0</v>
      </c>
      <c r="AL171" s="80">
        <f t="shared" si="176"/>
        <v>0</v>
      </c>
      <c r="AN171" s="38">
        <v>21</v>
      </c>
      <c r="AO171" s="38">
        <f t="shared" si="177"/>
        <v>0</v>
      </c>
      <c r="AP171" s="38">
        <f t="shared" si="178"/>
        <v>0</v>
      </c>
      <c r="AQ171" s="83" t="s">
        <v>169</v>
      </c>
      <c r="AV171" s="38">
        <f t="shared" si="179"/>
        <v>0</v>
      </c>
      <c r="AW171" s="38">
        <f t="shared" si="180"/>
        <v>0</v>
      </c>
      <c r="AX171" s="38">
        <f t="shared" si="181"/>
        <v>0</v>
      </c>
      <c r="AY171" s="72" t="s">
        <v>2827</v>
      </c>
      <c r="AZ171" s="72" t="s">
        <v>2828</v>
      </c>
      <c r="BA171" s="50" t="s">
        <v>2563</v>
      </c>
      <c r="BC171" s="38">
        <f t="shared" si="182"/>
        <v>0</v>
      </c>
      <c r="BD171" s="38">
        <f t="shared" si="183"/>
        <v>0</v>
      </c>
      <c r="BE171" s="38">
        <v>0</v>
      </c>
      <c r="BF171" s="38">
        <f t="shared" si="184"/>
        <v>0</v>
      </c>
      <c r="BH171" s="80">
        <f t="shared" si="185"/>
        <v>0</v>
      </c>
      <c r="BI171" s="80">
        <f t="shared" si="186"/>
        <v>0</v>
      </c>
      <c r="BJ171" s="80">
        <f t="shared" si="187"/>
        <v>0</v>
      </c>
      <c r="BK171" s="80"/>
      <c r="BL171" s="38"/>
      <c r="BW171" s="38">
        <v>21</v>
      </c>
    </row>
    <row r="172" spans="1:75" ht="27" customHeight="1">
      <c r="A172" s="78" t="s">
        <v>995</v>
      </c>
      <c r="B172" s="79" t="s">
        <v>93</v>
      </c>
      <c r="C172" s="79" t="s">
        <v>2892</v>
      </c>
      <c r="D172" s="198" t="s">
        <v>2893</v>
      </c>
      <c r="E172" s="199"/>
      <c r="F172" s="79" t="s">
        <v>2567</v>
      </c>
      <c r="G172" s="80">
        <f>'Stavební rozpočet'!G1493</f>
        <v>16</v>
      </c>
      <c r="H172" s="80">
        <f>'Stavební rozpočet'!H1493</f>
        <v>0</v>
      </c>
      <c r="I172" s="80">
        <f t="shared" si="164"/>
        <v>0</v>
      </c>
      <c r="J172" s="80">
        <f>'Stavební rozpočet'!J1493</f>
        <v>0</v>
      </c>
      <c r="K172" s="80">
        <f t="shared" si="165"/>
        <v>0</v>
      </c>
      <c r="L172" s="82" t="s">
        <v>207</v>
      </c>
      <c r="Z172" s="38">
        <f t="shared" si="166"/>
        <v>0</v>
      </c>
      <c r="AB172" s="38">
        <f t="shared" si="167"/>
        <v>0</v>
      </c>
      <c r="AC172" s="38">
        <f t="shared" si="168"/>
        <v>0</v>
      </c>
      <c r="AD172" s="38">
        <f t="shared" si="169"/>
        <v>0</v>
      </c>
      <c r="AE172" s="38">
        <f t="shared" si="170"/>
        <v>0</v>
      </c>
      <c r="AF172" s="38">
        <f t="shared" si="171"/>
        <v>0</v>
      </c>
      <c r="AG172" s="38">
        <f t="shared" si="172"/>
        <v>0</v>
      </c>
      <c r="AH172" s="38">
        <f t="shared" si="173"/>
        <v>0</v>
      </c>
      <c r="AI172" s="50" t="s">
        <v>93</v>
      </c>
      <c r="AJ172" s="80">
        <f t="shared" si="174"/>
        <v>0</v>
      </c>
      <c r="AK172" s="80">
        <f t="shared" si="175"/>
        <v>0</v>
      </c>
      <c r="AL172" s="80">
        <f t="shared" si="176"/>
        <v>0</v>
      </c>
      <c r="AN172" s="38">
        <v>21</v>
      </c>
      <c r="AO172" s="38">
        <f t="shared" si="177"/>
        <v>0</v>
      </c>
      <c r="AP172" s="38">
        <f t="shared" si="178"/>
        <v>0</v>
      </c>
      <c r="AQ172" s="83" t="s">
        <v>169</v>
      </c>
      <c r="AV172" s="38">
        <f t="shared" si="179"/>
        <v>0</v>
      </c>
      <c r="AW172" s="38">
        <f t="shared" si="180"/>
        <v>0</v>
      </c>
      <c r="AX172" s="38">
        <f t="shared" si="181"/>
        <v>0</v>
      </c>
      <c r="AY172" s="72" t="s">
        <v>2827</v>
      </c>
      <c r="AZ172" s="72" t="s">
        <v>2828</v>
      </c>
      <c r="BA172" s="50" t="s">
        <v>2563</v>
      </c>
      <c r="BC172" s="38">
        <f t="shared" si="182"/>
        <v>0</v>
      </c>
      <c r="BD172" s="38">
        <f t="shared" si="183"/>
        <v>0</v>
      </c>
      <c r="BE172" s="38">
        <v>0</v>
      </c>
      <c r="BF172" s="38">
        <f t="shared" si="184"/>
        <v>0</v>
      </c>
      <c r="BH172" s="80">
        <f t="shared" si="185"/>
        <v>0</v>
      </c>
      <c r="BI172" s="80">
        <f t="shared" si="186"/>
        <v>0</v>
      </c>
      <c r="BJ172" s="80">
        <f t="shared" si="187"/>
        <v>0</v>
      </c>
      <c r="BK172" s="80"/>
      <c r="BL172" s="38"/>
      <c r="BW172" s="38">
        <v>21</v>
      </c>
    </row>
    <row r="173" spans="1:75" ht="27" customHeight="1">
      <c r="A173" s="78" t="s">
        <v>1000</v>
      </c>
      <c r="B173" s="79" t="s">
        <v>93</v>
      </c>
      <c r="C173" s="79" t="s">
        <v>2949</v>
      </c>
      <c r="D173" s="198" t="s">
        <v>2950</v>
      </c>
      <c r="E173" s="199"/>
      <c r="F173" s="79" t="s">
        <v>2567</v>
      </c>
      <c r="G173" s="80">
        <f>'Stavební rozpočet'!G1494</f>
        <v>2</v>
      </c>
      <c r="H173" s="80">
        <f>'Stavební rozpočet'!H1494</f>
        <v>0</v>
      </c>
      <c r="I173" s="80">
        <f t="shared" si="164"/>
        <v>0</v>
      </c>
      <c r="J173" s="80">
        <f>'Stavební rozpočet'!J1494</f>
        <v>0</v>
      </c>
      <c r="K173" s="80">
        <f t="shared" si="165"/>
        <v>0</v>
      </c>
      <c r="L173" s="82" t="s">
        <v>207</v>
      </c>
      <c r="Z173" s="38">
        <f t="shared" si="166"/>
        <v>0</v>
      </c>
      <c r="AB173" s="38">
        <f t="shared" si="167"/>
        <v>0</v>
      </c>
      <c r="AC173" s="38">
        <f t="shared" si="168"/>
        <v>0</v>
      </c>
      <c r="AD173" s="38">
        <f t="shared" si="169"/>
        <v>0</v>
      </c>
      <c r="AE173" s="38">
        <f t="shared" si="170"/>
        <v>0</v>
      </c>
      <c r="AF173" s="38">
        <f t="shared" si="171"/>
        <v>0</v>
      </c>
      <c r="AG173" s="38">
        <f t="shared" si="172"/>
        <v>0</v>
      </c>
      <c r="AH173" s="38">
        <f t="shared" si="173"/>
        <v>0</v>
      </c>
      <c r="AI173" s="50" t="s">
        <v>93</v>
      </c>
      <c r="AJ173" s="80">
        <f t="shared" si="174"/>
        <v>0</v>
      </c>
      <c r="AK173" s="80">
        <f t="shared" si="175"/>
        <v>0</v>
      </c>
      <c r="AL173" s="80">
        <f t="shared" si="176"/>
        <v>0</v>
      </c>
      <c r="AN173" s="38">
        <v>21</v>
      </c>
      <c r="AO173" s="38">
        <f t="shared" si="177"/>
        <v>0</v>
      </c>
      <c r="AP173" s="38">
        <f t="shared" si="178"/>
        <v>0</v>
      </c>
      <c r="AQ173" s="83" t="s">
        <v>169</v>
      </c>
      <c r="AV173" s="38">
        <f t="shared" si="179"/>
        <v>0</v>
      </c>
      <c r="AW173" s="38">
        <f t="shared" si="180"/>
        <v>0</v>
      </c>
      <c r="AX173" s="38">
        <f t="shared" si="181"/>
        <v>0</v>
      </c>
      <c r="AY173" s="72" t="s">
        <v>2827</v>
      </c>
      <c r="AZ173" s="72" t="s">
        <v>2828</v>
      </c>
      <c r="BA173" s="50" t="s">
        <v>2563</v>
      </c>
      <c r="BC173" s="38">
        <f t="shared" si="182"/>
        <v>0</v>
      </c>
      <c r="BD173" s="38">
        <f t="shared" si="183"/>
        <v>0</v>
      </c>
      <c r="BE173" s="38">
        <v>0</v>
      </c>
      <c r="BF173" s="38">
        <f t="shared" si="184"/>
        <v>0</v>
      </c>
      <c r="BH173" s="80">
        <f t="shared" si="185"/>
        <v>0</v>
      </c>
      <c r="BI173" s="80">
        <f t="shared" si="186"/>
        <v>0</v>
      </c>
      <c r="BJ173" s="80">
        <f t="shared" si="187"/>
        <v>0</v>
      </c>
      <c r="BK173" s="80"/>
      <c r="BL173" s="38"/>
      <c r="BW173" s="38">
        <v>21</v>
      </c>
    </row>
    <row r="174" spans="1:75" ht="13.5" customHeight="1">
      <c r="A174" s="78" t="s">
        <v>1004</v>
      </c>
      <c r="B174" s="79" t="s">
        <v>93</v>
      </c>
      <c r="C174" s="79" t="s">
        <v>2895</v>
      </c>
      <c r="D174" s="198" t="s">
        <v>2896</v>
      </c>
      <c r="E174" s="199"/>
      <c r="F174" s="79" t="s">
        <v>2567</v>
      </c>
      <c r="G174" s="80">
        <f>'Stavební rozpočet'!G1495</f>
        <v>1</v>
      </c>
      <c r="H174" s="80">
        <f>'Stavební rozpočet'!H1495</f>
        <v>0</v>
      </c>
      <c r="I174" s="80">
        <f t="shared" si="164"/>
        <v>0</v>
      </c>
      <c r="J174" s="80">
        <f>'Stavební rozpočet'!J1495</f>
        <v>0</v>
      </c>
      <c r="K174" s="80">
        <f t="shared" si="165"/>
        <v>0</v>
      </c>
      <c r="L174" s="82" t="s">
        <v>207</v>
      </c>
      <c r="Z174" s="38">
        <f t="shared" si="166"/>
        <v>0</v>
      </c>
      <c r="AB174" s="38">
        <f t="shared" si="167"/>
        <v>0</v>
      </c>
      <c r="AC174" s="38">
        <f t="shared" si="168"/>
        <v>0</v>
      </c>
      <c r="AD174" s="38">
        <f t="shared" si="169"/>
        <v>0</v>
      </c>
      <c r="AE174" s="38">
        <f t="shared" si="170"/>
        <v>0</v>
      </c>
      <c r="AF174" s="38">
        <f t="shared" si="171"/>
        <v>0</v>
      </c>
      <c r="AG174" s="38">
        <f t="shared" si="172"/>
        <v>0</v>
      </c>
      <c r="AH174" s="38">
        <f t="shared" si="173"/>
        <v>0</v>
      </c>
      <c r="AI174" s="50" t="s">
        <v>93</v>
      </c>
      <c r="AJ174" s="80">
        <f t="shared" si="174"/>
        <v>0</v>
      </c>
      <c r="AK174" s="80">
        <f t="shared" si="175"/>
        <v>0</v>
      </c>
      <c r="AL174" s="80">
        <f t="shared" si="176"/>
        <v>0</v>
      </c>
      <c r="AN174" s="38">
        <v>21</v>
      </c>
      <c r="AO174" s="38">
        <f t="shared" si="177"/>
        <v>0</v>
      </c>
      <c r="AP174" s="38">
        <f t="shared" si="178"/>
        <v>0</v>
      </c>
      <c r="AQ174" s="83" t="s">
        <v>169</v>
      </c>
      <c r="AV174" s="38">
        <f t="shared" si="179"/>
        <v>0</v>
      </c>
      <c r="AW174" s="38">
        <f t="shared" si="180"/>
        <v>0</v>
      </c>
      <c r="AX174" s="38">
        <f t="shared" si="181"/>
        <v>0</v>
      </c>
      <c r="AY174" s="72" t="s">
        <v>2827</v>
      </c>
      <c r="AZ174" s="72" t="s">
        <v>2828</v>
      </c>
      <c r="BA174" s="50" t="s">
        <v>2563</v>
      </c>
      <c r="BC174" s="38">
        <f t="shared" si="182"/>
        <v>0</v>
      </c>
      <c r="BD174" s="38">
        <f t="shared" si="183"/>
        <v>0</v>
      </c>
      <c r="BE174" s="38">
        <v>0</v>
      </c>
      <c r="BF174" s="38">
        <f t="shared" si="184"/>
        <v>0</v>
      </c>
      <c r="BH174" s="80">
        <f t="shared" si="185"/>
        <v>0</v>
      </c>
      <c r="BI174" s="80">
        <f t="shared" si="186"/>
        <v>0</v>
      </c>
      <c r="BJ174" s="80">
        <f t="shared" si="187"/>
        <v>0</v>
      </c>
      <c r="BK174" s="80"/>
      <c r="BL174" s="38"/>
      <c r="BW174" s="38">
        <v>21</v>
      </c>
    </row>
    <row r="175" spans="1:75" ht="27" customHeight="1">
      <c r="A175" s="78" t="s">
        <v>1010</v>
      </c>
      <c r="B175" s="79" t="s">
        <v>93</v>
      </c>
      <c r="C175" s="79" t="s">
        <v>2898</v>
      </c>
      <c r="D175" s="198" t="s">
        <v>2899</v>
      </c>
      <c r="E175" s="199"/>
      <c r="F175" s="79" t="s">
        <v>2567</v>
      </c>
      <c r="G175" s="80">
        <f>'Stavební rozpočet'!G1496</f>
        <v>1</v>
      </c>
      <c r="H175" s="80">
        <f>'Stavební rozpočet'!H1496</f>
        <v>0</v>
      </c>
      <c r="I175" s="80">
        <f t="shared" si="164"/>
        <v>0</v>
      </c>
      <c r="J175" s="80">
        <f>'Stavební rozpočet'!J1496</f>
        <v>0</v>
      </c>
      <c r="K175" s="80">
        <f t="shared" si="165"/>
        <v>0</v>
      </c>
      <c r="L175" s="82" t="s">
        <v>207</v>
      </c>
      <c r="Z175" s="38">
        <f t="shared" si="166"/>
        <v>0</v>
      </c>
      <c r="AB175" s="38">
        <f t="shared" si="167"/>
        <v>0</v>
      </c>
      <c r="AC175" s="38">
        <f t="shared" si="168"/>
        <v>0</v>
      </c>
      <c r="AD175" s="38">
        <f t="shared" si="169"/>
        <v>0</v>
      </c>
      <c r="AE175" s="38">
        <f t="shared" si="170"/>
        <v>0</v>
      </c>
      <c r="AF175" s="38">
        <f t="shared" si="171"/>
        <v>0</v>
      </c>
      <c r="AG175" s="38">
        <f t="shared" si="172"/>
        <v>0</v>
      </c>
      <c r="AH175" s="38">
        <f t="shared" si="173"/>
        <v>0</v>
      </c>
      <c r="AI175" s="50" t="s">
        <v>93</v>
      </c>
      <c r="AJ175" s="80">
        <f t="shared" si="174"/>
        <v>0</v>
      </c>
      <c r="AK175" s="80">
        <f t="shared" si="175"/>
        <v>0</v>
      </c>
      <c r="AL175" s="80">
        <f t="shared" si="176"/>
        <v>0</v>
      </c>
      <c r="AN175" s="38">
        <v>21</v>
      </c>
      <c r="AO175" s="38">
        <f t="shared" si="177"/>
        <v>0</v>
      </c>
      <c r="AP175" s="38">
        <f t="shared" si="178"/>
        <v>0</v>
      </c>
      <c r="AQ175" s="83" t="s">
        <v>169</v>
      </c>
      <c r="AV175" s="38">
        <f t="shared" si="179"/>
        <v>0</v>
      </c>
      <c r="AW175" s="38">
        <f t="shared" si="180"/>
        <v>0</v>
      </c>
      <c r="AX175" s="38">
        <f t="shared" si="181"/>
        <v>0</v>
      </c>
      <c r="AY175" s="72" t="s">
        <v>2827</v>
      </c>
      <c r="AZ175" s="72" t="s">
        <v>2828</v>
      </c>
      <c r="BA175" s="50" t="s">
        <v>2563</v>
      </c>
      <c r="BC175" s="38">
        <f t="shared" si="182"/>
        <v>0</v>
      </c>
      <c r="BD175" s="38">
        <f t="shared" si="183"/>
        <v>0</v>
      </c>
      <c r="BE175" s="38">
        <v>0</v>
      </c>
      <c r="BF175" s="38">
        <f t="shared" si="184"/>
        <v>0</v>
      </c>
      <c r="BH175" s="80">
        <f t="shared" si="185"/>
        <v>0</v>
      </c>
      <c r="BI175" s="80">
        <f t="shared" si="186"/>
        <v>0</v>
      </c>
      <c r="BJ175" s="80">
        <f t="shared" si="187"/>
        <v>0</v>
      </c>
      <c r="BK175" s="80"/>
      <c r="BL175" s="38"/>
      <c r="BW175" s="38">
        <v>21</v>
      </c>
    </row>
    <row r="176" spans="1:75" ht="27" customHeight="1">
      <c r="A176" s="78" t="s">
        <v>1016</v>
      </c>
      <c r="B176" s="79" t="s">
        <v>93</v>
      </c>
      <c r="C176" s="79" t="s">
        <v>2901</v>
      </c>
      <c r="D176" s="198" t="s">
        <v>2902</v>
      </c>
      <c r="E176" s="199"/>
      <c r="F176" s="79" t="s">
        <v>2567</v>
      </c>
      <c r="G176" s="80">
        <f>'Stavební rozpočet'!G1497</f>
        <v>1</v>
      </c>
      <c r="H176" s="80">
        <f>'Stavební rozpočet'!H1497</f>
        <v>0</v>
      </c>
      <c r="I176" s="80">
        <f t="shared" si="164"/>
        <v>0</v>
      </c>
      <c r="J176" s="80">
        <f>'Stavební rozpočet'!J1497</f>
        <v>0</v>
      </c>
      <c r="K176" s="80">
        <f t="shared" si="165"/>
        <v>0</v>
      </c>
      <c r="L176" s="82" t="s">
        <v>207</v>
      </c>
      <c r="Z176" s="38">
        <f t="shared" si="166"/>
        <v>0</v>
      </c>
      <c r="AB176" s="38">
        <f t="shared" si="167"/>
        <v>0</v>
      </c>
      <c r="AC176" s="38">
        <f t="shared" si="168"/>
        <v>0</v>
      </c>
      <c r="AD176" s="38">
        <f t="shared" si="169"/>
        <v>0</v>
      </c>
      <c r="AE176" s="38">
        <f t="shared" si="170"/>
        <v>0</v>
      </c>
      <c r="AF176" s="38">
        <f t="shared" si="171"/>
        <v>0</v>
      </c>
      <c r="AG176" s="38">
        <f t="shared" si="172"/>
        <v>0</v>
      </c>
      <c r="AH176" s="38">
        <f t="shared" si="173"/>
        <v>0</v>
      </c>
      <c r="AI176" s="50" t="s">
        <v>93</v>
      </c>
      <c r="AJ176" s="80">
        <f t="shared" si="174"/>
        <v>0</v>
      </c>
      <c r="AK176" s="80">
        <f t="shared" si="175"/>
        <v>0</v>
      </c>
      <c r="AL176" s="80">
        <f t="shared" si="176"/>
        <v>0</v>
      </c>
      <c r="AN176" s="38">
        <v>21</v>
      </c>
      <c r="AO176" s="38">
        <f t="shared" si="177"/>
        <v>0</v>
      </c>
      <c r="AP176" s="38">
        <f t="shared" si="178"/>
        <v>0</v>
      </c>
      <c r="AQ176" s="83" t="s">
        <v>169</v>
      </c>
      <c r="AV176" s="38">
        <f t="shared" si="179"/>
        <v>0</v>
      </c>
      <c r="AW176" s="38">
        <f t="shared" si="180"/>
        <v>0</v>
      </c>
      <c r="AX176" s="38">
        <f t="shared" si="181"/>
        <v>0</v>
      </c>
      <c r="AY176" s="72" t="s">
        <v>2827</v>
      </c>
      <c r="AZ176" s="72" t="s">
        <v>2828</v>
      </c>
      <c r="BA176" s="50" t="s">
        <v>2563</v>
      </c>
      <c r="BC176" s="38">
        <f t="shared" si="182"/>
        <v>0</v>
      </c>
      <c r="BD176" s="38">
        <f t="shared" si="183"/>
        <v>0</v>
      </c>
      <c r="BE176" s="38">
        <v>0</v>
      </c>
      <c r="BF176" s="38">
        <f t="shared" si="184"/>
        <v>0</v>
      </c>
      <c r="BH176" s="80">
        <f t="shared" si="185"/>
        <v>0</v>
      </c>
      <c r="BI176" s="80">
        <f t="shared" si="186"/>
        <v>0</v>
      </c>
      <c r="BJ176" s="80">
        <f t="shared" si="187"/>
        <v>0</v>
      </c>
      <c r="BK176" s="80"/>
      <c r="BL176" s="38"/>
      <c r="BW176" s="38">
        <v>21</v>
      </c>
    </row>
    <row r="177" spans="1:75" ht="13.5" customHeight="1">
      <c r="A177" s="78" t="s">
        <v>1022</v>
      </c>
      <c r="B177" s="79" t="s">
        <v>93</v>
      </c>
      <c r="C177" s="79" t="s">
        <v>2843</v>
      </c>
      <c r="D177" s="198" t="s">
        <v>2844</v>
      </c>
      <c r="E177" s="199"/>
      <c r="F177" s="79" t="s">
        <v>2567</v>
      </c>
      <c r="G177" s="80">
        <f>'Stavební rozpočet'!G1498</f>
        <v>34</v>
      </c>
      <c r="H177" s="80">
        <f>'Stavební rozpočet'!H1498</f>
        <v>0</v>
      </c>
      <c r="I177" s="80">
        <f t="shared" si="164"/>
        <v>0</v>
      </c>
      <c r="J177" s="80">
        <f>'Stavební rozpočet'!J1498</f>
        <v>0</v>
      </c>
      <c r="K177" s="80">
        <f t="shared" si="165"/>
        <v>0</v>
      </c>
      <c r="L177" s="82" t="s">
        <v>207</v>
      </c>
      <c r="Z177" s="38">
        <f t="shared" si="166"/>
        <v>0</v>
      </c>
      <c r="AB177" s="38">
        <f t="shared" si="167"/>
        <v>0</v>
      </c>
      <c r="AC177" s="38">
        <f t="shared" si="168"/>
        <v>0</v>
      </c>
      <c r="AD177" s="38">
        <f t="shared" si="169"/>
        <v>0</v>
      </c>
      <c r="AE177" s="38">
        <f t="shared" si="170"/>
        <v>0</v>
      </c>
      <c r="AF177" s="38">
        <f t="shared" si="171"/>
        <v>0</v>
      </c>
      <c r="AG177" s="38">
        <f t="shared" si="172"/>
        <v>0</v>
      </c>
      <c r="AH177" s="38">
        <f t="shared" si="173"/>
        <v>0</v>
      </c>
      <c r="AI177" s="50" t="s">
        <v>93</v>
      </c>
      <c r="AJ177" s="80">
        <f t="shared" si="174"/>
        <v>0</v>
      </c>
      <c r="AK177" s="80">
        <f t="shared" si="175"/>
        <v>0</v>
      </c>
      <c r="AL177" s="80">
        <f t="shared" si="176"/>
        <v>0</v>
      </c>
      <c r="AN177" s="38">
        <v>21</v>
      </c>
      <c r="AO177" s="38">
        <f t="shared" si="177"/>
        <v>0</v>
      </c>
      <c r="AP177" s="38">
        <f t="shared" si="178"/>
        <v>0</v>
      </c>
      <c r="AQ177" s="83" t="s">
        <v>169</v>
      </c>
      <c r="AV177" s="38">
        <f t="shared" si="179"/>
        <v>0</v>
      </c>
      <c r="AW177" s="38">
        <f t="shared" si="180"/>
        <v>0</v>
      </c>
      <c r="AX177" s="38">
        <f t="shared" si="181"/>
        <v>0</v>
      </c>
      <c r="AY177" s="72" t="s">
        <v>2827</v>
      </c>
      <c r="AZ177" s="72" t="s">
        <v>2828</v>
      </c>
      <c r="BA177" s="50" t="s">
        <v>2563</v>
      </c>
      <c r="BC177" s="38">
        <f t="shared" si="182"/>
        <v>0</v>
      </c>
      <c r="BD177" s="38">
        <f t="shared" si="183"/>
        <v>0</v>
      </c>
      <c r="BE177" s="38">
        <v>0</v>
      </c>
      <c r="BF177" s="38">
        <f t="shared" si="184"/>
        <v>0</v>
      </c>
      <c r="BH177" s="80">
        <f t="shared" si="185"/>
        <v>0</v>
      </c>
      <c r="BI177" s="80">
        <f t="shared" si="186"/>
        <v>0</v>
      </c>
      <c r="BJ177" s="80">
        <f t="shared" si="187"/>
        <v>0</v>
      </c>
      <c r="BK177" s="80"/>
      <c r="BL177" s="38"/>
      <c r="BW177" s="38">
        <v>21</v>
      </c>
    </row>
    <row r="178" spans="1:75" ht="13.5" customHeight="1">
      <c r="A178" s="78" t="s">
        <v>1027</v>
      </c>
      <c r="B178" s="79" t="s">
        <v>93</v>
      </c>
      <c r="C178" s="79" t="s">
        <v>2846</v>
      </c>
      <c r="D178" s="198" t="s">
        <v>2847</v>
      </c>
      <c r="E178" s="199"/>
      <c r="F178" s="79" t="s">
        <v>2567</v>
      </c>
      <c r="G178" s="80">
        <f>'Stavební rozpočet'!G1499</f>
        <v>32</v>
      </c>
      <c r="H178" s="80">
        <f>'Stavební rozpočet'!H1499</f>
        <v>0</v>
      </c>
      <c r="I178" s="80">
        <f t="shared" si="164"/>
        <v>0</v>
      </c>
      <c r="J178" s="80">
        <f>'Stavební rozpočet'!J1499</f>
        <v>0</v>
      </c>
      <c r="K178" s="80">
        <f t="shared" si="165"/>
        <v>0</v>
      </c>
      <c r="L178" s="82" t="s">
        <v>207</v>
      </c>
      <c r="Z178" s="38">
        <f t="shared" si="166"/>
        <v>0</v>
      </c>
      <c r="AB178" s="38">
        <f t="shared" si="167"/>
        <v>0</v>
      </c>
      <c r="AC178" s="38">
        <f t="shared" si="168"/>
        <v>0</v>
      </c>
      <c r="AD178" s="38">
        <f t="shared" si="169"/>
        <v>0</v>
      </c>
      <c r="AE178" s="38">
        <f t="shared" si="170"/>
        <v>0</v>
      </c>
      <c r="AF178" s="38">
        <f t="shared" si="171"/>
        <v>0</v>
      </c>
      <c r="AG178" s="38">
        <f t="shared" si="172"/>
        <v>0</v>
      </c>
      <c r="AH178" s="38">
        <f t="shared" si="173"/>
        <v>0</v>
      </c>
      <c r="AI178" s="50" t="s">
        <v>93</v>
      </c>
      <c r="AJ178" s="80">
        <f t="shared" si="174"/>
        <v>0</v>
      </c>
      <c r="AK178" s="80">
        <f t="shared" si="175"/>
        <v>0</v>
      </c>
      <c r="AL178" s="80">
        <f t="shared" si="176"/>
        <v>0</v>
      </c>
      <c r="AN178" s="38">
        <v>21</v>
      </c>
      <c r="AO178" s="38">
        <f t="shared" si="177"/>
        <v>0</v>
      </c>
      <c r="AP178" s="38">
        <f t="shared" si="178"/>
        <v>0</v>
      </c>
      <c r="AQ178" s="83" t="s">
        <v>169</v>
      </c>
      <c r="AV178" s="38">
        <f t="shared" si="179"/>
        <v>0</v>
      </c>
      <c r="AW178" s="38">
        <f t="shared" si="180"/>
        <v>0</v>
      </c>
      <c r="AX178" s="38">
        <f t="shared" si="181"/>
        <v>0</v>
      </c>
      <c r="AY178" s="72" t="s">
        <v>2827</v>
      </c>
      <c r="AZ178" s="72" t="s">
        <v>2828</v>
      </c>
      <c r="BA178" s="50" t="s">
        <v>2563</v>
      </c>
      <c r="BC178" s="38">
        <f t="shared" si="182"/>
        <v>0</v>
      </c>
      <c r="BD178" s="38">
        <f t="shared" si="183"/>
        <v>0</v>
      </c>
      <c r="BE178" s="38">
        <v>0</v>
      </c>
      <c r="BF178" s="38">
        <f t="shared" si="184"/>
        <v>0</v>
      </c>
      <c r="BH178" s="80">
        <f t="shared" si="185"/>
        <v>0</v>
      </c>
      <c r="BI178" s="80">
        <f t="shared" si="186"/>
        <v>0</v>
      </c>
      <c r="BJ178" s="80">
        <f t="shared" si="187"/>
        <v>0</v>
      </c>
      <c r="BK178" s="80"/>
      <c r="BL178" s="38"/>
      <c r="BW178" s="38">
        <v>21</v>
      </c>
    </row>
    <row r="179" spans="1:75" ht="13.5" customHeight="1">
      <c r="A179" s="78" t="s">
        <v>1033</v>
      </c>
      <c r="B179" s="79" t="s">
        <v>93</v>
      </c>
      <c r="C179" s="79" t="s">
        <v>2849</v>
      </c>
      <c r="D179" s="198" t="s">
        <v>2850</v>
      </c>
      <c r="E179" s="199"/>
      <c r="F179" s="79" t="s">
        <v>2567</v>
      </c>
      <c r="G179" s="80">
        <f>'Stavební rozpočet'!G1500</f>
        <v>29</v>
      </c>
      <c r="H179" s="80">
        <f>'Stavební rozpočet'!H1500</f>
        <v>0</v>
      </c>
      <c r="I179" s="80">
        <f t="shared" si="164"/>
        <v>0</v>
      </c>
      <c r="J179" s="80">
        <f>'Stavební rozpočet'!J1500</f>
        <v>0</v>
      </c>
      <c r="K179" s="80">
        <f t="shared" si="165"/>
        <v>0</v>
      </c>
      <c r="L179" s="82" t="s">
        <v>207</v>
      </c>
      <c r="Z179" s="38">
        <f t="shared" si="166"/>
        <v>0</v>
      </c>
      <c r="AB179" s="38">
        <f t="shared" si="167"/>
        <v>0</v>
      </c>
      <c r="AC179" s="38">
        <f t="shared" si="168"/>
        <v>0</v>
      </c>
      <c r="AD179" s="38">
        <f t="shared" si="169"/>
        <v>0</v>
      </c>
      <c r="AE179" s="38">
        <f t="shared" si="170"/>
        <v>0</v>
      </c>
      <c r="AF179" s="38">
        <f t="shared" si="171"/>
        <v>0</v>
      </c>
      <c r="AG179" s="38">
        <f t="shared" si="172"/>
        <v>0</v>
      </c>
      <c r="AH179" s="38">
        <f t="shared" si="173"/>
        <v>0</v>
      </c>
      <c r="AI179" s="50" t="s">
        <v>93</v>
      </c>
      <c r="AJ179" s="80">
        <f t="shared" si="174"/>
        <v>0</v>
      </c>
      <c r="AK179" s="80">
        <f t="shared" si="175"/>
        <v>0</v>
      </c>
      <c r="AL179" s="80">
        <f t="shared" si="176"/>
        <v>0</v>
      </c>
      <c r="AN179" s="38">
        <v>21</v>
      </c>
      <c r="AO179" s="38">
        <f t="shared" si="177"/>
        <v>0</v>
      </c>
      <c r="AP179" s="38">
        <f t="shared" si="178"/>
        <v>0</v>
      </c>
      <c r="AQ179" s="83" t="s">
        <v>169</v>
      </c>
      <c r="AV179" s="38">
        <f t="shared" si="179"/>
        <v>0</v>
      </c>
      <c r="AW179" s="38">
        <f t="shared" si="180"/>
        <v>0</v>
      </c>
      <c r="AX179" s="38">
        <f t="shared" si="181"/>
        <v>0</v>
      </c>
      <c r="AY179" s="72" t="s">
        <v>2827</v>
      </c>
      <c r="AZ179" s="72" t="s">
        <v>2828</v>
      </c>
      <c r="BA179" s="50" t="s">
        <v>2563</v>
      </c>
      <c r="BC179" s="38">
        <f t="shared" si="182"/>
        <v>0</v>
      </c>
      <c r="BD179" s="38">
        <f t="shared" si="183"/>
        <v>0</v>
      </c>
      <c r="BE179" s="38">
        <v>0</v>
      </c>
      <c r="BF179" s="38">
        <f t="shared" si="184"/>
        <v>0</v>
      </c>
      <c r="BH179" s="80">
        <f t="shared" si="185"/>
        <v>0</v>
      </c>
      <c r="BI179" s="80">
        <f t="shared" si="186"/>
        <v>0</v>
      </c>
      <c r="BJ179" s="80">
        <f t="shared" si="187"/>
        <v>0</v>
      </c>
      <c r="BK179" s="80"/>
      <c r="BL179" s="38"/>
      <c r="BW179" s="38">
        <v>21</v>
      </c>
    </row>
    <row r="180" spans="1:75" ht="13.5" customHeight="1">
      <c r="A180" s="78" t="s">
        <v>1038</v>
      </c>
      <c r="B180" s="79" t="s">
        <v>93</v>
      </c>
      <c r="C180" s="79" t="s">
        <v>2958</v>
      </c>
      <c r="D180" s="198" t="s">
        <v>2959</v>
      </c>
      <c r="E180" s="199"/>
      <c r="F180" s="79" t="s">
        <v>2567</v>
      </c>
      <c r="G180" s="80">
        <f>'Stavební rozpočet'!G1501</f>
        <v>4</v>
      </c>
      <c r="H180" s="80">
        <f>'Stavební rozpočet'!H1501</f>
        <v>0</v>
      </c>
      <c r="I180" s="80">
        <f t="shared" si="164"/>
        <v>0</v>
      </c>
      <c r="J180" s="80">
        <f>'Stavební rozpočet'!J1501</f>
        <v>0</v>
      </c>
      <c r="K180" s="80">
        <f t="shared" si="165"/>
        <v>0</v>
      </c>
      <c r="L180" s="82" t="s">
        <v>207</v>
      </c>
      <c r="Z180" s="38">
        <f t="shared" si="166"/>
        <v>0</v>
      </c>
      <c r="AB180" s="38">
        <f t="shared" si="167"/>
        <v>0</v>
      </c>
      <c r="AC180" s="38">
        <f t="shared" si="168"/>
        <v>0</v>
      </c>
      <c r="AD180" s="38">
        <f t="shared" si="169"/>
        <v>0</v>
      </c>
      <c r="AE180" s="38">
        <f t="shared" si="170"/>
        <v>0</v>
      </c>
      <c r="AF180" s="38">
        <f t="shared" si="171"/>
        <v>0</v>
      </c>
      <c r="AG180" s="38">
        <f t="shared" si="172"/>
        <v>0</v>
      </c>
      <c r="AH180" s="38">
        <f t="shared" si="173"/>
        <v>0</v>
      </c>
      <c r="AI180" s="50" t="s">
        <v>93</v>
      </c>
      <c r="AJ180" s="80">
        <f t="shared" si="174"/>
        <v>0</v>
      </c>
      <c r="AK180" s="80">
        <f t="shared" si="175"/>
        <v>0</v>
      </c>
      <c r="AL180" s="80">
        <f t="shared" si="176"/>
        <v>0</v>
      </c>
      <c r="AN180" s="38">
        <v>21</v>
      </c>
      <c r="AO180" s="38">
        <f t="shared" si="177"/>
        <v>0</v>
      </c>
      <c r="AP180" s="38">
        <f t="shared" si="178"/>
        <v>0</v>
      </c>
      <c r="AQ180" s="83" t="s">
        <v>169</v>
      </c>
      <c r="AV180" s="38">
        <f t="shared" si="179"/>
        <v>0</v>
      </c>
      <c r="AW180" s="38">
        <f t="shared" si="180"/>
        <v>0</v>
      </c>
      <c r="AX180" s="38">
        <f t="shared" si="181"/>
        <v>0</v>
      </c>
      <c r="AY180" s="72" t="s">
        <v>2827</v>
      </c>
      <c r="AZ180" s="72" t="s">
        <v>2828</v>
      </c>
      <c r="BA180" s="50" t="s">
        <v>2563</v>
      </c>
      <c r="BC180" s="38">
        <f t="shared" si="182"/>
        <v>0</v>
      </c>
      <c r="BD180" s="38">
        <f t="shared" si="183"/>
        <v>0</v>
      </c>
      <c r="BE180" s="38">
        <v>0</v>
      </c>
      <c r="BF180" s="38">
        <f t="shared" si="184"/>
        <v>0</v>
      </c>
      <c r="BH180" s="80">
        <f t="shared" si="185"/>
        <v>0</v>
      </c>
      <c r="BI180" s="80">
        <f t="shared" si="186"/>
        <v>0</v>
      </c>
      <c r="BJ180" s="80">
        <f t="shared" si="187"/>
        <v>0</v>
      </c>
      <c r="BK180" s="80"/>
      <c r="BL180" s="38"/>
      <c r="BW180" s="38">
        <v>21</v>
      </c>
    </row>
    <row r="181" spans="1:75" ht="13.5" customHeight="1">
      <c r="A181" s="78" t="s">
        <v>1042</v>
      </c>
      <c r="B181" s="79" t="s">
        <v>93</v>
      </c>
      <c r="C181" s="79" t="s">
        <v>2961</v>
      </c>
      <c r="D181" s="198" t="s">
        <v>2962</v>
      </c>
      <c r="E181" s="199"/>
      <c r="F181" s="79" t="s">
        <v>2567</v>
      </c>
      <c r="G181" s="80">
        <f>'Stavební rozpočet'!G1502</f>
        <v>4</v>
      </c>
      <c r="H181" s="80">
        <f>'Stavební rozpočet'!H1502</f>
        <v>0</v>
      </c>
      <c r="I181" s="80">
        <f t="shared" si="164"/>
        <v>0</v>
      </c>
      <c r="J181" s="80">
        <f>'Stavební rozpočet'!J1502</f>
        <v>0</v>
      </c>
      <c r="K181" s="80">
        <f t="shared" si="165"/>
        <v>0</v>
      </c>
      <c r="L181" s="82" t="s">
        <v>207</v>
      </c>
      <c r="Z181" s="38">
        <f t="shared" si="166"/>
        <v>0</v>
      </c>
      <c r="AB181" s="38">
        <f t="shared" si="167"/>
        <v>0</v>
      </c>
      <c r="AC181" s="38">
        <f t="shared" si="168"/>
        <v>0</v>
      </c>
      <c r="AD181" s="38">
        <f t="shared" si="169"/>
        <v>0</v>
      </c>
      <c r="AE181" s="38">
        <f t="shared" si="170"/>
        <v>0</v>
      </c>
      <c r="AF181" s="38">
        <f t="shared" si="171"/>
        <v>0</v>
      </c>
      <c r="AG181" s="38">
        <f t="shared" si="172"/>
        <v>0</v>
      </c>
      <c r="AH181" s="38">
        <f t="shared" si="173"/>
        <v>0</v>
      </c>
      <c r="AI181" s="50" t="s">
        <v>93</v>
      </c>
      <c r="AJ181" s="80">
        <f t="shared" si="174"/>
        <v>0</v>
      </c>
      <c r="AK181" s="80">
        <f t="shared" si="175"/>
        <v>0</v>
      </c>
      <c r="AL181" s="80">
        <f t="shared" si="176"/>
        <v>0</v>
      </c>
      <c r="AN181" s="38">
        <v>21</v>
      </c>
      <c r="AO181" s="38">
        <f t="shared" si="177"/>
        <v>0</v>
      </c>
      <c r="AP181" s="38">
        <f t="shared" si="178"/>
        <v>0</v>
      </c>
      <c r="AQ181" s="83" t="s">
        <v>169</v>
      </c>
      <c r="AV181" s="38">
        <f t="shared" si="179"/>
        <v>0</v>
      </c>
      <c r="AW181" s="38">
        <f t="shared" si="180"/>
        <v>0</v>
      </c>
      <c r="AX181" s="38">
        <f t="shared" si="181"/>
        <v>0</v>
      </c>
      <c r="AY181" s="72" t="s">
        <v>2827</v>
      </c>
      <c r="AZ181" s="72" t="s">
        <v>2828</v>
      </c>
      <c r="BA181" s="50" t="s">
        <v>2563</v>
      </c>
      <c r="BC181" s="38">
        <f t="shared" si="182"/>
        <v>0</v>
      </c>
      <c r="BD181" s="38">
        <f t="shared" si="183"/>
        <v>0</v>
      </c>
      <c r="BE181" s="38">
        <v>0</v>
      </c>
      <c r="BF181" s="38">
        <f t="shared" si="184"/>
        <v>0</v>
      </c>
      <c r="BH181" s="80">
        <f t="shared" si="185"/>
        <v>0</v>
      </c>
      <c r="BI181" s="80">
        <f t="shared" si="186"/>
        <v>0</v>
      </c>
      <c r="BJ181" s="80">
        <f t="shared" si="187"/>
        <v>0</v>
      </c>
      <c r="BK181" s="80"/>
      <c r="BL181" s="38"/>
      <c r="BW181" s="38">
        <v>21</v>
      </c>
    </row>
    <row r="182" spans="1:75" ht="13.5" customHeight="1">
      <c r="A182" s="78" t="s">
        <v>1047</v>
      </c>
      <c r="B182" s="79" t="s">
        <v>93</v>
      </c>
      <c r="C182" s="79" t="s">
        <v>2861</v>
      </c>
      <c r="D182" s="198" t="s">
        <v>2862</v>
      </c>
      <c r="E182" s="199"/>
      <c r="F182" s="79" t="s">
        <v>2567</v>
      </c>
      <c r="G182" s="80">
        <f>'Stavební rozpočet'!G1503</f>
        <v>6</v>
      </c>
      <c r="H182" s="80">
        <f>'Stavební rozpočet'!H1503</f>
        <v>0</v>
      </c>
      <c r="I182" s="80">
        <f t="shared" si="164"/>
        <v>0</v>
      </c>
      <c r="J182" s="80">
        <f>'Stavební rozpočet'!J1503</f>
        <v>0</v>
      </c>
      <c r="K182" s="80">
        <f t="shared" si="165"/>
        <v>0</v>
      </c>
      <c r="L182" s="82" t="s">
        <v>207</v>
      </c>
      <c r="Z182" s="38">
        <f t="shared" si="166"/>
        <v>0</v>
      </c>
      <c r="AB182" s="38">
        <f t="shared" si="167"/>
        <v>0</v>
      </c>
      <c r="AC182" s="38">
        <f t="shared" si="168"/>
        <v>0</v>
      </c>
      <c r="AD182" s="38">
        <f t="shared" si="169"/>
        <v>0</v>
      </c>
      <c r="AE182" s="38">
        <f t="shared" si="170"/>
        <v>0</v>
      </c>
      <c r="AF182" s="38">
        <f t="shared" si="171"/>
        <v>0</v>
      </c>
      <c r="AG182" s="38">
        <f t="shared" si="172"/>
        <v>0</v>
      </c>
      <c r="AH182" s="38">
        <f t="shared" si="173"/>
        <v>0</v>
      </c>
      <c r="AI182" s="50" t="s">
        <v>93</v>
      </c>
      <c r="AJ182" s="80">
        <f t="shared" si="174"/>
        <v>0</v>
      </c>
      <c r="AK182" s="80">
        <f t="shared" si="175"/>
        <v>0</v>
      </c>
      <c r="AL182" s="80">
        <f t="shared" si="176"/>
        <v>0</v>
      </c>
      <c r="AN182" s="38">
        <v>21</v>
      </c>
      <c r="AO182" s="38">
        <f t="shared" si="177"/>
        <v>0</v>
      </c>
      <c r="AP182" s="38">
        <f t="shared" si="178"/>
        <v>0</v>
      </c>
      <c r="AQ182" s="83" t="s">
        <v>169</v>
      </c>
      <c r="AV182" s="38">
        <f t="shared" si="179"/>
        <v>0</v>
      </c>
      <c r="AW182" s="38">
        <f t="shared" si="180"/>
        <v>0</v>
      </c>
      <c r="AX182" s="38">
        <f t="shared" si="181"/>
        <v>0</v>
      </c>
      <c r="AY182" s="72" t="s">
        <v>2827</v>
      </c>
      <c r="AZ182" s="72" t="s">
        <v>2828</v>
      </c>
      <c r="BA182" s="50" t="s">
        <v>2563</v>
      </c>
      <c r="BC182" s="38">
        <f t="shared" si="182"/>
        <v>0</v>
      </c>
      <c r="BD182" s="38">
        <f t="shared" si="183"/>
        <v>0</v>
      </c>
      <c r="BE182" s="38">
        <v>0</v>
      </c>
      <c r="BF182" s="38">
        <f t="shared" si="184"/>
        <v>0</v>
      </c>
      <c r="BH182" s="80">
        <f t="shared" si="185"/>
        <v>0</v>
      </c>
      <c r="BI182" s="80">
        <f t="shared" si="186"/>
        <v>0</v>
      </c>
      <c r="BJ182" s="80">
        <f t="shared" si="187"/>
        <v>0</v>
      </c>
      <c r="BK182" s="80"/>
      <c r="BL182" s="38"/>
      <c r="BW182" s="38">
        <v>21</v>
      </c>
    </row>
    <row r="183" spans="1:75" ht="13.5" customHeight="1">
      <c r="A183" s="78" t="s">
        <v>1052</v>
      </c>
      <c r="B183" s="79" t="s">
        <v>93</v>
      </c>
      <c r="C183" s="79" t="s">
        <v>2864</v>
      </c>
      <c r="D183" s="198" t="s">
        <v>2865</v>
      </c>
      <c r="E183" s="199"/>
      <c r="F183" s="79" t="s">
        <v>2567</v>
      </c>
      <c r="G183" s="80">
        <f>'Stavební rozpočet'!G1504</f>
        <v>1</v>
      </c>
      <c r="H183" s="80">
        <f>'Stavební rozpočet'!H1504</f>
        <v>0</v>
      </c>
      <c r="I183" s="80">
        <f t="shared" si="164"/>
        <v>0</v>
      </c>
      <c r="J183" s="80">
        <f>'Stavební rozpočet'!J1504</f>
        <v>0</v>
      </c>
      <c r="K183" s="80">
        <f t="shared" si="165"/>
        <v>0</v>
      </c>
      <c r="L183" s="82" t="s">
        <v>207</v>
      </c>
      <c r="Z183" s="38">
        <f t="shared" si="166"/>
        <v>0</v>
      </c>
      <c r="AB183" s="38">
        <f t="shared" si="167"/>
        <v>0</v>
      </c>
      <c r="AC183" s="38">
        <f t="shared" si="168"/>
        <v>0</v>
      </c>
      <c r="AD183" s="38">
        <f t="shared" si="169"/>
        <v>0</v>
      </c>
      <c r="AE183" s="38">
        <f t="shared" si="170"/>
        <v>0</v>
      </c>
      <c r="AF183" s="38">
        <f t="shared" si="171"/>
        <v>0</v>
      </c>
      <c r="AG183" s="38">
        <f t="shared" si="172"/>
        <v>0</v>
      </c>
      <c r="AH183" s="38">
        <f t="shared" si="173"/>
        <v>0</v>
      </c>
      <c r="AI183" s="50" t="s">
        <v>93</v>
      </c>
      <c r="AJ183" s="80">
        <f t="shared" si="174"/>
        <v>0</v>
      </c>
      <c r="AK183" s="80">
        <f t="shared" si="175"/>
        <v>0</v>
      </c>
      <c r="AL183" s="80">
        <f t="shared" si="176"/>
        <v>0</v>
      </c>
      <c r="AN183" s="38">
        <v>21</v>
      </c>
      <c r="AO183" s="38">
        <f t="shared" si="177"/>
        <v>0</v>
      </c>
      <c r="AP183" s="38">
        <f t="shared" si="178"/>
        <v>0</v>
      </c>
      <c r="AQ183" s="83" t="s">
        <v>169</v>
      </c>
      <c r="AV183" s="38">
        <f t="shared" si="179"/>
        <v>0</v>
      </c>
      <c r="AW183" s="38">
        <f t="shared" si="180"/>
        <v>0</v>
      </c>
      <c r="AX183" s="38">
        <f t="shared" si="181"/>
        <v>0</v>
      </c>
      <c r="AY183" s="72" t="s">
        <v>2827</v>
      </c>
      <c r="AZ183" s="72" t="s">
        <v>2828</v>
      </c>
      <c r="BA183" s="50" t="s">
        <v>2563</v>
      </c>
      <c r="BC183" s="38">
        <f t="shared" si="182"/>
        <v>0</v>
      </c>
      <c r="BD183" s="38">
        <f t="shared" si="183"/>
        <v>0</v>
      </c>
      <c r="BE183" s="38">
        <v>0</v>
      </c>
      <c r="BF183" s="38">
        <f t="shared" si="184"/>
        <v>0</v>
      </c>
      <c r="BH183" s="80">
        <f t="shared" si="185"/>
        <v>0</v>
      </c>
      <c r="BI183" s="80">
        <f t="shared" si="186"/>
        <v>0</v>
      </c>
      <c r="BJ183" s="80">
        <f t="shared" si="187"/>
        <v>0</v>
      </c>
      <c r="BK183" s="80"/>
      <c r="BL183" s="38"/>
      <c r="BW183" s="38">
        <v>21</v>
      </c>
    </row>
    <row r="184" spans="1:75" ht="13.5" customHeight="1">
      <c r="A184" s="78" t="s">
        <v>1055</v>
      </c>
      <c r="B184" s="79" t="s">
        <v>93</v>
      </c>
      <c r="C184" s="79" t="s">
        <v>2867</v>
      </c>
      <c r="D184" s="198" t="s">
        <v>2868</v>
      </c>
      <c r="E184" s="199"/>
      <c r="F184" s="79" t="s">
        <v>2567</v>
      </c>
      <c r="G184" s="80">
        <f>'Stavební rozpočet'!G1505</f>
        <v>2</v>
      </c>
      <c r="H184" s="80">
        <f>'Stavební rozpočet'!H1505</f>
        <v>0</v>
      </c>
      <c r="I184" s="80">
        <f t="shared" si="164"/>
        <v>0</v>
      </c>
      <c r="J184" s="80">
        <f>'Stavební rozpočet'!J1505</f>
        <v>0</v>
      </c>
      <c r="K184" s="80">
        <f t="shared" si="165"/>
        <v>0</v>
      </c>
      <c r="L184" s="82" t="s">
        <v>207</v>
      </c>
      <c r="Z184" s="38">
        <f t="shared" si="166"/>
        <v>0</v>
      </c>
      <c r="AB184" s="38">
        <f t="shared" si="167"/>
        <v>0</v>
      </c>
      <c r="AC184" s="38">
        <f t="shared" si="168"/>
        <v>0</v>
      </c>
      <c r="AD184" s="38">
        <f t="shared" si="169"/>
        <v>0</v>
      </c>
      <c r="AE184" s="38">
        <f t="shared" si="170"/>
        <v>0</v>
      </c>
      <c r="AF184" s="38">
        <f t="shared" si="171"/>
        <v>0</v>
      </c>
      <c r="AG184" s="38">
        <f t="shared" si="172"/>
        <v>0</v>
      </c>
      <c r="AH184" s="38">
        <f t="shared" si="173"/>
        <v>0</v>
      </c>
      <c r="AI184" s="50" t="s">
        <v>93</v>
      </c>
      <c r="AJ184" s="80">
        <f t="shared" si="174"/>
        <v>0</v>
      </c>
      <c r="AK184" s="80">
        <f t="shared" si="175"/>
        <v>0</v>
      </c>
      <c r="AL184" s="80">
        <f t="shared" si="176"/>
        <v>0</v>
      </c>
      <c r="AN184" s="38">
        <v>21</v>
      </c>
      <c r="AO184" s="38">
        <f t="shared" si="177"/>
        <v>0</v>
      </c>
      <c r="AP184" s="38">
        <f t="shared" si="178"/>
        <v>0</v>
      </c>
      <c r="AQ184" s="83" t="s">
        <v>169</v>
      </c>
      <c r="AV184" s="38">
        <f t="shared" si="179"/>
        <v>0</v>
      </c>
      <c r="AW184" s="38">
        <f t="shared" si="180"/>
        <v>0</v>
      </c>
      <c r="AX184" s="38">
        <f t="shared" si="181"/>
        <v>0</v>
      </c>
      <c r="AY184" s="72" t="s">
        <v>2827</v>
      </c>
      <c r="AZ184" s="72" t="s">
        <v>2828</v>
      </c>
      <c r="BA184" s="50" t="s">
        <v>2563</v>
      </c>
      <c r="BC184" s="38">
        <f t="shared" si="182"/>
        <v>0</v>
      </c>
      <c r="BD184" s="38">
        <f t="shared" si="183"/>
        <v>0</v>
      </c>
      <c r="BE184" s="38">
        <v>0</v>
      </c>
      <c r="BF184" s="38">
        <f t="shared" si="184"/>
        <v>0</v>
      </c>
      <c r="BH184" s="80">
        <f t="shared" si="185"/>
        <v>0</v>
      </c>
      <c r="BI184" s="80">
        <f t="shared" si="186"/>
        <v>0</v>
      </c>
      <c r="BJ184" s="80">
        <f t="shared" si="187"/>
        <v>0</v>
      </c>
      <c r="BK184" s="80"/>
      <c r="BL184" s="38"/>
      <c r="BW184" s="38">
        <v>21</v>
      </c>
    </row>
    <row r="185" spans="1:75" ht="13.5" customHeight="1">
      <c r="A185" s="78" t="s">
        <v>1059</v>
      </c>
      <c r="B185" s="79" t="s">
        <v>93</v>
      </c>
      <c r="C185" s="79" t="s">
        <v>2840</v>
      </c>
      <c r="D185" s="198" t="s">
        <v>2841</v>
      </c>
      <c r="E185" s="199"/>
      <c r="F185" s="79" t="s">
        <v>2567</v>
      </c>
      <c r="G185" s="80">
        <f>'Stavební rozpočet'!G1506</f>
        <v>22</v>
      </c>
      <c r="H185" s="80">
        <f>'Stavební rozpočet'!H1506</f>
        <v>0</v>
      </c>
      <c r="I185" s="80">
        <f t="shared" si="164"/>
        <v>0</v>
      </c>
      <c r="J185" s="80">
        <f>'Stavební rozpočet'!J1506</f>
        <v>0</v>
      </c>
      <c r="K185" s="80">
        <f t="shared" si="165"/>
        <v>0</v>
      </c>
      <c r="L185" s="82" t="s">
        <v>207</v>
      </c>
      <c r="Z185" s="38">
        <f t="shared" si="166"/>
        <v>0</v>
      </c>
      <c r="AB185" s="38">
        <f t="shared" si="167"/>
        <v>0</v>
      </c>
      <c r="AC185" s="38">
        <f t="shared" si="168"/>
        <v>0</v>
      </c>
      <c r="AD185" s="38">
        <f t="shared" si="169"/>
        <v>0</v>
      </c>
      <c r="AE185" s="38">
        <f t="shared" si="170"/>
        <v>0</v>
      </c>
      <c r="AF185" s="38">
        <f t="shared" si="171"/>
        <v>0</v>
      </c>
      <c r="AG185" s="38">
        <f t="shared" si="172"/>
        <v>0</v>
      </c>
      <c r="AH185" s="38">
        <f t="shared" si="173"/>
        <v>0</v>
      </c>
      <c r="AI185" s="50" t="s">
        <v>93</v>
      </c>
      <c r="AJ185" s="80">
        <f t="shared" si="174"/>
        <v>0</v>
      </c>
      <c r="AK185" s="80">
        <f t="shared" si="175"/>
        <v>0</v>
      </c>
      <c r="AL185" s="80">
        <f t="shared" si="176"/>
        <v>0</v>
      </c>
      <c r="AN185" s="38">
        <v>21</v>
      </c>
      <c r="AO185" s="38">
        <f t="shared" si="177"/>
        <v>0</v>
      </c>
      <c r="AP185" s="38">
        <f t="shared" si="178"/>
        <v>0</v>
      </c>
      <c r="AQ185" s="83" t="s">
        <v>169</v>
      </c>
      <c r="AV185" s="38">
        <f t="shared" si="179"/>
        <v>0</v>
      </c>
      <c r="AW185" s="38">
        <f t="shared" si="180"/>
        <v>0</v>
      </c>
      <c r="AX185" s="38">
        <f t="shared" si="181"/>
        <v>0</v>
      </c>
      <c r="AY185" s="72" t="s">
        <v>2827</v>
      </c>
      <c r="AZ185" s="72" t="s">
        <v>2828</v>
      </c>
      <c r="BA185" s="50" t="s">
        <v>2563</v>
      </c>
      <c r="BC185" s="38">
        <f t="shared" si="182"/>
        <v>0</v>
      </c>
      <c r="BD185" s="38">
        <f t="shared" si="183"/>
        <v>0</v>
      </c>
      <c r="BE185" s="38">
        <v>0</v>
      </c>
      <c r="BF185" s="38">
        <f t="shared" si="184"/>
        <v>0</v>
      </c>
      <c r="BH185" s="80">
        <f t="shared" si="185"/>
        <v>0</v>
      </c>
      <c r="BI185" s="80">
        <f t="shared" si="186"/>
        <v>0</v>
      </c>
      <c r="BJ185" s="80">
        <f t="shared" si="187"/>
        <v>0</v>
      </c>
      <c r="BK185" s="80"/>
      <c r="BL185" s="38"/>
      <c r="BW185" s="38">
        <v>21</v>
      </c>
    </row>
    <row r="186" spans="1:75" ht="13.5" customHeight="1">
      <c r="A186" s="78" t="s">
        <v>1064</v>
      </c>
      <c r="B186" s="79" t="s">
        <v>93</v>
      </c>
      <c r="C186" s="79" t="s">
        <v>2843</v>
      </c>
      <c r="D186" s="198" t="s">
        <v>2844</v>
      </c>
      <c r="E186" s="199"/>
      <c r="F186" s="79" t="s">
        <v>2567</v>
      </c>
      <c r="G186" s="80">
        <f>'Stavební rozpočet'!G1507</f>
        <v>19</v>
      </c>
      <c r="H186" s="80">
        <f>'Stavební rozpočet'!H1507</f>
        <v>0</v>
      </c>
      <c r="I186" s="80">
        <f t="shared" si="164"/>
        <v>0</v>
      </c>
      <c r="J186" s="80">
        <f>'Stavební rozpočet'!J1507</f>
        <v>0</v>
      </c>
      <c r="K186" s="80">
        <f t="shared" si="165"/>
        <v>0</v>
      </c>
      <c r="L186" s="82" t="s">
        <v>207</v>
      </c>
      <c r="Z186" s="38">
        <f t="shared" si="166"/>
        <v>0</v>
      </c>
      <c r="AB186" s="38">
        <f t="shared" si="167"/>
        <v>0</v>
      </c>
      <c r="AC186" s="38">
        <f t="shared" si="168"/>
        <v>0</v>
      </c>
      <c r="AD186" s="38">
        <f t="shared" si="169"/>
        <v>0</v>
      </c>
      <c r="AE186" s="38">
        <f t="shared" si="170"/>
        <v>0</v>
      </c>
      <c r="AF186" s="38">
        <f t="shared" si="171"/>
        <v>0</v>
      </c>
      <c r="AG186" s="38">
        <f t="shared" si="172"/>
        <v>0</v>
      </c>
      <c r="AH186" s="38">
        <f t="shared" si="173"/>
        <v>0</v>
      </c>
      <c r="AI186" s="50" t="s">
        <v>93</v>
      </c>
      <c r="AJ186" s="80">
        <f t="shared" si="174"/>
        <v>0</v>
      </c>
      <c r="AK186" s="80">
        <f t="shared" si="175"/>
        <v>0</v>
      </c>
      <c r="AL186" s="80">
        <f t="shared" si="176"/>
        <v>0</v>
      </c>
      <c r="AN186" s="38">
        <v>21</v>
      </c>
      <c r="AO186" s="38">
        <f t="shared" si="177"/>
        <v>0</v>
      </c>
      <c r="AP186" s="38">
        <f t="shared" si="178"/>
        <v>0</v>
      </c>
      <c r="AQ186" s="83" t="s">
        <v>169</v>
      </c>
      <c r="AV186" s="38">
        <f t="shared" si="179"/>
        <v>0</v>
      </c>
      <c r="AW186" s="38">
        <f t="shared" si="180"/>
        <v>0</v>
      </c>
      <c r="AX186" s="38">
        <f t="shared" si="181"/>
        <v>0</v>
      </c>
      <c r="AY186" s="72" t="s">
        <v>2827</v>
      </c>
      <c r="AZ186" s="72" t="s">
        <v>2828</v>
      </c>
      <c r="BA186" s="50" t="s">
        <v>2563</v>
      </c>
      <c r="BC186" s="38">
        <f t="shared" si="182"/>
        <v>0</v>
      </c>
      <c r="BD186" s="38">
        <f t="shared" si="183"/>
        <v>0</v>
      </c>
      <c r="BE186" s="38">
        <v>0</v>
      </c>
      <c r="BF186" s="38">
        <f t="shared" si="184"/>
        <v>0</v>
      </c>
      <c r="BH186" s="80">
        <f t="shared" si="185"/>
        <v>0</v>
      </c>
      <c r="BI186" s="80">
        <f t="shared" si="186"/>
        <v>0</v>
      </c>
      <c r="BJ186" s="80">
        <f t="shared" si="187"/>
        <v>0</v>
      </c>
      <c r="BK186" s="80"/>
      <c r="BL186" s="38"/>
      <c r="BW186" s="38">
        <v>21</v>
      </c>
    </row>
    <row r="187" spans="1:75" ht="13.5" customHeight="1">
      <c r="A187" s="1" t="s">
        <v>1068</v>
      </c>
      <c r="B187" s="2" t="s">
        <v>93</v>
      </c>
      <c r="C187" s="2" t="s">
        <v>2817</v>
      </c>
      <c r="D187" s="108" t="s">
        <v>2818</v>
      </c>
      <c r="E187" s="103"/>
      <c r="F187" s="2" t="s">
        <v>2286</v>
      </c>
      <c r="G187" s="38">
        <f>'Stavební rozpočet'!G1508</f>
        <v>11</v>
      </c>
      <c r="H187" s="38">
        <f>'Stavební rozpočet'!H1508</f>
        <v>0</v>
      </c>
      <c r="I187" s="38">
        <f t="shared" si="164"/>
        <v>0</v>
      </c>
      <c r="J187" s="38">
        <f>'Stavební rozpočet'!J1508</f>
        <v>0</v>
      </c>
      <c r="K187" s="38">
        <f t="shared" si="165"/>
        <v>0</v>
      </c>
      <c r="L187" s="71" t="s">
        <v>207</v>
      </c>
      <c r="Z187" s="38">
        <f t="shared" si="166"/>
        <v>0</v>
      </c>
      <c r="AB187" s="38">
        <f t="shared" si="167"/>
        <v>0</v>
      </c>
      <c r="AC187" s="38">
        <f t="shared" si="168"/>
        <v>0</v>
      </c>
      <c r="AD187" s="38">
        <f t="shared" si="169"/>
        <v>0</v>
      </c>
      <c r="AE187" s="38">
        <f t="shared" si="170"/>
        <v>0</v>
      </c>
      <c r="AF187" s="38">
        <f t="shared" si="171"/>
        <v>0</v>
      </c>
      <c r="AG187" s="38">
        <f t="shared" si="172"/>
        <v>0</v>
      </c>
      <c r="AH187" s="38">
        <f t="shared" si="173"/>
        <v>0</v>
      </c>
      <c r="AI187" s="50" t="s">
        <v>93</v>
      </c>
      <c r="AJ187" s="38">
        <f t="shared" si="174"/>
        <v>0</v>
      </c>
      <c r="AK187" s="38">
        <f t="shared" si="175"/>
        <v>0</v>
      </c>
      <c r="AL187" s="38">
        <f t="shared" si="176"/>
        <v>0</v>
      </c>
      <c r="AN187" s="38">
        <v>21</v>
      </c>
      <c r="AO187" s="38">
        <f>H187*0</f>
        <v>0</v>
      </c>
      <c r="AP187" s="38">
        <f>H187*(1-0)</f>
        <v>0</v>
      </c>
      <c r="AQ187" s="72" t="s">
        <v>169</v>
      </c>
      <c r="AV187" s="38">
        <f t="shared" si="179"/>
        <v>0</v>
      </c>
      <c r="AW187" s="38">
        <f t="shared" si="180"/>
        <v>0</v>
      </c>
      <c r="AX187" s="38">
        <f t="shared" si="181"/>
        <v>0</v>
      </c>
      <c r="AY187" s="72" t="s">
        <v>2827</v>
      </c>
      <c r="AZ187" s="72" t="s">
        <v>2828</v>
      </c>
      <c r="BA187" s="50" t="s">
        <v>2563</v>
      </c>
      <c r="BC187" s="38">
        <f t="shared" si="182"/>
        <v>0</v>
      </c>
      <c r="BD187" s="38">
        <f t="shared" si="183"/>
        <v>0</v>
      </c>
      <c r="BE187" s="38">
        <v>0</v>
      </c>
      <c r="BF187" s="38">
        <f t="shared" si="184"/>
        <v>0</v>
      </c>
      <c r="BH187" s="38">
        <f t="shared" si="185"/>
        <v>0</v>
      </c>
      <c r="BI187" s="38">
        <f t="shared" si="186"/>
        <v>0</v>
      </c>
      <c r="BJ187" s="38">
        <f t="shared" si="187"/>
        <v>0</v>
      </c>
      <c r="BK187" s="38"/>
      <c r="BL187" s="38"/>
      <c r="BW187" s="38">
        <v>21</v>
      </c>
    </row>
    <row r="188" spans="1:12" ht="13.5" customHeight="1">
      <c r="A188" s="74"/>
      <c r="D188" s="194" t="s">
        <v>2969</v>
      </c>
      <c r="E188" s="195"/>
      <c r="F188" s="195"/>
      <c r="G188" s="195"/>
      <c r="H188" s="195"/>
      <c r="I188" s="195"/>
      <c r="J188" s="195"/>
      <c r="K188" s="195"/>
      <c r="L188" s="197"/>
    </row>
    <row r="189" spans="1:75" ht="27" customHeight="1">
      <c r="A189" s="78" t="s">
        <v>1073</v>
      </c>
      <c r="B189" s="79" t="s">
        <v>93</v>
      </c>
      <c r="C189" s="79" t="s">
        <v>2971</v>
      </c>
      <c r="D189" s="198" t="s">
        <v>2972</v>
      </c>
      <c r="E189" s="199"/>
      <c r="F189" s="79" t="s">
        <v>2567</v>
      </c>
      <c r="G189" s="80">
        <f>'Stavební rozpočet'!G1510</f>
        <v>1</v>
      </c>
      <c r="H189" s="80">
        <f>'Stavební rozpočet'!H1510</f>
        <v>0</v>
      </c>
      <c r="I189" s="80">
        <f aca="true" t="shared" si="188" ref="I189:I203">G189*H189</f>
        <v>0</v>
      </c>
      <c r="J189" s="80">
        <f>'Stavební rozpočet'!J1510</f>
        <v>0</v>
      </c>
      <c r="K189" s="80">
        <f aca="true" t="shared" si="189" ref="K189:K203">G189*J189</f>
        <v>0</v>
      </c>
      <c r="L189" s="82" t="s">
        <v>207</v>
      </c>
      <c r="Z189" s="38">
        <f aca="true" t="shared" si="190" ref="Z189:Z203">IF(AQ189="5",BJ189,0)</f>
        <v>0</v>
      </c>
      <c r="AB189" s="38">
        <f aca="true" t="shared" si="191" ref="AB189:AB203">IF(AQ189="1",BH189,0)</f>
        <v>0</v>
      </c>
      <c r="AC189" s="38">
        <f aca="true" t="shared" si="192" ref="AC189:AC203">IF(AQ189="1",BI189,0)</f>
        <v>0</v>
      </c>
      <c r="AD189" s="38">
        <f aca="true" t="shared" si="193" ref="AD189:AD203">IF(AQ189="7",BH189,0)</f>
        <v>0</v>
      </c>
      <c r="AE189" s="38">
        <f aca="true" t="shared" si="194" ref="AE189:AE203">IF(AQ189="7",BI189,0)</f>
        <v>0</v>
      </c>
      <c r="AF189" s="38">
        <f aca="true" t="shared" si="195" ref="AF189:AF203">IF(AQ189="2",BH189,0)</f>
        <v>0</v>
      </c>
      <c r="AG189" s="38">
        <f aca="true" t="shared" si="196" ref="AG189:AG203">IF(AQ189="2",BI189,0)</f>
        <v>0</v>
      </c>
      <c r="AH189" s="38">
        <f aca="true" t="shared" si="197" ref="AH189:AH203">IF(AQ189="0",BJ189,0)</f>
        <v>0</v>
      </c>
      <c r="AI189" s="50" t="s">
        <v>93</v>
      </c>
      <c r="AJ189" s="80">
        <f aca="true" t="shared" si="198" ref="AJ189:AJ203">IF(AN189=0,I189,0)</f>
        <v>0</v>
      </c>
      <c r="AK189" s="80">
        <f aca="true" t="shared" si="199" ref="AK189:AK203">IF(AN189=12,I189,0)</f>
        <v>0</v>
      </c>
      <c r="AL189" s="80">
        <f aca="true" t="shared" si="200" ref="AL189:AL203">IF(AN189=21,I189,0)</f>
        <v>0</v>
      </c>
      <c r="AN189" s="38">
        <v>21</v>
      </c>
      <c r="AO189" s="38">
        <f aca="true" t="shared" si="201" ref="AO189:AO203">H189*1</f>
        <v>0</v>
      </c>
      <c r="AP189" s="38">
        <f aca="true" t="shared" si="202" ref="AP189:AP203">H189*(1-1)</f>
        <v>0</v>
      </c>
      <c r="AQ189" s="83" t="s">
        <v>169</v>
      </c>
      <c r="AV189" s="38">
        <f aca="true" t="shared" si="203" ref="AV189:AV203">AW189+AX189</f>
        <v>0</v>
      </c>
      <c r="AW189" s="38">
        <f aca="true" t="shared" si="204" ref="AW189:AW203">G189*AO189</f>
        <v>0</v>
      </c>
      <c r="AX189" s="38">
        <f aca="true" t="shared" si="205" ref="AX189:AX203">G189*AP189</f>
        <v>0</v>
      </c>
      <c r="AY189" s="72" t="s">
        <v>2827</v>
      </c>
      <c r="AZ189" s="72" t="s">
        <v>2828</v>
      </c>
      <c r="BA189" s="50" t="s">
        <v>2563</v>
      </c>
      <c r="BC189" s="38">
        <f aca="true" t="shared" si="206" ref="BC189:BC203">AW189+AX189</f>
        <v>0</v>
      </c>
      <c r="BD189" s="38">
        <f aca="true" t="shared" si="207" ref="BD189:BD203">H189/(100-BE189)*100</f>
        <v>0</v>
      </c>
      <c r="BE189" s="38">
        <v>0</v>
      </c>
      <c r="BF189" s="38">
        <f aca="true" t="shared" si="208" ref="BF189:BF203">K189</f>
        <v>0</v>
      </c>
      <c r="BH189" s="80">
        <f aca="true" t="shared" si="209" ref="BH189:BH203">G189*AO189</f>
        <v>0</v>
      </c>
      <c r="BI189" s="80">
        <f aca="true" t="shared" si="210" ref="BI189:BI203">G189*AP189</f>
        <v>0</v>
      </c>
      <c r="BJ189" s="80">
        <f aca="true" t="shared" si="211" ref="BJ189:BJ203">G189*H189</f>
        <v>0</v>
      </c>
      <c r="BK189" s="80"/>
      <c r="BL189" s="38"/>
      <c r="BW189" s="38">
        <v>21</v>
      </c>
    </row>
    <row r="190" spans="1:75" ht="13.5" customHeight="1">
      <c r="A190" s="78" t="s">
        <v>1078</v>
      </c>
      <c r="B190" s="79" t="s">
        <v>93</v>
      </c>
      <c r="C190" s="79" t="s">
        <v>2913</v>
      </c>
      <c r="D190" s="198" t="s">
        <v>2832</v>
      </c>
      <c r="E190" s="199"/>
      <c r="F190" s="79" t="s">
        <v>2567</v>
      </c>
      <c r="G190" s="80">
        <f>'Stavební rozpočet'!G1511</f>
        <v>1</v>
      </c>
      <c r="H190" s="80">
        <f>'Stavební rozpočet'!H1511</f>
        <v>0</v>
      </c>
      <c r="I190" s="80">
        <f t="shared" si="188"/>
        <v>0</v>
      </c>
      <c r="J190" s="80">
        <f>'Stavební rozpočet'!J1511</f>
        <v>0</v>
      </c>
      <c r="K190" s="80">
        <f t="shared" si="189"/>
        <v>0</v>
      </c>
      <c r="L190" s="82" t="s">
        <v>207</v>
      </c>
      <c r="Z190" s="38">
        <f t="shared" si="190"/>
        <v>0</v>
      </c>
      <c r="AB190" s="38">
        <f t="shared" si="191"/>
        <v>0</v>
      </c>
      <c r="AC190" s="38">
        <f t="shared" si="192"/>
        <v>0</v>
      </c>
      <c r="AD190" s="38">
        <f t="shared" si="193"/>
        <v>0</v>
      </c>
      <c r="AE190" s="38">
        <f t="shared" si="194"/>
        <v>0</v>
      </c>
      <c r="AF190" s="38">
        <f t="shared" si="195"/>
        <v>0</v>
      </c>
      <c r="AG190" s="38">
        <f t="shared" si="196"/>
        <v>0</v>
      </c>
      <c r="AH190" s="38">
        <f t="shared" si="197"/>
        <v>0</v>
      </c>
      <c r="AI190" s="50" t="s">
        <v>93</v>
      </c>
      <c r="AJ190" s="80">
        <f t="shared" si="198"/>
        <v>0</v>
      </c>
      <c r="AK190" s="80">
        <f t="shared" si="199"/>
        <v>0</v>
      </c>
      <c r="AL190" s="80">
        <f t="shared" si="200"/>
        <v>0</v>
      </c>
      <c r="AN190" s="38">
        <v>21</v>
      </c>
      <c r="AO190" s="38">
        <f t="shared" si="201"/>
        <v>0</v>
      </c>
      <c r="AP190" s="38">
        <f t="shared" si="202"/>
        <v>0</v>
      </c>
      <c r="AQ190" s="83" t="s">
        <v>169</v>
      </c>
      <c r="AV190" s="38">
        <f t="shared" si="203"/>
        <v>0</v>
      </c>
      <c r="AW190" s="38">
        <f t="shared" si="204"/>
        <v>0</v>
      </c>
      <c r="AX190" s="38">
        <f t="shared" si="205"/>
        <v>0</v>
      </c>
      <c r="AY190" s="72" t="s">
        <v>2827</v>
      </c>
      <c r="AZ190" s="72" t="s">
        <v>2828</v>
      </c>
      <c r="BA190" s="50" t="s">
        <v>2563</v>
      </c>
      <c r="BC190" s="38">
        <f t="shared" si="206"/>
        <v>0</v>
      </c>
      <c r="BD190" s="38">
        <f t="shared" si="207"/>
        <v>0</v>
      </c>
      <c r="BE190" s="38">
        <v>0</v>
      </c>
      <c r="BF190" s="38">
        <f t="shared" si="208"/>
        <v>0</v>
      </c>
      <c r="BH190" s="80">
        <f t="shared" si="209"/>
        <v>0</v>
      </c>
      <c r="BI190" s="80">
        <f t="shared" si="210"/>
        <v>0</v>
      </c>
      <c r="BJ190" s="80">
        <f t="shared" si="211"/>
        <v>0</v>
      </c>
      <c r="BK190" s="80"/>
      <c r="BL190" s="38"/>
      <c r="BW190" s="38">
        <v>21</v>
      </c>
    </row>
    <row r="191" spans="1:75" ht="13.5" customHeight="1">
      <c r="A191" s="78" t="s">
        <v>1084</v>
      </c>
      <c r="B191" s="79" t="s">
        <v>93</v>
      </c>
      <c r="C191" s="79" t="s">
        <v>2915</v>
      </c>
      <c r="D191" s="198" t="s">
        <v>2835</v>
      </c>
      <c r="E191" s="199"/>
      <c r="F191" s="79" t="s">
        <v>2567</v>
      </c>
      <c r="G191" s="80">
        <f>'Stavební rozpočet'!G1512</f>
        <v>1</v>
      </c>
      <c r="H191" s="80">
        <f>'Stavební rozpočet'!H1512</f>
        <v>0</v>
      </c>
      <c r="I191" s="80">
        <f t="shared" si="188"/>
        <v>0</v>
      </c>
      <c r="J191" s="80">
        <f>'Stavební rozpočet'!J1512</f>
        <v>0</v>
      </c>
      <c r="K191" s="80">
        <f t="shared" si="189"/>
        <v>0</v>
      </c>
      <c r="L191" s="82" t="s">
        <v>207</v>
      </c>
      <c r="Z191" s="38">
        <f t="shared" si="190"/>
        <v>0</v>
      </c>
      <c r="AB191" s="38">
        <f t="shared" si="191"/>
        <v>0</v>
      </c>
      <c r="AC191" s="38">
        <f t="shared" si="192"/>
        <v>0</v>
      </c>
      <c r="AD191" s="38">
        <f t="shared" si="193"/>
        <v>0</v>
      </c>
      <c r="AE191" s="38">
        <f t="shared" si="194"/>
        <v>0</v>
      </c>
      <c r="AF191" s="38">
        <f t="shared" si="195"/>
        <v>0</v>
      </c>
      <c r="AG191" s="38">
        <f t="shared" si="196"/>
        <v>0</v>
      </c>
      <c r="AH191" s="38">
        <f t="shared" si="197"/>
        <v>0</v>
      </c>
      <c r="AI191" s="50" t="s">
        <v>93</v>
      </c>
      <c r="AJ191" s="80">
        <f t="shared" si="198"/>
        <v>0</v>
      </c>
      <c r="AK191" s="80">
        <f t="shared" si="199"/>
        <v>0</v>
      </c>
      <c r="AL191" s="80">
        <f t="shared" si="200"/>
        <v>0</v>
      </c>
      <c r="AN191" s="38">
        <v>21</v>
      </c>
      <c r="AO191" s="38">
        <f t="shared" si="201"/>
        <v>0</v>
      </c>
      <c r="AP191" s="38">
        <f t="shared" si="202"/>
        <v>0</v>
      </c>
      <c r="AQ191" s="83" t="s">
        <v>169</v>
      </c>
      <c r="AV191" s="38">
        <f t="shared" si="203"/>
        <v>0</v>
      </c>
      <c r="AW191" s="38">
        <f t="shared" si="204"/>
        <v>0</v>
      </c>
      <c r="AX191" s="38">
        <f t="shared" si="205"/>
        <v>0</v>
      </c>
      <c r="AY191" s="72" t="s">
        <v>2827</v>
      </c>
      <c r="AZ191" s="72" t="s">
        <v>2828</v>
      </c>
      <c r="BA191" s="50" t="s">
        <v>2563</v>
      </c>
      <c r="BC191" s="38">
        <f t="shared" si="206"/>
        <v>0</v>
      </c>
      <c r="BD191" s="38">
        <f t="shared" si="207"/>
        <v>0</v>
      </c>
      <c r="BE191" s="38">
        <v>0</v>
      </c>
      <c r="BF191" s="38">
        <f t="shared" si="208"/>
        <v>0</v>
      </c>
      <c r="BH191" s="80">
        <f t="shared" si="209"/>
        <v>0</v>
      </c>
      <c r="BI191" s="80">
        <f t="shared" si="210"/>
        <v>0</v>
      </c>
      <c r="BJ191" s="80">
        <f t="shared" si="211"/>
        <v>0</v>
      </c>
      <c r="BK191" s="80"/>
      <c r="BL191" s="38"/>
      <c r="BW191" s="38">
        <v>21</v>
      </c>
    </row>
    <row r="192" spans="1:75" ht="27" customHeight="1">
      <c r="A192" s="78" t="s">
        <v>1089</v>
      </c>
      <c r="B192" s="79" t="s">
        <v>93</v>
      </c>
      <c r="C192" s="79" t="s">
        <v>2976</v>
      </c>
      <c r="D192" s="198" t="s">
        <v>2977</v>
      </c>
      <c r="E192" s="199"/>
      <c r="F192" s="79" t="s">
        <v>2567</v>
      </c>
      <c r="G192" s="80">
        <f>'Stavební rozpočet'!G1513</f>
        <v>1</v>
      </c>
      <c r="H192" s="80">
        <f>'Stavební rozpočet'!H1513</f>
        <v>0</v>
      </c>
      <c r="I192" s="80">
        <f t="shared" si="188"/>
        <v>0</v>
      </c>
      <c r="J192" s="80">
        <f>'Stavební rozpočet'!J1513</f>
        <v>0</v>
      </c>
      <c r="K192" s="80">
        <f t="shared" si="189"/>
        <v>0</v>
      </c>
      <c r="L192" s="82" t="s">
        <v>207</v>
      </c>
      <c r="Z192" s="38">
        <f t="shared" si="190"/>
        <v>0</v>
      </c>
      <c r="AB192" s="38">
        <f t="shared" si="191"/>
        <v>0</v>
      </c>
      <c r="AC192" s="38">
        <f t="shared" si="192"/>
        <v>0</v>
      </c>
      <c r="AD192" s="38">
        <f t="shared" si="193"/>
        <v>0</v>
      </c>
      <c r="AE192" s="38">
        <f t="shared" si="194"/>
        <v>0</v>
      </c>
      <c r="AF192" s="38">
        <f t="shared" si="195"/>
        <v>0</v>
      </c>
      <c r="AG192" s="38">
        <f t="shared" si="196"/>
        <v>0</v>
      </c>
      <c r="AH192" s="38">
        <f t="shared" si="197"/>
        <v>0</v>
      </c>
      <c r="AI192" s="50" t="s">
        <v>93</v>
      </c>
      <c r="AJ192" s="80">
        <f t="shared" si="198"/>
        <v>0</v>
      </c>
      <c r="AK192" s="80">
        <f t="shared" si="199"/>
        <v>0</v>
      </c>
      <c r="AL192" s="80">
        <f t="shared" si="200"/>
        <v>0</v>
      </c>
      <c r="AN192" s="38">
        <v>21</v>
      </c>
      <c r="AO192" s="38">
        <f t="shared" si="201"/>
        <v>0</v>
      </c>
      <c r="AP192" s="38">
        <f t="shared" si="202"/>
        <v>0</v>
      </c>
      <c r="AQ192" s="83" t="s">
        <v>169</v>
      </c>
      <c r="AV192" s="38">
        <f t="shared" si="203"/>
        <v>0</v>
      </c>
      <c r="AW192" s="38">
        <f t="shared" si="204"/>
        <v>0</v>
      </c>
      <c r="AX192" s="38">
        <f t="shared" si="205"/>
        <v>0</v>
      </c>
      <c r="AY192" s="72" t="s">
        <v>2827</v>
      </c>
      <c r="AZ192" s="72" t="s">
        <v>2828</v>
      </c>
      <c r="BA192" s="50" t="s">
        <v>2563</v>
      </c>
      <c r="BC192" s="38">
        <f t="shared" si="206"/>
        <v>0</v>
      </c>
      <c r="BD192" s="38">
        <f t="shared" si="207"/>
        <v>0</v>
      </c>
      <c r="BE192" s="38">
        <v>0</v>
      </c>
      <c r="BF192" s="38">
        <f t="shared" si="208"/>
        <v>0</v>
      </c>
      <c r="BH192" s="80">
        <f t="shared" si="209"/>
        <v>0</v>
      </c>
      <c r="BI192" s="80">
        <f t="shared" si="210"/>
        <v>0</v>
      </c>
      <c r="BJ192" s="80">
        <f t="shared" si="211"/>
        <v>0</v>
      </c>
      <c r="BK192" s="80"/>
      <c r="BL192" s="38"/>
      <c r="BW192" s="38">
        <v>21</v>
      </c>
    </row>
    <row r="193" spans="1:75" ht="27" customHeight="1">
      <c r="A193" s="78" t="s">
        <v>1094</v>
      </c>
      <c r="B193" s="79" t="s">
        <v>93</v>
      </c>
      <c r="C193" s="79" t="s">
        <v>2877</v>
      </c>
      <c r="D193" s="198" t="s">
        <v>2878</v>
      </c>
      <c r="E193" s="199"/>
      <c r="F193" s="79" t="s">
        <v>2567</v>
      </c>
      <c r="G193" s="80">
        <f>'Stavební rozpočet'!G1514</f>
        <v>1</v>
      </c>
      <c r="H193" s="80">
        <f>'Stavební rozpočet'!H1514</f>
        <v>0</v>
      </c>
      <c r="I193" s="80">
        <f t="shared" si="188"/>
        <v>0</v>
      </c>
      <c r="J193" s="80">
        <f>'Stavební rozpočet'!J1514</f>
        <v>0</v>
      </c>
      <c r="K193" s="80">
        <f t="shared" si="189"/>
        <v>0</v>
      </c>
      <c r="L193" s="82" t="s">
        <v>207</v>
      </c>
      <c r="Z193" s="38">
        <f t="shared" si="190"/>
        <v>0</v>
      </c>
      <c r="AB193" s="38">
        <f t="shared" si="191"/>
        <v>0</v>
      </c>
      <c r="AC193" s="38">
        <f t="shared" si="192"/>
        <v>0</v>
      </c>
      <c r="AD193" s="38">
        <f t="shared" si="193"/>
        <v>0</v>
      </c>
      <c r="AE193" s="38">
        <f t="shared" si="194"/>
        <v>0</v>
      </c>
      <c r="AF193" s="38">
        <f t="shared" si="195"/>
        <v>0</v>
      </c>
      <c r="AG193" s="38">
        <f t="shared" si="196"/>
        <v>0</v>
      </c>
      <c r="AH193" s="38">
        <f t="shared" si="197"/>
        <v>0</v>
      </c>
      <c r="AI193" s="50" t="s">
        <v>93</v>
      </c>
      <c r="AJ193" s="80">
        <f t="shared" si="198"/>
        <v>0</v>
      </c>
      <c r="AK193" s="80">
        <f t="shared" si="199"/>
        <v>0</v>
      </c>
      <c r="AL193" s="80">
        <f t="shared" si="200"/>
        <v>0</v>
      </c>
      <c r="AN193" s="38">
        <v>21</v>
      </c>
      <c r="AO193" s="38">
        <f t="shared" si="201"/>
        <v>0</v>
      </c>
      <c r="AP193" s="38">
        <f t="shared" si="202"/>
        <v>0</v>
      </c>
      <c r="AQ193" s="83" t="s">
        <v>169</v>
      </c>
      <c r="AV193" s="38">
        <f t="shared" si="203"/>
        <v>0</v>
      </c>
      <c r="AW193" s="38">
        <f t="shared" si="204"/>
        <v>0</v>
      </c>
      <c r="AX193" s="38">
        <f t="shared" si="205"/>
        <v>0</v>
      </c>
      <c r="AY193" s="72" t="s">
        <v>2827</v>
      </c>
      <c r="AZ193" s="72" t="s">
        <v>2828</v>
      </c>
      <c r="BA193" s="50" t="s">
        <v>2563</v>
      </c>
      <c r="BC193" s="38">
        <f t="shared" si="206"/>
        <v>0</v>
      </c>
      <c r="BD193" s="38">
        <f t="shared" si="207"/>
        <v>0</v>
      </c>
      <c r="BE193" s="38">
        <v>0</v>
      </c>
      <c r="BF193" s="38">
        <f t="shared" si="208"/>
        <v>0</v>
      </c>
      <c r="BH193" s="80">
        <f t="shared" si="209"/>
        <v>0</v>
      </c>
      <c r="BI193" s="80">
        <f t="shared" si="210"/>
        <v>0</v>
      </c>
      <c r="BJ193" s="80">
        <f t="shared" si="211"/>
        <v>0</v>
      </c>
      <c r="BK193" s="80"/>
      <c r="BL193" s="38"/>
      <c r="BW193" s="38">
        <v>21</v>
      </c>
    </row>
    <row r="194" spans="1:75" ht="13.5" customHeight="1">
      <c r="A194" s="78" t="s">
        <v>1099</v>
      </c>
      <c r="B194" s="79" t="s">
        <v>93</v>
      </c>
      <c r="C194" s="79" t="s">
        <v>2880</v>
      </c>
      <c r="D194" s="198" t="s">
        <v>2881</v>
      </c>
      <c r="E194" s="199"/>
      <c r="F194" s="79" t="s">
        <v>2567</v>
      </c>
      <c r="G194" s="80">
        <f>'Stavební rozpočet'!G1515</f>
        <v>3</v>
      </c>
      <c r="H194" s="80">
        <f>'Stavební rozpočet'!H1515</f>
        <v>0</v>
      </c>
      <c r="I194" s="80">
        <f t="shared" si="188"/>
        <v>0</v>
      </c>
      <c r="J194" s="80">
        <f>'Stavební rozpočet'!J1515</f>
        <v>0</v>
      </c>
      <c r="K194" s="80">
        <f t="shared" si="189"/>
        <v>0</v>
      </c>
      <c r="L194" s="82" t="s">
        <v>207</v>
      </c>
      <c r="Z194" s="38">
        <f t="shared" si="190"/>
        <v>0</v>
      </c>
      <c r="AB194" s="38">
        <f t="shared" si="191"/>
        <v>0</v>
      </c>
      <c r="AC194" s="38">
        <f t="shared" si="192"/>
        <v>0</v>
      </c>
      <c r="AD194" s="38">
        <f t="shared" si="193"/>
        <v>0</v>
      </c>
      <c r="AE194" s="38">
        <f t="shared" si="194"/>
        <v>0</v>
      </c>
      <c r="AF194" s="38">
        <f t="shared" si="195"/>
        <v>0</v>
      </c>
      <c r="AG194" s="38">
        <f t="shared" si="196"/>
        <v>0</v>
      </c>
      <c r="AH194" s="38">
        <f t="shared" si="197"/>
        <v>0</v>
      </c>
      <c r="AI194" s="50" t="s">
        <v>93</v>
      </c>
      <c r="AJ194" s="80">
        <f t="shared" si="198"/>
        <v>0</v>
      </c>
      <c r="AK194" s="80">
        <f t="shared" si="199"/>
        <v>0</v>
      </c>
      <c r="AL194" s="80">
        <f t="shared" si="200"/>
        <v>0</v>
      </c>
      <c r="AN194" s="38">
        <v>21</v>
      </c>
      <c r="AO194" s="38">
        <f t="shared" si="201"/>
        <v>0</v>
      </c>
      <c r="AP194" s="38">
        <f t="shared" si="202"/>
        <v>0</v>
      </c>
      <c r="AQ194" s="83" t="s">
        <v>169</v>
      </c>
      <c r="AV194" s="38">
        <f t="shared" si="203"/>
        <v>0</v>
      </c>
      <c r="AW194" s="38">
        <f t="shared" si="204"/>
        <v>0</v>
      </c>
      <c r="AX194" s="38">
        <f t="shared" si="205"/>
        <v>0</v>
      </c>
      <c r="AY194" s="72" t="s">
        <v>2827</v>
      </c>
      <c r="AZ194" s="72" t="s">
        <v>2828</v>
      </c>
      <c r="BA194" s="50" t="s">
        <v>2563</v>
      </c>
      <c r="BC194" s="38">
        <f t="shared" si="206"/>
        <v>0</v>
      </c>
      <c r="BD194" s="38">
        <f t="shared" si="207"/>
        <v>0</v>
      </c>
      <c r="BE194" s="38">
        <v>0</v>
      </c>
      <c r="BF194" s="38">
        <f t="shared" si="208"/>
        <v>0</v>
      </c>
      <c r="BH194" s="80">
        <f t="shared" si="209"/>
        <v>0</v>
      </c>
      <c r="BI194" s="80">
        <f t="shared" si="210"/>
        <v>0</v>
      </c>
      <c r="BJ194" s="80">
        <f t="shared" si="211"/>
        <v>0</v>
      </c>
      <c r="BK194" s="80"/>
      <c r="BL194" s="38"/>
      <c r="BW194" s="38">
        <v>21</v>
      </c>
    </row>
    <row r="195" spans="1:75" ht="27" customHeight="1">
      <c r="A195" s="78" t="s">
        <v>1103</v>
      </c>
      <c r="B195" s="79" t="s">
        <v>93</v>
      </c>
      <c r="C195" s="79" t="s">
        <v>2883</v>
      </c>
      <c r="D195" s="198" t="s">
        <v>2884</v>
      </c>
      <c r="E195" s="199"/>
      <c r="F195" s="79" t="s">
        <v>2567</v>
      </c>
      <c r="G195" s="80">
        <f>'Stavební rozpočet'!G1516</f>
        <v>1</v>
      </c>
      <c r="H195" s="80">
        <f>'Stavební rozpočet'!H1516</f>
        <v>0</v>
      </c>
      <c r="I195" s="80">
        <f t="shared" si="188"/>
        <v>0</v>
      </c>
      <c r="J195" s="80">
        <f>'Stavební rozpočet'!J1516</f>
        <v>0</v>
      </c>
      <c r="K195" s="80">
        <f t="shared" si="189"/>
        <v>0</v>
      </c>
      <c r="L195" s="82" t="s">
        <v>207</v>
      </c>
      <c r="Z195" s="38">
        <f t="shared" si="190"/>
        <v>0</v>
      </c>
      <c r="AB195" s="38">
        <f t="shared" si="191"/>
        <v>0</v>
      </c>
      <c r="AC195" s="38">
        <f t="shared" si="192"/>
        <v>0</v>
      </c>
      <c r="AD195" s="38">
        <f t="shared" si="193"/>
        <v>0</v>
      </c>
      <c r="AE195" s="38">
        <f t="shared" si="194"/>
        <v>0</v>
      </c>
      <c r="AF195" s="38">
        <f t="shared" si="195"/>
        <v>0</v>
      </c>
      <c r="AG195" s="38">
        <f t="shared" si="196"/>
        <v>0</v>
      </c>
      <c r="AH195" s="38">
        <f t="shared" si="197"/>
        <v>0</v>
      </c>
      <c r="AI195" s="50" t="s">
        <v>93</v>
      </c>
      <c r="AJ195" s="80">
        <f t="shared" si="198"/>
        <v>0</v>
      </c>
      <c r="AK195" s="80">
        <f t="shared" si="199"/>
        <v>0</v>
      </c>
      <c r="AL195" s="80">
        <f t="shared" si="200"/>
        <v>0</v>
      </c>
      <c r="AN195" s="38">
        <v>21</v>
      </c>
      <c r="AO195" s="38">
        <f t="shared" si="201"/>
        <v>0</v>
      </c>
      <c r="AP195" s="38">
        <f t="shared" si="202"/>
        <v>0</v>
      </c>
      <c r="AQ195" s="83" t="s">
        <v>169</v>
      </c>
      <c r="AV195" s="38">
        <f t="shared" si="203"/>
        <v>0</v>
      </c>
      <c r="AW195" s="38">
        <f t="shared" si="204"/>
        <v>0</v>
      </c>
      <c r="AX195" s="38">
        <f t="shared" si="205"/>
        <v>0</v>
      </c>
      <c r="AY195" s="72" t="s">
        <v>2827</v>
      </c>
      <c r="AZ195" s="72" t="s">
        <v>2828</v>
      </c>
      <c r="BA195" s="50" t="s">
        <v>2563</v>
      </c>
      <c r="BC195" s="38">
        <f t="shared" si="206"/>
        <v>0</v>
      </c>
      <c r="BD195" s="38">
        <f t="shared" si="207"/>
        <v>0</v>
      </c>
      <c r="BE195" s="38">
        <v>0</v>
      </c>
      <c r="BF195" s="38">
        <f t="shared" si="208"/>
        <v>0</v>
      </c>
      <c r="BH195" s="80">
        <f t="shared" si="209"/>
        <v>0</v>
      </c>
      <c r="BI195" s="80">
        <f t="shared" si="210"/>
        <v>0</v>
      </c>
      <c r="BJ195" s="80">
        <f t="shared" si="211"/>
        <v>0</v>
      </c>
      <c r="BK195" s="80"/>
      <c r="BL195" s="38"/>
      <c r="BW195" s="38">
        <v>21</v>
      </c>
    </row>
    <row r="196" spans="1:75" ht="27" customHeight="1">
      <c r="A196" s="78" t="s">
        <v>1107</v>
      </c>
      <c r="B196" s="79" t="s">
        <v>93</v>
      </c>
      <c r="C196" s="79" t="s">
        <v>2889</v>
      </c>
      <c r="D196" s="198" t="s">
        <v>2890</v>
      </c>
      <c r="E196" s="199"/>
      <c r="F196" s="79" t="s">
        <v>2567</v>
      </c>
      <c r="G196" s="80">
        <f>'Stavební rozpočet'!G1517</f>
        <v>3</v>
      </c>
      <c r="H196" s="80">
        <f>'Stavební rozpočet'!H1517</f>
        <v>0</v>
      </c>
      <c r="I196" s="80">
        <f t="shared" si="188"/>
        <v>0</v>
      </c>
      <c r="J196" s="80">
        <f>'Stavební rozpočet'!J1517</f>
        <v>0</v>
      </c>
      <c r="K196" s="80">
        <f t="shared" si="189"/>
        <v>0</v>
      </c>
      <c r="L196" s="82" t="s">
        <v>207</v>
      </c>
      <c r="Z196" s="38">
        <f t="shared" si="190"/>
        <v>0</v>
      </c>
      <c r="AB196" s="38">
        <f t="shared" si="191"/>
        <v>0</v>
      </c>
      <c r="AC196" s="38">
        <f t="shared" si="192"/>
        <v>0</v>
      </c>
      <c r="AD196" s="38">
        <f t="shared" si="193"/>
        <v>0</v>
      </c>
      <c r="AE196" s="38">
        <f t="shared" si="194"/>
        <v>0</v>
      </c>
      <c r="AF196" s="38">
        <f t="shared" si="195"/>
        <v>0</v>
      </c>
      <c r="AG196" s="38">
        <f t="shared" si="196"/>
        <v>0</v>
      </c>
      <c r="AH196" s="38">
        <f t="shared" si="197"/>
        <v>0</v>
      </c>
      <c r="AI196" s="50" t="s">
        <v>93</v>
      </c>
      <c r="AJ196" s="80">
        <f t="shared" si="198"/>
        <v>0</v>
      </c>
      <c r="AK196" s="80">
        <f t="shared" si="199"/>
        <v>0</v>
      </c>
      <c r="AL196" s="80">
        <f t="shared" si="200"/>
        <v>0</v>
      </c>
      <c r="AN196" s="38">
        <v>21</v>
      </c>
      <c r="AO196" s="38">
        <f t="shared" si="201"/>
        <v>0</v>
      </c>
      <c r="AP196" s="38">
        <f t="shared" si="202"/>
        <v>0</v>
      </c>
      <c r="AQ196" s="83" t="s">
        <v>169</v>
      </c>
      <c r="AV196" s="38">
        <f t="shared" si="203"/>
        <v>0</v>
      </c>
      <c r="AW196" s="38">
        <f t="shared" si="204"/>
        <v>0</v>
      </c>
      <c r="AX196" s="38">
        <f t="shared" si="205"/>
        <v>0</v>
      </c>
      <c r="AY196" s="72" t="s">
        <v>2827</v>
      </c>
      <c r="AZ196" s="72" t="s">
        <v>2828</v>
      </c>
      <c r="BA196" s="50" t="s">
        <v>2563</v>
      </c>
      <c r="BC196" s="38">
        <f t="shared" si="206"/>
        <v>0</v>
      </c>
      <c r="BD196" s="38">
        <f t="shared" si="207"/>
        <v>0</v>
      </c>
      <c r="BE196" s="38">
        <v>0</v>
      </c>
      <c r="BF196" s="38">
        <f t="shared" si="208"/>
        <v>0</v>
      </c>
      <c r="BH196" s="80">
        <f t="shared" si="209"/>
        <v>0</v>
      </c>
      <c r="BI196" s="80">
        <f t="shared" si="210"/>
        <v>0</v>
      </c>
      <c r="BJ196" s="80">
        <f t="shared" si="211"/>
        <v>0</v>
      </c>
      <c r="BK196" s="80"/>
      <c r="BL196" s="38"/>
      <c r="BW196" s="38">
        <v>21</v>
      </c>
    </row>
    <row r="197" spans="1:75" ht="27" customHeight="1">
      <c r="A197" s="78" t="s">
        <v>1110</v>
      </c>
      <c r="B197" s="79" t="s">
        <v>93</v>
      </c>
      <c r="C197" s="79" t="s">
        <v>2892</v>
      </c>
      <c r="D197" s="198" t="s">
        <v>2893</v>
      </c>
      <c r="E197" s="199"/>
      <c r="F197" s="79" t="s">
        <v>2567</v>
      </c>
      <c r="G197" s="80">
        <f>'Stavební rozpočet'!G1518</f>
        <v>8</v>
      </c>
      <c r="H197" s="80">
        <f>'Stavební rozpočet'!H1518</f>
        <v>0</v>
      </c>
      <c r="I197" s="80">
        <f t="shared" si="188"/>
        <v>0</v>
      </c>
      <c r="J197" s="80">
        <f>'Stavební rozpočet'!J1518</f>
        <v>0</v>
      </c>
      <c r="K197" s="80">
        <f t="shared" si="189"/>
        <v>0</v>
      </c>
      <c r="L197" s="82" t="s">
        <v>207</v>
      </c>
      <c r="Z197" s="38">
        <f t="shared" si="190"/>
        <v>0</v>
      </c>
      <c r="AB197" s="38">
        <f t="shared" si="191"/>
        <v>0</v>
      </c>
      <c r="AC197" s="38">
        <f t="shared" si="192"/>
        <v>0</v>
      </c>
      <c r="AD197" s="38">
        <f t="shared" si="193"/>
        <v>0</v>
      </c>
      <c r="AE197" s="38">
        <f t="shared" si="194"/>
        <v>0</v>
      </c>
      <c r="AF197" s="38">
        <f t="shared" si="195"/>
        <v>0</v>
      </c>
      <c r="AG197" s="38">
        <f t="shared" si="196"/>
        <v>0</v>
      </c>
      <c r="AH197" s="38">
        <f t="shared" si="197"/>
        <v>0</v>
      </c>
      <c r="AI197" s="50" t="s">
        <v>93</v>
      </c>
      <c r="AJ197" s="80">
        <f t="shared" si="198"/>
        <v>0</v>
      </c>
      <c r="AK197" s="80">
        <f t="shared" si="199"/>
        <v>0</v>
      </c>
      <c r="AL197" s="80">
        <f t="shared" si="200"/>
        <v>0</v>
      </c>
      <c r="AN197" s="38">
        <v>21</v>
      </c>
      <c r="AO197" s="38">
        <f t="shared" si="201"/>
        <v>0</v>
      </c>
      <c r="AP197" s="38">
        <f t="shared" si="202"/>
        <v>0</v>
      </c>
      <c r="AQ197" s="83" t="s">
        <v>169</v>
      </c>
      <c r="AV197" s="38">
        <f t="shared" si="203"/>
        <v>0</v>
      </c>
      <c r="AW197" s="38">
        <f t="shared" si="204"/>
        <v>0</v>
      </c>
      <c r="AX197" s="38">
        <f t="shared" si="205"/>
        <v>0</v>
      </c>
      <c r="AY197" s="72" t="s">
        <v>2827</v>
      </c>
      <c r="AZ197" s="72" t="s">
        <v>2828</v>
      </c>
      <c r="BA197" s="50" t="s">
        <v>2563</v>
      </c>
      <c r="BC197" s="38">
        <f t="shared" si="206"/>
        <v>0</v>
      </c>
      <c r="BD197" s="38">
        <f t="shared" si="207"/>
        <v>0</v>
      </c>
      <c r="BE197" s="38">
        <v>0</v>
      </c>
      <c r="BF197" s="38">
        <f t="shared" si="208"/>
        <v>0</v>
      </c>
      <c r="BH197" s="80">
        <f t="shared" si="209"/>
        <v>0</v>
      </c>
      <c r="BI197" s="80">
        <f t="shared" si="210"/>
        <v>0</v>
      </c>
      <c r="BJ197" s="80">
        <f t="shared" si="211"/>
        <v>0</v>
      </c>
      <c r="BK197" s="80"/>
      <c r="BL197" s="38"/>
      <c r="BW197" s="38">
        <v>21</v>
      </c>
    </row>
    <row r="198" spans="1:75" ht="13.5" customHeight="1">
      <c r="A198" s="78" t="s">
        <v>1113</v>
      </c>
      <c r="B198" s="79" t="s">
        <v>93</v>
      </c>
      <c r="C198" s="79" t="s">
        <v>2843</v>
      </c>
      <c r="D198" s="198" t="s">
        <v>2844</v>
      </c>
      <c r="E198" s="199"/>
      <c r="F198" s="79" t="s">
        <v>2567</v>
      </c>
      <c r="G198" s="80">
        <f>'Stavební rozpočet'!G1519</f>
        <v>11</v>
      </c>
      <c r="H198" s="80">
        <f>'Stavební rozpočet'!H1519</f>
        <v>0</v>
      </c>
      <c r="I198" s="80">
        <f t="shared" si="188"/>
        <v>0</v>
      </c>
      <c r="J198" s="80">
        <f>'Stavební rozpočet'!J1519</f>
        <v>0</v>
      </c>
      <c r="K198" s="80">
        <f t="shared" si="189"/>
        <v>0</v>
      </c>
      <c r="L198" s="82" t="s">
        <v>207</v>
      </c>
      <c r="Z198" s="38">
        <f t="shared" si="190"/>
        <v>0</v>
      </c>
      <c r="AB198" s="38">
        <f t="shared" si="191"/>
        <v>0</v>
      </c>
      <c r="AC198" s="38">
        <f t="shared" si="192"/>
        <v>0</v>
      </c>
      <c r="AD198" s="38">
        <f t="shared" si="193"/>
        <v>0</v>
      </c>
      <c r="AE198" s="38">
        <f t="shared" si="194"/>
        <v>0</v>
      </c>
      <c r="AF198" s="38">
        <f t="shared" si="195"/>
        <v>0</v>
      </c>
      <c r="AG198" s="38">
        <f t="shared" si="196"/>
        <v>0</v>
      </c>
      <c r="AH198" s="38">
        <f t="shared" si="197"/>
        <v>0</v>
      </c>
      <c r="AI198" s="50" t="s">
        <v>93</v>
      </c>
      <c r="AJ198" s="80">
        <f t="shared" si="198"/>
        <v>0</v>
      </c>
      <c r="AK198" s="80">
        <f t="shared" si="199"/>
        <v>0</v>
      </c>
      <c r="AL198" s="80">
        <f t="shared" si="200"/>
        <v>0</v>
      </c>
      <c r="AN198" s="38">
        <v>21</v>
      </c>
      <c r="AO198" s="38">
        <f t="shared" si="201"/>
        <v>0</v>
      </c>
      <c r="AP198" s="38">
        <f t="shared" si="202"/>
        <v>0</v>
      </c>
      <c r="AQ198" s="83" t="s">
        <v>169</v>
      </c>
      <c r="AV198" s="38">
        <f t="shared" si="203"/>
        <v>0</v>
      </c>
      <c r="AW198" s="38">
        <f t="shared" si="204"/>
        <v>0</v>
      </c>
      <c r="AX198" s="38">
        <f t="shared" si="205"/>
        <v>0</v>
      </c>
      <c r="AY198" s="72" t="s">
        <v>2827</v>
      </c>
      <c r="AZ198" s="72" t="s">
        <v>2828</v>
      </c>
      <c r="BA198" s="50" t="s">
        <v>2563</v>
      </c>
      <c r="BC198" s="38">
        <f t="shared" si="206"/>
        <v>0</v>
      </c>
      <c r="BD198" s="38">
        <f t="shared" si="207"/>
        <v>0</v>
      </c>
      <c r="BE198" s="38">
        <v>0</v>
      </c>
      <c r="BF198" s="38">
        <f t="shared" si="208"/>
        <v>0</v>
      </c>
      <c r="BH198" s="80">
        <f t="shared" si="209"/>
        <v>0</v>
      </c>
      <c r="BI198" s="80">
        <f t="shared" si="210"/>
        <v>0</v>
      </c>
      <c r="BJ198" s="80">
        <f t="shared" si="211"/>
        <v>0</v>
      </c>
      <c r="BK198" s="80"/>
      <c r="BL198" s="38"/>
      <c r="BW198" s="38">
        <v>21</v>
      </c>
    </row>
    <row r="199" spans="1:75" ht="13.5" customHeight="1">
      <c r="A199" s="78" t="s">
        <v>1116</v>
      </c>
      <c r="B199" s="79" t="s">
        <v>93</v>
      </c>
      <c r="C199" s="79" t="s">
        <v>2846</v>
      </c>
      <c r="D199" s="198" t="s">
        <v>2847</v>
      </c>
      <c r="E199" s="199"/>
      <c r="F199" s="79" t="s">
        <v>2567</v>
      </c>
      <c r="G199" s="80">
        <f>'Stavební rozpočet'!G1520</f>
        <v>11</v>
      </c>
      <c r="H199" s="80">
        <f>'Stavební rozpočet'!H1520</f>
        <v>0</v>
      </c>
      <c r="I199" s="80">
        <f t="shared" si="188"/>
        <v>0</v>
      </c>
      <c r="J199" s="80">
        <f>'Stavební rozpočet'!J1520</f>
        <v>0</v>
      </c>
      <c r="K199" s="80">
        <f t="shared" si="189"/>
        <v>0</v>
      </c>
      <c r="L199" s="82" t="s">
        <v>207</v>
      </c>
      <c r="Z199" s="38">
        <f t="shared" si="190"/>
        <v>0</v>
      </c>
      <c r="AB199" s="38">
        <f t="shared" si="191"/>
        <v>0</v>
      </c>
      <c r="AC199" s="38">
        <f t="shared" si="192"/>
        <v>0</v>
      </c>
      <c r="AD199" s="38">
        <f t="shared" si="193"/>
        <v>0</v>
      </c>
      <c r="AE199" s="38">
        <f t="shared" si="194"/>
        <v>0</v>
      </c>
      <c r="AF199" s="38">
        <f t="shared" si="195"/>
        <v>0</v>
      </c>
      <c r="AG199" s="38">
        <f t="shared" si="196"/>
        <v>0</v>
      </c>
      <c r="AH199" s="38">
        <f t="shared" si="197"/>
        <v>0</v>
      </c>
      <c r="AI199" s="50" t="s">
        <v>93</v>
      </c>
      <c r="AJ199" s="80">
        <f t="shared" si="198"/>
        <v>0</v>
      </c>
      <c r="AK199" s="80">
        <f t="shared" si="199"/>
        <v>0</v>
      </c>
      <c r="AL199" s="80">
        <f t="shared" si="200"/>
        <v>0</v>
      </c>
      <c r="AN199" s="38">
        <v>21</v>
      </c>
      <c r="AO199" s="38">
        <f t="shared" si="201"/>
        <v>0</v>
      </c>
      <c r="AP199" s="38">
        <f t="shared" si="202"/>
        <v>0</v>
      </c>
      <c r="AQ199" s="83" t="s">
        <v>169</v>
      </c>
      <c r="AV199" s="38">
        <f t="shared" si="203"/>
        <v>0</v>
      </c>
      <c r="AW199" s="38">
        <f t="shared" si="204"/>
        <v>0</v>
      </c>
      <c r="AX199" s="38">
        <f t="shared" si="205"/>
        <v>0</v>
      </c>
      <c r="AY199" s="72" t="s">
        <v>2827</v>
      </c>
      <c r="AZ199" s="72" t="s">
        <v>2828</v>
      </c>
      <c r="BA199" s="50" t="s">
        <v>2563</v>
      </c>
      <c r="BC199" s="38">
        <f t="shared" si="206"/>
        <v>0</v>
      </c>
      <c r="BD199" s="38">
        <f t="shared" si="207"/>
        <v>0</v>
      </c>
      <c r="BE199" s="38">
        <v>0</v>
      </c>
      <c r="BF199" s="38">
        <f t="shared" si="208"/>
        <v>0</v>
      </c>
      <c r="BH199" s="80">
        <f t="shared" si="209"/>
        <v>0</v>
      </c>
      <c r="BI199" s="80">
        <f t="shared" si="210"/>
        <v>0</v>
      </c>
      <c r="BJ199" s="80">
        <f t="shared" si="211"/>
        <v>0</v>
      </c>
      <c r="BK199" s="80"/>
      <c r="BL199" s="38"/>
      <c r="BW199" s="38">
        <v>21</v>
      </c>
    </row>
    <row r="200" spans="1:75" ht="13.5" customHeight="1">
      <c r="A200" s="78" t="s">
        <v>1119</v>
      </c>
      <c r="B200" s="79" t="s">
        <v>93</v>
      </c>
      <c r="C200" s="79" t="s">
        <v>2849</v>
      </c>
      <c r="D200" s="198" t="s">
        <v>2850</v>
      </c>
      <c r="E200" s="199"/>
      <c r="F200" s="79" t="s">
        <v>2567</v>
      </c>
      <c r="G200" s="80">
        <f>'Stavební rozpočet'!G1521</f>
        <v>11</v>
      </c>
      <c r="H200" s="80">
        <f>'Stavební rozpočet'!H1521</f>
        <v>0</v>
      </c>
      <c r="I200" s="80">
        <f t="shared" si="188"/>
        <v>0</v>
      </c>
      <c r="J200" s="80">
        <f>'Stavební rozpočet'!J1521</f>
        <v>0</v>
      </c>
      <c r="K200" s="80">
        <f t="shared" si="189"/>
        <v>0</v>
      </c>
      <c r="L200" s="82" t="s">
        <v>207</v>
      </c>
      <c r="Z200" s="38">
        <f t="shared" si="190"/>
        <v>0</v>
      </c>
      <c r="AB200" s="38">
        <f t="shared" si="191"/>
        <v>0</v>
      </c>
      <c r="AC200" s="38">
        <f t="shared" si="192"/>
        <v>0</v>
      </c>
      <c r="AD200" s="38">
        <f t="shared" si="193"/>
        <v>0</v>
      </c>
      <c r="AE200" s="38">
        <f t="shared" si="194"/>
        <v>0</v>
      </c>
      <c r="AF200" s="38">
        <f t="shared" si="195"/>
        <v>0</v>
      </c>
      <c r="AG200" s="38">
        <f t="shared" si="196"/>
        <v>0</v>
      </c>
      <c r="AH200" s="38">
        <f t="shared" si="197"/>
        <v>0</v>
      </c>
      <c r="AI200" s="50" t="s">
        <v>93</v>
      </c>
      <c r="AJ200" s="80">
        <f t="shared" si="198"/>
        <v>0</v>
      </c>
      <c r="AK200" s="80">
        <f t="shared" si="199"/>
        <v>0</v>
      </c>
      <c r="AL200" s="80">
        <f t="shared" si="200"/>
        <v>0</v>
      </c>
      <c r="AN200" s="38">
        <v>21</v>
      </c>
      <c r="AO200" s="38">
        <f t="shared" si="201"/>
        <v>0</v>
      </c>
      <c r="AP200" s="38">
        <f t="shared" si="202"/>
        <v>0</v>
      </c>
      <c r="AQ200" s="83" t="s">
        <v>169</v>
      </c>
      <c r="AV200" s="38">
        <f t="shared" si="203"/>
        <v>0</v>
      </c>
      <c r="AW200" s="38">
        <f t="shared" si="204"/>
        <v>0</v>
      </c>
      <c r="AX200" s="38">
        <f t="shared" si="205"/>
        <v>0</v>
      </c>
      <c r="AY200" s="72" t="s">
        <v>2827</v>
      </c>
      <c r="AZ200" s="72" t="s">
        <v>2828</v>
      </c>
      <c r="BA200" s="50" t="s">
        <v>2563</v>
      </c>
      <c r="BC200" s="38">
        <f t="shared" si="206"/>
        <v>0</v>
      </c>
      <c r="BD200" s="38">
        <f t="shared" si="207"/>
        <v>0</v>
      </c>
      <c r="BE200" s="38">
        <v>0</v>
      </c>
      <c r="BF200" s="38">
        <f t="shared" si="208"/>
        <v>0</v>
      </c>
      <c r="BH200" s="80">
        <f t="shared" si="209"/>
        <v>0</v>
      </c>
      <c r="BI200" s="80">
        <f t="shared" si="210"/>
        <v>0</v>
      </c>
      <c r="BJ200" s="80">
        <f t="shared" si="211"/>
        <v>0</v>
      </c>
      <c r="BK200" s="80"/>
      <c r="BL200" s="38"/>
      <c r="BW200" s="38">
        <v>21</v>
      </c>
    </row>
    <row r="201" spans="1:75" ht="13.5" customHeight="1">
      <c r="A201" s="78" t="s">
        <v>1122</v>
      </c>
      <c r="B201" s="79" t="s">
        <v>93</v>
      </c>
      <c r="C201" s="79" t="s">
        <v>2861</v>
      </c>
      <c r="D201" s="198" t="s">
        <v>2862</v>
      </c>
      <c r="E201" s="199"/>
      <c r="F201" s="79" t="s">
        <v>2567</v>
      </c>
      <c r="G201" s="80">
        <f>'Stavební rozpočet'!G1522</f>
        <v>3</v>
      </c>
      <c r="H201" s="80">
        <f>'Stavební rozpočet'!H1522</f>
        <v>0</v>
      </c>
      <c r="I201" s="80">
        <f t="shared" si="188"/>
        <v>0</v>
      </c>
      <c r="J201" s="80">
        <f>'Stavební rozpočet'!J1522</f>
        <v>0</v>
      </c>
      <c r="K201" s="80">
        <f t="shared" si="189"/>
        <v>0</v>
      </c>
      <c r="L201" s="82" t="s">
        <v>207</v>
      </c>
      <c r="Z201" s="38">
        <f t="shared" si="190"/>
        <v>0</v>
      </c>
      <c r="AB201" s="38">
        <f t="shared" si="191"/>
        <v>0</v>
      </c>
      <c r="AC201" s="38">
        <f t="shared" si="192"/>
        <v>0</v>
      </c>
      <c r="AD201" s="38">
        <f t="shared" si="193"/>
        <v>0</v>
      </c>
      <c r="AE201" s="38">
        <f t="shared" si="194"/>
        <v>0</v>
      </c>
      <c r="AF201" s="38">
        <f t="shared" si="195"/>
        <v>0</v>
      </c>
      <c r="AG201" s="38">
        <f t="shared" si="196"/>
        <v>0</v>
      </c>
      <c r="AH201" s="38">
        <f t="shared" si="197"/>
        <v>0</v>
      </c>
      <c r="AI201" s="50" t="s">
        <v>93</v>
      </c>
      <c r="AJ201" s="80">
        <f t="shared" si="198"/>
        <v>0</v>
      </c>
      <c r="AK201" s="80">
        <f t="shared" si="199"/>
        <v>0</v>
      </c>
      <c r="AL201" s="80">
        <f t="shared" si="200"/>
        <v>0</v>
      </c>
      <c r="AN201" s="38">
        <v>21</v>
      </c>
      <c r="AO201" s="38">
        <f t="shared" si="201"/>
        <v>0</v>
      </c>
      <c r="AP201" s="38">
        <f t="shared" si="202"/>
        <v>0</v>
      </c>
      <c r="AQ201" s="83" t="s">
        <v>169</v>
      </c>
      <c r="AV201" s="38">
        <f t="shared" si="203"/>
        <v>0</v>
      </c>
      <c r="AW201" s="38">
        <f t="shared" si="204"/>
        <v>0</v>
      </c>
      <c r="AX201" s="38">
        <f t="shared" si="205"/>
        <v>0</v>
      </c>
      <c r="AY201" s="72" t="s">
        <v>2827</v>
      </c>
      <c r="AZ201" s="72" t="s">
        <v>2828</v>
      </c>
      <c r="BA201" s="50" t="s">
        <v>2563</v>
      </c>
      <c r="BC201" s="38">
        <f t="shared" si="206"/>
        <v>0</v>
      </c>
      <c r="BD201" s="38">
        <f t="shared" si="207"/>
        <v>0</v>
      </c>
      <c r="BE201" s="38">
        <v>0</v>
      </c>
      <c r="BF201" s="38">
        <f t="shared" si="208"/>
        <v>0</v>
      </c>
      <c r="BH201" s="80">
        <f t="shared" si="209"/>
        <v>0</v>
      </c>
      <c r="BI201" s="80">
        <f t="shared" si="210"/>
        <v>0</v>
      </c>
      <c r="BJ201" s="80">
        <f t="shared" si="211"/>
        <v>0</v>
      </c>
      <c r="BK201" s="80"/>
      <c r="BL201" s="38"/>
      <c r="BW201" s="38">
        <v>21</v>
      </c>
    </row>
    <row r="202" spans="1:75" ht="13.5" customHeight="1">
      <c r="A202" s="78" t="s">
        <v>1125</v>
      </c>
      <c r="B202" s="79" t="s">
        <v>93</v>
      </c>
      <c r="C202" s="79" t="s">
        <v>2864</v>
      </c>
      <c r="D202" s="198" t="s">
        <v>2865</v>
      </c>
      <c r="E202" s="199"/>
      <c r="F202" s="79" t="s">
        <v>2567</v>
      </c>
      <c r="G202" s="80">
        <f>'Stavební rozpočet'!G1523</f>
        <v>1</v>
      </c>
      <c r="H202" s="80">
        <f>'Stavební rozpočet'!H1523</f>
        <v>0</v>
      </c>
      <c r="I202" s="80">
        <f t="shared" si="188"/>
        <v>0</v>
      </c>
      <c r="J202" s="80">
        <f>'Stavební rozpočet'!J1523</f>
        <v>0</v>
      </c>
      <c r="K202" s="80">
        <f t="shared" si="189"/>
        <v>0</v>
      </c>
      <c r="L202" s="82" t="s">
        <v>207</v>
      </c>
      <c r="Z202" s="38">
        <f t="shared" si="190"/>
        <v>0</v>
      </c>
      <c r="AB202" s="38">
        <f t="shared" si="191"/>
        <v>0</v>
      </c>
      <c r="AC202" s="38">
        <f t="shared" si="192"/>
        <v>0</v>
      </c>
      <c r="AD202" s="38">
        <f t="shared" si="193"/>
        <v>0</v>
      </c>
      <c r="AE202" s="38">
        <f t="shared" si="194"/>
        <v>0</v>
      </c>
      <c r="AF202" s="38">
        <f t="shared" si="195"/>
        <v>0</v>
      </c>
      <c r="AG202" s="38">
        <f t="shared" si="196"/>
        <v>0</v>
      </c>
      <c r="AH202" s="38">
        <f t="shared" si="197"/>
        <v>0</v>
      </c>
      <c r="AI202" s="50" t="s">
        <v>93</v>
      </c>
      <c r="AJ202" s="80">
        <f t="shared" si="198"/>
        <v>0</v>
      </c>
      <c r="AK202" s="80">
        <f t="shared" si="199"/>
        <v>0</v>
      </c>
      <c r="AL202" s="80">
        <f t="shared" si="200"/>
        <v>0</v>
      </c>
      <c r="AN202" s="38">
        <v>21</v>
      </c>
      <c r="AO202" s="38">
        <f t="shared" si="201"/>
        <v>0</v>
      </c>
      <c r="AP202" s="38">
        <f t="shared" si="202"/>
        <v>0</v>
      </c>
      <c r="AQ202" s="83" t="s">
        <v>169</v>
      </c>
      <c r="AV202" s="38">
        <f t="shared" si="203"/>
        <v>0</v>
      </c>
      <c r="AW202" s="38">
        <f t="shared" si="204"/>
        <v>0</v>
      </c>
      <c r="AX202" s="38">
        <f t="shared" si="205"/>
        <v>0</v>
      </c>
      <c r="AY202" s="72" t="s">
        <v>2827</v>
      </c>
      <c r="AZ202" s="72" t="s">
        <v>2828</v>
      </c>
      <c r="BA202" s="50" t="s">
        <v>2563</v>
      </c>
      <c r="BC202" s="38">
        <f t="shared" si="206"/>
        <v>0</v>
      </c>
      <c r="BD202" s="38">
        <f t="shared" si="207"/>
        <v>0</v>
      </c>
      <c r="BE202" s="38">
        <v>0</v>
      </c>
      <c r="BF202" s="38">
        <f t="shared" si="208"/>
        <v>0</v>
      </c>
      <c r="BH202" s="80">
        <f t="shared" si="209"/>
        <v>0</v>
      </c>
      <c r="BI202" s="80">
        <f t="shared" si="210"/>
        <v>0</v>
      </c>
      <c r="BJ202" s="80">
        <f t="shared" si="211"/>
        <v>0</v>
      </c>
      <c r="BK202" s="80"/>
      <c r="BL202" s="38"/>
      <c r="BW202" s="38">
        <v>21</v>
      </c>
    </row>
    <row r="203" spans="1:75" ht="13.5" customHeight="1">
      <c r="A203" s="78" t="s">
        <v>1128</v>
      </c>
      <c r="B203" s="79" t="s">
        <v>93</v>
      </c>
      <c r="C203" s="79" t="s">
        <v>2867</v>
      </c>
      <c r="D203" s="198" t="s">
        <v>2868</v>
      </c>
      <c r="E203" s="199"/>
      <c r="F203" s="79" t="s">
        <v>2567</v>
      </c>
      <c r="G203" s="80">
        <f>'Stavební rozpočet'!G1524</f>
        <v>1</v>
      </c>
      <c r="H203" s="80">
        <f>'Stavební rozpočet'!H1524</f>
        <v>0</v>
      </c>
      <c r="I203" s="80">
        <f t="shared" si="188"/>
        <v>0</v>
      </c>
      <c r="J203" s="80">
        <f>'Stavební rozpočet'!J1524</f>
        <v>0</v>
      </c>
      <c r="K203" s="80">
        <f t="shared" si="189"/>
        <v>0</v>
      </c>
      <c r="L203" s="82" t="s">
        <v>207</v>
      </c>
      <c r="Z203" s="38">
        <f t="shared" si="190"/>
        <v>0</v>
      </c>
      <c r="AB203" s="38">
        <f t="shared" si="191"/>
        <v>0</v>
      </c>
      <c r="AC203" s="38">
        <f t="shared" si="192"/>
        <v>0</v>
      </c>
      <c r="AD203" s="38">
        <f t="shared" si="193"/>
        <v>0</v>
      </c>
      <c r="AE203" s="38">
        <f t="shared" si="194"/>
        <v>0</v>
      </c>
      <c r="AF203" s="38">
        <f t="shared" si="195"/>
        <v>0</v>
      </c>
      <c r="AG203" s="38">
        <f t="shared" si="196"/>
        <v>0</v>
      </c>
      <c r="AH203" s="38">
        <f t="shared" si="197"/>
        <v>0</v>
      </c>
      <c r="AI203" s="50" t="s">
        <v>93</v>
      </c>
      <c r="AJ203" s="80">
        <f t="shared" si="198"/>
        <v>0</v>
      </c>
      <c r="AK203" s="80">
        <f t="shared" si="199"/>
        <v>0</v>
      </c>
      <c r="AL203" s="80">
        <f t="shared" si="200"/>
        <v>0</v>
      </c>
      <c r="AN203" s="38">
        <v>21</v>
      </c>
      <c r="AO203" s="38">
        <f t="shared" si="201"/>
        <v>0</v>
      </c>
      <c r="AP203" s="38">
        <f t="shared" si="202"/>
        <v>0</v>
      </c>
      <c r="AQ203" s="83" t="s">
        <v>169</v>
      </c>
      <c r="AV203" s="38">
        <f t="shared" si="203"/>
        <v>0</v>
      </c>
      <c r="AW203" s="38">
        <f t="shared" si="204"/>
        <v>0</v>
      </c>
      <c r="AX203" s="38">
        <f t="shared" si="205"/>
        <v>0</v>
      </c>
      <c r="AY203" s="72" t="s">
        <v>2827</v>
      </c>
      <c r="AZ203" s="72" t="s">
        <v>2828</v>
      </c>
      <c r="BA203" s="50" t="s">
        <v>2563</v>
      </c>
      <c r="BC203" s="38">
        <f t="shared" si="206"/>
        <v>0</v>
      </c>
      <c r="BD203" s="38">
        <f t="shared" si="207"/>
        <v>0</v>
      </c>
      <c r="BE203" s="38">
        <v>0</v>
      </c>
      <c r="BF203" s="38">
        <f t="shared" si="208"/>
        <v>0</v>
      </c>
      <c r="BH203" s="80">
        <f t="shared" si="209"/>
        <v>0</v>
      </c>
      <c r="BI203" s="80">
        <f t="shared" si="210"/>
        <v>0</v>
      </c>
      <c r="BJ203" s="80">
        <f t="shared" si="211"/>
        <v>0</v>
      </c>
      <c r="BK203" s="80"/>
      <c r="BL203" s="38"/>
      <c r="BW203" s="38">
        <v>21</v>
      </c>
    </row>
    <row r="204" spans="1:47" ht="15">
      <c r="A204" s="65" t="s">
        <v>4</v>
      </c>
      <c r="B204" s="66" t="s">
        <v>93</v>
      </c>
      <c r="C204" s="66" t="s">
        <v>2661</v>
      </c>
      <c r="D204" s="192" t="s">
        <v>2989</v>
      </c>
      <c r="E204" s="193"/>
      <c r="F204" s="67" t="s">
        <v>78</v>
      </c>
      <c r="G204" s="67" t="s">
        <v>78</v>
      </c>
      <c r="H204" s="67" t="s">
        <v>78</v>
      </c>
      <c r="I204" s="44">
        <f>SUM(I205:I206)</f>
        <v>0</v>
      </c>
      <c r="J204" s="50" t="s">
        <v>4</v>
      </c>
      <c r="K204" s="44">
        <f>SUM(K205:K206)</f>
        <v>0</v>
      </c>
      <c r="L204" s="69" t="s">
        <v>4</v>
      </c>
      <c r="AI204" s="50" t="s">
        <v>93</v>
      </c>
      <c r="AS204" s="44">
        <f>SUM(AJ205:AJ206)</f>
        <v>0</v>
      </c>
      <c r="AT204" s="44">
        <f>SUM(AK205:AK206)</f>
        <v>0</v>
      </c>
      <c r="AU204" s="44">
        <f>SUM(AL205:AL206)</f>
        <v>0</v>
      </c>
    </row>
    <row r="205" spans="1:75" ht="27" customHeight="1">
      <c r="A205" s="1" t="s">
        <v>1131</v>
      </c>
      <c r="B205" s="2" t="s">
        <v>93</v>
      </c>
      <c r="C205" s="2" t="s">
        <v>2991</v>
      </c>
      <c r="D205" s="108" t="s">
        <v>2992</v>
      </c>
      <c r="E205" s="103"/>
      <c r="F205" s="2" t="s">
        <v>214</v>
      </c>
      <c r="G205" s="38">
        <f>'Stavební rozpočet'!G1526</f>
        <v>341</v>
      </c>
      <c r="H205" s="38">
        <f>'Stavební rozpočet'!H1526</f>
        <v>0</v>
      </c>
      <c r="I205" s="38">
        <f>G205*H205</f>
        <v>0</v>
      </c>
      <c r="J205" s="38">
        <f>'Stavební rozpočet'!J1526</f>
        <v>0</v>
      </c>
      <c r="K205" s="38">
        <f>G205*J205</f>
        <v>0</v>
      </c>
      <c r="L205" s="71" t="s">
        <v>207</v>
      </c>
      <c r="Z205" s="38">
        <f>IF(AQ205="5",BJ205,0)</f>
        <v>0</v>
      </c>
      <c r="AB205" s="38">
        <f>IF(AQ205="1",BH205,0)</f>
        <v>0</v>
      </c>
      <c r="AC205" s="38">
        <f>IF(AQ205="1",BI205,0)</f>
        <v>0</v>
      </c>
      <c r="AD205" s="38">
        <f>IF(AQ205="7",BH205,0)</f>
        <v>0</v>
      </c>
      <c r="AE205" s="38">
        <f>IF(AQ205="7",BI205,0)</f>
        <v>0</v>
      </c>
      <c r="AF205" s="38">
        <f>IF(AQ205="2",BH205,0)</f>
        <v>0</v>
      </c>
      <c r="AG205" s="38">
        <f>IF(AQ205="2",BI205,0)</f>
        <v>0</v>
      </c>
      <c r="AH205" s="38">
        <f>IF(AQ205="0",BJ205,0)</f>
        <v>0</v>
      </c>
      <c r="AI205" s="50" t="s">
        <v>93</v>
      </c>
      <c r="AJ205" s="38">
        <f>IF(AN205=0,I205,0)</f>
        <v>0</v>
      </c>
      <c r="AK205" s="38">
        <f>IF(AN205=12,I205,0)</f>
        <v>0</v>
      </c>
      <c r="AL205" s="38">
        <f>IF(AN205=21,I205,0)</f>
        <v>0</v>
      </c>
      <c r="AN205" s="38">
        <v>21</v>
      </c>
      <c r="AO205" s="38">
        <f>H205*0</f>
        <v>0</v>
      </c>
      <c r="AP205" s="38">
        <f>H205*(1-0)</f>
        <v>0</v>
      </c>
      <c r="AQ205" s="72" t="s">
        <v>143</v>
      </c>
      <c r="AV205" s="38">
        <f>AW205+AX205</f>
        <v>0</v>
      </c>
      <c r="AW205" s="38">
        <f>G205*AO205</f>
        <v>0</v>
      </c>
      <c r="AX205" s="38">
        <f>G205*AP205</f>
        <v>0</v>
      </c>
      <c r="AY205" s="72" t="s">
        <v>2993</v>
      </c>
      <c r="AZ205" s="72" t="s">
        <v>2562</v>
      </c>
      <c r="BA205" s="50" t="s">
        <v>2563</v>
      </c>
      <c r="BC205" s="38">
        <f>AW205+AX205</f>
        <v>0</v>
      </c>
      <c r="BD205" s="38">
        <f>H205/(100-BE205)*100</f>
        <v>0</v>
      </c>
      <c r="BE205" s="38">
        <v>0</v>
      </c>
      <c r="BF205" s="38">
        <f>K205</f>
        <v>0</v>
      </c>
      <c r="BH205" s="38">
        <f>G205*AO205</f>
        <v>0</v>
      </c>
      <c r="BI205" s="38">
        <f>G205*AP205</f>
        <v>0</v>
      </c>
      <c r="BJ205" s="38">
        <f>G205*H205</f>
        <v>0</v>
      </c>
      <c r="BK205" s="38"/>
      <c r="BL205" s="38"/>
      <c r="BW205" s="38">
        <v>21</v>
      </c>
    </row>
    <row r="206" spans="1:75" ht="27" customHeight="1">
      <c r="A206" s="1" t="s">
        <v>1134</v>
      </c>
      <c r="B206" s="2" t="s">
        <v>93</v>
      </c>
      <c r="C206" s="2" t="s">
        <v>2995</v>
      </c>
      <c r="D206" s="108" t="s">
        <v>2996</v>
      </c>
      <c r="E206" s="103"/>
      <c r="F206" s="2" t="s">
        <v>199</v>
      </c>
      <c r="G206" s="38">
        <f>'Stavební rozpočet'!G1527</f>
        <v>206</v>
      </c>
      <c r="H206" s="38">
        <f>'Stavební rozpočet'!H1527</f>
        <v>0</v>
      </c>
      <c r="I206" s="38">
        <f>G206*H206</f>
        <v>0</v>
      </c>
      <c r="J206" s="38">
        <f>'Stavební rozpočet'!J1527</f>
        <v>0</v>
      </c>
      <c r="K206" s="38">
        <f>G206*J206</f>
        <v>0</v>
      </c>
      <c r="L206" s="71" t="s">
        <v>207</v>
      </c>
      <c r="Z206" s="38">
        <f>IF(AQ206="5",BJ206,0)</f>
        <v>0</v>
      </c>
      <c r="AB206" s="38">
        <f>IF(AQ206="1",BH206,0)</f>
        <v>0</v>
      </c>
      <c r="AC206" s="38">
        <f>IF(AQ206="1",BI206,0)</f>
        <v>0</v>
      </c>
      <c r="AD206" s="38">
        <f>IF(AQ206="7",BH206,0)</f>
        <v>0</v>
      </c>
      <c r="AE206" s="38">
        <f>IF(AQ206="7",BI206,0)</f>
        <v>0</v>
      </c>
      <c r="AF206" s="38">
        <f>IF(AQ206="2",BH206,0)</f>
        <v>0</v>
      </c>
      <c r="AG206" s="38">
        <f>IF(AQ206="2",BI206,0)</f>
        <v>0</v>
      </c>
      <c r="AH206" s="38">
        <f>IF(AQ206="0",BJ206,0)</f>
        <v>0</v>
      </c>
      <c r="AI206" s="50" t="s">
        <v>93</v>
      </c>
      <c r="AJ206" s="38">
        <f>IF(AN206=0,I206,0)</f>
        <v>0</v>
      </c>
      <c r="AK206" s="38">
        <f>IF(AN206=12,I206,0)</f>
        <v>0</v>
      </c>
      <c r="AL206" s="38">
        <f>IF(AN206=21,I206,0)</f>
        <v>0</v>
      </c>
      <c r="AN206" s="38">
        <v>21</v>
      </c>
      <c r="AO206" s="38">
        <f>H206*0</f>
        <v>0</v>
      </c>
      <c r="AP206" s="38">
        <f>H206*(1-0)</f>
        <v>0</v>
      </c>
      <c r="AQ206" s="72" t="s">
        <v>143</v>
      </c>
      <c r="AV206" s="38">
        <f>AW206+AX206</f>
        <v>0</v>
      </c>
      <c r="AW206" s="38">
        <f>G206*AO206</f>
        <v>0</v>
      </c>
      <c r="AX206" s="38">
        <f>G206*AP206</f>
        <v>0</v>
      </c>
      <c r="AY206" s="72" t="s">
        <v>2993</v>
      </c>
      <c r="AZ206" s="72" t="s">
        <v>2562</v>
      </c>
      <c r="BA206" s="50" t="s">
        <v>2563</v>
      </c>
      <c r="BC206" s="38">
        <f>AW206+AX206</f>
        <v>0</v>
      </c>
      <c r="BD206" s="38">
        <f>H206/(100-BE206)*100</f>
        <v>0</v>
      </c>
      <c r="BE206" s="38">
        <v>0</v>
      </c>
      <c r="BF206" s="38">
        <f>K206</f>
        <v>0</v>
      </c>
      <c r="BH206" s="38">
        <f>G206*AO206</f>
        <v>0</v>
      </c>
      <c r="BI206" s="38">
        <f>G206*AP206</f>
        <v>0</v>
      </c>
      <c r="BJ206" s="38">
        <f>G206*H206</f>
        <v>0</v>
      </c>
      <c r="BK206" s="38"/>
      <c r="BL206" s="38"/>
      <c r="BW206" s="38">
        <v>21</v>
      </c>
    </row>
    <row r="207" spans="1:47" ht="15">
      <c r="A207" s="65" t="s">
        <v>4</v>
      </c>
      <c r="B207" s="66" t="s">
        <v>93</v>
      </c>
      <c r="C207" s="66" t="s">
        <v>696</v>
      </c>
      <c r="D207" s="192" t="s">
        <v>1959</v>
      </c>
      <c r="E207" s="193"/>
      <c r="F207" s="67" t="s">
        <v>78</v>
      </c>
      <c r="G207" s="67" t="s">
        <v>78</v>
      </c>
      <c r="H207" s="67" t="s">
        <v>78</v>
      </c>
      <c r="I207" s="44">
        <f>SUM(I208:I218)</f>
        <v>0</v>
      </c>
      <c r="J207" s="50" t="s">
        <v>4</v>
      </c>
      <c r="K207" s="44">
        <f>SUM(K208:K218)</f>
        <v>0</v>
      </c>
      <c r="L207" s="69" t="s">
        <v>4</v>
      </c>
      <c r="AI207" s="50" t="s">
        <v>93</v>
      </c>
      <c r="AS207" s="44">
        <f>SUM(AJ208:AJ218)</f>
        <v>0</v>
      </c>
      <c r="AT207" s="44">
        <f>SUM(AK208:AK218)</f>
        <v>0</v>
      </c>
      <c r="AU207" s="44">
        <f>SUM(AL208:AL218)</f>
        <v>0</v>
      </c>
    </row>
    <row r="208" spans="1:75" ht="27" customHeight="1">
      <c r="A208" s="1" t="s">
        <v>1137</v>
      </c>
      <c r="B208" s="2" t="s">
        <v>93</v>
      </c>
      <c r="C208" s="2" t="s">
        <v>2998</v>
      </c>
      <c r="D208" s="108" t="s">
        <v>2999</v>
      </c>
      <c r="E208" s="103"/>
      <c r="F208" s="2" t="s">
        <v>2286</v>
      </c>
      <c r="G208" s="38">
        <f>'Stavební rozpočet'!G1529</f>
        <v>10</v>
      </c>
      <c r="H208" s="38">
        <f>'Stavební rozpočet'!H1529</f>
        <v>0</v>
      </c>
      <c r="I208" s="38">
        <f>G208*H208</f>
        <v>0</v>
      </c>
      <c r="J208" s="38">
        <f>'Stavební rozpočet'!J1529</f>
        <v>0</v>
      </c>
      <c r="K208" s="38">
        <f>G208*J208</f>
        <v>0</v>
      </c>
      <c r="L208" s="71" t="s">
        <v>207</v>
      </c>
      <c r="Z208" s="38">
        <f>IF(AQ208="5",BJ208,0)</f>
        <v>0</v>
      </c>
      <c r="AB208" s="38">
        <f>IF(AQ208="1",BH208,0)</f>
        <v>0</v>
      </c>
      <c r="AC208" s="38">
        <f>IF(AQ208="1",BI208,0)</f>
        <v>0</v>
      </c>
      <c r="AD208" s="38">
        <f>IF(AQ208="7",BH208,0)</f>
        <v>0</v>
      </c>
      <c r="AE208" s="38">
        <f>IF(AQ208="7",BI208,0)</f>
        <v>0</v>
      </c>
      <c r="AF208" s="38">
        <f>IF(AQ208="2",BH208,0)</f>
        <v>0</v>
      </c>
      <c r="AG208" s="38">
        <f>IF(AQ208="2",BI208,0)</f>
        <v>0</v>
      </c>
      <c r="AH208" s="38">
        <f>IF(AQ208="0",BJ208,0)</f>
        <v>0</v>
      </c>
      <c r="AI208" s="50" t="s">
        <v>93</v>
      </c>
      <c r="AJ208" s="38">
        <f>IF(AN208=0,I208,0)</f>
        <v>0</v>
      </c>
      <c r="AK208" s="38">
        <f>IF(AN208=12,I208,0)</f>
        <v>0</v>
      </c>
      <c r="AL208" s="38">
        <f>IF(AN208=21,I208,0)</f>
        <v>0</v>
      </c>
      <c r="AN208" s="38">
        <v>21</v>
      </c>
      <c r="AO208" s="38">
        <f>H208*0</f>
        <v>0</v>
      </c>
      <c r="AP208" s="38">
        <f>H208*(1-0)</f>
        <v>0</v>
      </c>
      <c r="AQ208" s="72" t="s">
        <v>132</v>
      </c>
      <c r="AV208" s="38">
        <f>AW208+AX208</f>
        <v>0</v>
      </c>
      <c r="AW208" s="38">
        <f>G208*AO208</f>
        <v>0</v>
      </c>
      <c r="AX208" s="38">
        <f>G208*AP208</f>
        <v>0</v>
      </c>
      <c r="AY208" s="72" t="s">
        <v>1964</v>
      </c>
      <c r="AZ208" s="72" t="s">
        <v>2562</v>
      </c>
      <c r="BA208" s="50" t="s">
        <v>2563</v>
      </c>
      <c r="BC208" s="38">
        <f>AW208+AX208</f>
        <v>0</v>
      </c>
      <c r="BD208" s="38">
        <f>H208/(100-BE208)*100</f>
        <v>0</v>
      </c>
      <c r="BE208" s="38">
        <v>0</v>
      </c>
      <c r="BF208" s="38">
        <f>K208</f>
        <v>0</v>
      </c>
      <c r="BH208" s="38">
        <f>G208*AO208</f>
        <v>0</v>
      </c>
      <c r="BI208" s="38">
        <f>G208*AP208</f>
        <v>0</v>
      </c>
      <c r="BJ208" s="38">
        <f>G208*H208</f>
        <v>0</v>
      </c>
      <c r="BK208" s="38"/>
      <c r="BL208" s="38">
        <v>90</v>
      </c>
      <c r="BW208" s="38">
        <v>21</v>
      </c>
    </row>
    <row r="209" spans="1:12" ht="13.5" customHeight="1">
      <c r="A209" s="74"/>
      <c r="D209" s="194" t="s">
        <v>3000</v>
      </c>
      <c r="E209" s="195"/>
      <c r="F209" s="195"/>
      <c r="G209" s="195"/>
      <c r="H209" s="195"/>
      <c r="I209" s="195"/>
      <c r="J209" s="195"/>
      <c r="K209" s="195"/>
      <c r="L209" s="197"/>
    </row>
    <row r="210" spans="1:75" ht="27" customHeight="1">
      <c r="A210" s="1" t="s">
        <v>1140</v>
      </c>
      <c r="B210" s="2" t="s">
        <v>93</v>
      </c>
      <c r="C210" s="2" t="s">
        <v>2998</v>
      </c>
      <c r="D210" s="108" t="s">
        <v>2999</v>
      </c>
      <c r="E210" s="103"/>
      <c r="F210" s="2" t="s">
        <v>2286</v>
      </c>
      <c r="G210" s="38">
        <f>'Stavební rozpočet'!G1531</f>
        <v>4</v>
      </c>
      <c r="H210" s="38">
        <f>'Stavební rozpočet'!H1531</f>
        <v>0</v>
      </c>
      <c r="I210" s="38">
        <f>G210*H210</f>
        <v>0</v>
      </c>
      <c r="J210" s="38">
        <f>'Stavební rozpočet'!J1531</f>
        <v>0</v>
      </c>
      <c r="K210" s="38">
        <f>G210*J210</f>
        <v>0</v>
      </c>
      <c r="L210" s="71" t="s">
        <v>207</v>
      </c>
      <c r="Z210" s="38">
        <f>IF(AQ210="5",BJ210,0)</f>
        <v>0</v>
      </c>
      <c r="AB210" s="38">
        <f>IF(AQ210="1",BH210,0)</f>
        <v>0</v>
      </c>
      <c r="AC210" s="38">
        <f>IF(AQ210="1",BI210,0)</f>
        <v>0</v>
      </c>
      <c r="AD210" s="38">
        <f>IF(AQ210="7",BH210,0)</f>
        <v>0</v>
      </c>
      <c r="AE210" s="38">
        <f>IF(AQ210="7",BI210,0)</f>
        <v>0</v>
      </c>
      <c r="AF210" s="38">
        <f>IF(AQ210="2",BH210,0)</f>
        <v>0</v>
      </c>
      <c r="AG210" s="38">
        <f>IF(AQ210="2",BI210,0)</f>
        <v>0</v>
      </c>
      <c r="AH210" s="38">
        <f>IF(AQ210="0",BJ210,0)</f>
        <v>0</v>
      </c>
      <c r="AI210" s="50" t="s">
        <v>93</v>
      </c>
      <c r="AJ210" s="38">
        <f>IF(AN210=0,I210,0)</f>
        <v>0</v>
      </c>
      <c r="AK210" s="38">
        <f>IF(AN210=12,I210,0)</f>
        <v>0</v>
      </c>
      <c r="AL210" s="38">
        <f>IF(AN210=21,I210,0)</f>
        <v>0</v>
      </c>
      <c r="AN210" s="38">
        <v>21</v>
      </c>
      <c r="AO210" s="38">
        <f>H210*0</f>
        <v>0</v>
      </c>
      <c r="AP210" s="38">
        <f>H210*(1-0)</f>
        <v>0</v>
      </c>
      <c r="AQ210" s="72" t="s">
        <v>132</v>
      </c>
      <c r="AV210" s="38">
        <f>AW210+AX210</f>
        <v>0</v>
      </c>
      <c r="AW210" s="38">
        <f>G210*AO210</f>
        <v>0</v>
      </c>
      <c r="AX210" s="38">
        <f>G210*AP210</f>
        <v>0</v>
      </c>
      <c r="AY210" s="72" t="s">
        <v>1964</v>
      </c>
      <c r="AZ210" s="72" t="s">
        <v>2562</v>
      </c>
      <c r="BA210" s="50" t="s">
        <v>2563</v>
      </c>
      <c r="BC210" s="38">
        <f>AW210+AX210</f>
        <v>0</v>
      </c>
      <c r="BD210" s="38">
        <f>H210/(100-BE210)*100</f>
        <v>0</v>
      </c>
      <c r="BE210" s="38">
        <v>0</v>
      </c>
      <c r="BF210" s="38">
        <f>K210</f>
        <v>0</v>
      </c>
      <c r="BH210" s="38">
        <f>G210*AO210</f>
        <v>0</v>
      </c>
      <c r="BI210" s="38">
        <f>G210*AP210</f>
        <v>0</v>
      </c>
      <c r="BJ210" s="38">
        <f>G210*H210</f>
        <v>0</v>
      </c>
      <c r="BK210" s="38"/>
      <c r="BL210" s="38">
        <v>90</v>
      </c>
      <c r="BW210" s="38">
        <v>21</v>
      </c>
    </row>
    <row r="211" spans="1:12" ht="13.5" customHeight="1">
      <c r="A211" s="74"/>
      <c r="D211" s="194" t="s">
        <v>3002</v>
      </c>
      <c r="E211" s="195"/>
      <c r="F211" s="195"/>
      <c r="G211" s="195"/>
      <c r="H211" s="195"/>
      <c r="I211" s="195"/>
      <c r="J211" s="195"/>
      <c r="K211" s="195"/>
      <c r="L211" s="197"/>
    </row>
    <row r="212" spans="1:75" ht="27" customHeight="1">
      <c r="A212" s="1" t="s">
        <v>1143</v>
      </c>
      <c r="B212" s="2" t="s">
        <v>93</v>
      </c>
      <c r="C212" s="2" t="s">
        <v>2998</v>
      </c>
      <c r="D212" s="108" t="s">
        <v>2999</v>
      </c>
      <c r="E212" s="103"/>
      <c r="F212" s="2" t="s">
        <v>2286</v>
      </c>
      <c r="G212" s="38">
        <f>'Stavební rozpočet'!G1533</f>
        <v>10</v>
      </c>
      <c r="H212" s="38">
        <f>'Stavební rozpočet'!H1533</f>
        <v>0</v>
      </c>
      <c r="I212" s="38">
        <f>G212*H212</f>
        <v>0</v>
      </c>
      <c r="J212" s="38">
        <f>'Stavební rozpočet'!J1533</f>
        <v>0</v>
      </c>
      <c r="K212" s="38">
        <f>G212*J212</f>
        <v>0</v>
      </c>
      <c r="L212" s="71" t="s">
        <v>207</v>
      </c>
      <c r="Z212" s="38">
        <f>IF(AQ212="5",BJ212,0)</f>
        <v>0</v>
      </c>
      <c r="AB212" s="38">
        <f>IF(AQ212="1",BH212,0)</f>
        <v>0</v>
      </c>
      <c r="AC212" s="38">
        <f>IF(AQ212="1",BI212,0)</f>
        <v>0</v>
      </c>
      <c r="AD212" s="38">
        <f>IF(AQ212="7",BH212,0)</f>
        <v>0</v>
      </c>
      <c r="AE212" s="38">
        <f>IF(AQ212="7",BI212,0)</f>
        <v>0</v>
      </c>
      <c r="AF212" s="38">
        <f>IF(AQ212="2",BH212,0)</f>
        <v>0</v>
      </c>
      <c r="AG212" s="38">
        <f>IF(AQ212="2",BI212,0)</f>
        <v>0</v>
      </c>
      <c r="AH212" s="38">
        <f>IF(AQ212="0",BJ212,0)</f>
        <v>0</v>
      </c>
      <c r="AI212" s="50" t="s">
        <v>93</v>
      </c>
      <c r="AJ212" s="38">
        <f>IF(AN212=0,I212,0)</f>
        <v>0</v>
      </c>
      <c r="AK212" s="38">
        <f>IF(AN212=12,I212,0)</f>
        <v>0</v>
      </c>
      <c r="AL212" s="38">
        <f>IF(AN212=21,I212,0)</f>
        <v>0</v>
      </c>
      <c r="AN212" s="38">
        <v>21</v>
      </c>
      <c r="AO212" s="38">
        <f>H212*0</f>
        <v>0</v>
      </c>
      <c r="AP212" s="38">
        <f>H212*(1-0)</f>
        <v>0</v>
      </c>
      <c r="AQ212" s="72" t="s">
        <v>132</v>
      </c>
      <c r="AV212" s="38">
        <f>AW212+AX212</f>
        <v>0</v>
      </c>
      <c r="AW212" s="38">
        <f>G212*AO212</f>
        <v>0</v>
      </c>
      <c r="AX212" s="38">
        <f>G212*AP212</f>
        <v>0</v>
      </c>
      <c r="AY212" s="72" t="s">
        <v>1964</v>
      </c>
      <c r="AZ212" s="72" t="s">
        <v>2562</v>
      </c>
      <c r="BA212" s="50" t="s">
        <v>2563</v>
      </c>
      <c r="BC212" s="38">
        <f>AW212+AX212</f>
        <v>0</v>
      </c>
      <c r="BD212" s="38">
        <f>H212/(100-BE212)*100</f>
        <v>0</v>
      </c>
      <c r="BE212" s="38">
        <v>0</v>
      </c>
      <c r="BF212" s="38">
        <f>K212</f>
        <v>0</v>
      </c>
      <c r="BH212" s="38">
        <f>G212*AO212</f>
        <v>0</v>
      </c>
      <c r="BI212" s="38">
        <f>G212*AP212</f>
        <v>0</v>
      </c>
      <c r="BJ212" s="38">
        <f>G212*H212</f>
        <v>0</v>
      </c>
      <c r="BK212" s="38"/>
      <c r="BL212" s="38">
        <v>90</v>
      </c>
      <c r="BW212" s="38">
        <v>21</v>
      </c>
    </row>
    <row r="213" spans="1:12" ht="13.5" customHeight="1">
      <c r="A213" s="74"/>
      <c r="D213" s="194" t="s">
        <v>3003</v>
      </c>
      <c r="E213" s="195"/>
      <c r="F213" s="195"/>
      <c r="G213" s="195"/>
      <c r="H213" s="195"/>
      <c r="I213" s="195"/>
      <c r="J213" s="195"/>
      <c r="K213" s="195"/>
      <c r="L213" s="197"/>
    </row>
    <row r="214" spans="1:75" ht="13.5" customHeight="1">
      <c r="A214" s="1" t="s">
        <v>1146</v>
      </c>
      <c r="B214" s="2" t="s">
        <v>93</v>
      </c>
      <c r="C214" s="2" t="s">
        <v>3004</v>
      </c>
      <c r="D214" s="108" t="s">
        <v>3005</v>
      </c>
      <c r="E214" s="103"/>
      <c r="F214" s="2" t="s">
        <v>2286</v>
      </c>
      <c r="G214" s="38">
        <f>'Stavební rozpočet'!G1535</f>
        <v>20</v>
      </c>
      <c r="H214" s="38">
        <f>'Stavební rozpočet'!H1535</f>
        <v>0</v>
      </c>
      <c r="I214" s="38">
        <f>G214*H214</f>
        <v>0</v>
      </c>
      <c r="J214" s="38">
        <f>'Stavební rozpočet'!J1535</f>
        <v>0</v>
      </c>
      <c r="K214" s="38">
        <f>G214*J214</f>
        <v>0</v>
      </c>
      <c r="L214" s="71" t="s">
        <v>207</v>
      </c>
      <c r="Z214" s="38">
        <f>IF(AQ214="5",BJ214,0)</f>
        <v>0</v>
      </c>
      <c r="AB214" s="38">
        <f>IF(AQ214="1",BH214,0)</f>
        <v>0</v>
      </c>
      <c r="AC214" s="38">
        <f>IF(AQ214="1",BI214,0)</f>
        <v>0</v>
      </c>
      <c r="AD214" s="38">
        <f>IF(AQ214="7",BH214,0)</f>
        <v>0</v>
      </c>
      <c r="AE214" s="38">
        <f>IF(AQ214="7",BI214,0)</f>
        <v>0</v>
      </c>
      <c r="AF214" s="38">
        <f>IF(AQ214="2",BH214,0)</f>
        <v>0</v>
      </c>
      <c r="AG214" s="38">
        <f>IF(AQ214="2",BI214,0)</f>
        <v>0</v>
      </c>
      <c r="AH214" s="38">
        <f>IF(AQ214="0",BJ214,0)</f>
        <v>0</v>
      </c>
      <c r="AI214" s="50" t="s">
        <v>93</v>
      </c>
      <c r="AJ214" s="38">
        <f>IF(AN214=0,I214,0)</f>
        <v>0</v>
      </c>
      <c r="AK214" s="38">
        <f>IF(AN214=12,I214,0)</f>
        <v>0</v>
      </c>
      <c r="AL214" s="38">
        <f>IF(AN214=21,I214,0)</f>
        <v>0</v>
      </c>
      <c r="AN214" s="38">
        <v>21</v>
      </c>
      <c r="AO214" s="38">
        <f>H214*0</f>
        <v>0</v>
      </c>
      <c r="AP214" s="38">
        <f>H214*(1-0)</f>
        <v>0</v>
      </c>
      <c r="AQ214" s="72" t="s">
        <v>132</v>
      </c>
      <c r="AV214" s="38">
        <f>AW214+AX214</f>
        <v>0</v>
      </c>
      <c r="AW214" s="38">
        <f>G214*AO214</f>
        <v>0</v>
      </c>
      <c r="AX214" s="38">
        <f>G214*AP214</f>
        <v>0</v>
      </c>
      <c r="AY214" s="72" t="s">
        <v>1964</v>
      </c>
      <c r="AZ214" s="72" t="s">
        <v>2562</v>
      </c>
      <c r="BA214" s="50" t="s">
        <v>2563</v>
      </c>
      <c r="BC214" s="38">
        <f>AW214+AX214</f>
        <v>0</v>
      </c>
      <c r="BD214" s="38">
        <f>H214/(100-BE214)*100</f>
        <v>0</v>
      </c>
      <c r="BE214" s="38">
        <v>0</v>
      </c>
      <c r="BF214" s="38">
        <f>K214</f>
        <v>0</v>
      </c>
      <c r="BH214" s="38">
        <f>G214*AO214</f>
        <v>0</v>
      </c>
      <c r="BI214" s="38">
        <f>G214*AP214</f>
        <v>0</v>
      </c>
      <c r="BJ214" s="38">
        <f>G214*H214</f>
        <v>0</v>
      </c>
      <c r="BK214" s="38"/>
      <c r="BL214" s="38">
        <v>90</v>
      </c>
      <c r="BW214" s="38">
        <v>21</v>
      </c>
    </row>
    <row r="215" spans="1:12" ht="13.5" customHeight="1">
      <c r="A215" s="74"/>
      <c r="D215" s="194" t="s">
        <v>3006</v>
      </c>
      <c r="E215" s="195"/>
      <c r="F215" s="195"/>
      <c r="G215" s="195"/>
      <c r="H215" s="195"/>
      <c r="I215" s="195"/>
      <c r="J215" s="195"/>
      <c r="K215" s="195"/>
      <c r="L215" s="197"/>
    </row>
    <row r="216" spans="1:75" ht="13.5" customHeight="1">
      <c r="A216" s="1" t="s">
        <v>1149</v>
      </c>
      <c r="B216" s="2" t="s">
        <v>93</v>
      </c>
      <c r="C216" s="2" t="s">
        <v>2289</v>
      </c>
      <c r="D216" s="108" t="s">
        <v>3008</v>
      </c>
      <c r="E216" s="103"/>
      <c r="F216" s="2" t="s">
        <v>2286</v>
      </c>
      <c r="G216" s="38">
        <f>'Stavební rozpočet'!G1537</f>
        <v>30</v>
      </c>
      <c r="H216" s="38">
        <f>'Stavební rozpočet'!H1537</f>
        <v>0</v>
      </c>
      <c r="I216" s="38">
        <f>G216*H216</f>
        <v>0</v>
      </c>
      <c r="J216" s="38">
        <f>'Stavební rozpočet'!J1537</f>
        <v>0</v>
      </c>
      <c r="K216" s="38">
        <f>G216*J216</f>
        <v>0</v>
      </c>
      <c r="L216" s="71" t="s">
        <v>207</v>
      </c>
      <c r="Z216" s="38">
        <f>IF(AQ216="5",BJ216,0)</f>
        <v>0</v>
      </c>
      <c r="AB216" s="38">
        <f>IF(AQ216="1",BH216,0)</f>
        <v>0</v>
      </c>
      <c r="AC216" s="38">
        <f>IF(AQ216="1",BI216,0)</f>
        <v>0</v>
      </c>
      <c r="AD216" s="38">
        <f>IF(AQ216="7",BH216,0)</f>
        <v>0</v>
      </c>
      <c r="AE216" s="38">
        <f>IF(AQ216="7",BI216,0)</f>
        <v>0</v>
      </c>
      <c r="AF216" s="38">
        <f>IF(AQ216="2",BH216,0)</f>
        <v>0</v>
      </c>
      <c r="AG216" s="38">
        <f>IF(AQ216="2",BI216,0)</f>
        <v>0</v>
      </c>
      <c r="AH216" s="38">
        <f>IF(AQ216="0",BJ216,0)</f>
        <v>0</v>
      </c>
      <c r="AI216" s="50" t="s">
        <v>93</v>
      </c>
      <c r="AJ216" s="38">
        <f>IF(AN216=0,I216,0)</f>
        <v>0</v>
      </c>
      <c r="AK216" s="38">
        <f>IF(AN216=12,I216,0)</f>
        <v>0</v>
      </c>
      <c r="AL216" s="38">
        <f>IF(AN216=21,I216,0)</f>
        <v>0</v>
      </c>
      <c r="AN216" s="38">
        <v>21</v>
      </c>
      <c r="AO216" s="38">
        <f>H216*0</f>
        <v>0</v>
      </c>
      <c r="AP216" s="38">
        <f>H216*(1-0)</f>
        <v>0</v>
      </c>
      <c r="AQ216" s="72" t="s">
        <v>132</v>
      </c>
      <c r="AV216" s="38">
        <f>AW216+AX216</f>
        <v>0</v>
      </c>
      <c r="AW216" s="38">
        <f>G216*AO216</f>
        <v>0</v>
      </c>
      <c r="AX216" s="38">
        <f>G216*AP216</f>
        <v>0</v>
      </c>
      <c r="AY216" s="72" t="s">
        <v>1964</v>
      </c>
      <c r="AZ216" s="72" t="s">
        <v>2562</v>
      </c>
      <c r="BA216" s="50" t="s">
        <v>2563</v>
      </c>
      <c r="BC216" s="38">
        <f>AW216+AX216</f>
        <v>0</v>
      </c>
      <c r="BD216" s="38">
        <f>H216/(100-BE216)*100</f>
        <v>0</v>
      </c>
      <c r="BE216" s="38">
        <v>0</v>
      </c>
      <c r="BF216" s="38">
        <f>K216</f>
        <v>0</v>
      </c>
      <c r="BH216" s="38">
        <f>G216*AO216</f>
        <v>0</v>
      </c>
      <c r="BI216" s="38">
        <f>G216*AP216</f>
        <v>0</v>
      </c>
      <c r="BJ216" s="38">
        <f>G216*H216</f>
        <v>0</v>
      </c>
      <c r="BK216" s="38"/>
      <c r="BL216" s="38">
        <v>90</v>
      </c>
      <c r="BW216" s="38">
        <v>21</v>
      </c>
    </row>
    <row r="217" spans="1:12" ht="13.5" customHeight="1">
      <c r="A217" s="74"/>
      <c r="D217" s="194" t="s">
        <v>3009</v>
      </c>
      <c r="E217" s="195"/>
      <c r="F217" s="195"/>
      <c r="G217" s="195"/>
      <c r="H217" s="195"/>
      <c r="I217" s="195"/>
      <c r="J217" s="195"/>
      <c r="K217" s="195"/>
      <c r="L217" s="197"/>
    </row>
    <row r="218" spans="1:75" ht="13.5" customHeight="1">
      <c r="A218" s="1" t="s">
        <v>1152</v>
      </c>
      <c r="B218" s="2" t="s">
        <v>93</v>
      </c>
      <c r="C218" s="2" t="s">
        <v>2289</v>
      </c>
      <c r="D218" s="108" t="s">
        <v>3008</v>
      </c>
      <c r="E218" s="103"/>
      <c r="F218" s="2" t="s">
        <v>2286</v>
      </c>
      <c r="G218" s="38">
        <f>'Stavební rozpočet'!G1539</f>
        <v>46</v>
      </c>
      <c r="H218" s="38">
        <f>'Stavební rozpočet'!H1539</f>
        <v>0</v>
      </c>
      <c r="I218" s="38">
        <f>G218*H218</f>
        <v>0</v>
      </c>
      <c r="J218" s="38">
        <f>'Stavební rozpočet'!J1539</f>
        <v>0</v>
      </c>
      <c r="K218" s="38">
        <f>G218*J218</f>
        <v>0</v>
      </c>
      <c r="L218" s="71" t="s">
        <v>207</v>
      </c>
      <c r="Z218" s="38">
        <f>IF(AQ218="5",BJ218,0)</f>
        <v>0</v>
      </c>
      <c r="AB218" s="38">
        <f>IF(AQ218="1",BH218,0)</f>
        <v>0</v>
      </c>
      <c r="AC218" s="38">
        <f>IF(AQ218="1",BI218,0)</f>
        <v>0</v>
      </c>
      <c r="AD218" s="38">
        <f>IF(AQ218="7",BH218,0)</f>
        <v>0</v>
      </c>
      <c r="AE218" s="38">
        <f>IF(AQ218="7",BI218,0)</f>
        <v>0</v>
      </c>
      <c r="AF218" s="38">
        <f>IF(AQ218="2",BH218,0)</f>
        <v>0</v>
      </c>
      <c r="AG218" s="38">
        <f>IF(AQ218="2",BI218,0)</f>
        <v>0</v>
      </c>
      <c r="AH218" s="38">
        <f>IF(AQ218="0",BJ218,0)</f>
        <v>0</v>
      </c>
      <c r="AI218" s="50" t="s">
        <v>93</v>
      </c>
      <c r="AJ218" s="38">
        <f>IF(AN218=0,I218,0)</f>
        <v>0</v>
      </c>
      <c r="AK218" s="38">
        <f>IF(AN218=12,I218,0)</f>
        <v>0</v>
      </c>
      <c r="AL218" s="38">
        <f>IF(AN218=21,I218,0)</f>
        <v>0</v>
      </c>
      <c r="AN218" s="38">
        <v>21</v>
      </c>
      <c r="AO218" s="38">
        <f>H218*0</f>
        <v>0</v>
      </c>
      <c r="AP218" s="38">
        <f>H218*(1-0)</f>
        <v>0</v>
      </c>
      <c r="AQ218" s="72" t="s">
        <v>132</v>
      </c>
      <c r="AV218" s="38">
        <f>AW218+AX218</f>
        <v>0</v>
      </c>
      <c r="AW218" s="38">
        <f>G218*AO218</f>
        <v>0</v>
      </c>
      <c r="AX218" s="38">
        <f>G218*AP218</f>
        <v>0</v>
      </c>
      <c r="AY218" s="72" t="s">
        <v>1964</v>
      </c>
      <c r="AZ218" s="72" t="s">
        <v>2562</v>
      </c>
      <c r="BA218" s="50" t="s">
        <v>2563</v>
      </c>
      <c r="BC218" s="38">
        <f>AW218+AX218</f>
        <v>0</v>
      </c>
      <c r="BD218" s="38">
        <f>H218/(100-BE218)*100</f>
        <v>0</v>
      </c>
      <c r="BE218" s="38">
        <v>0</v>
      </c>
      <c r="BF218" s="38">
        <f>K218</f>
        <v>0</v>
      </c>
      <c r="BH218" s="38">
        <f>G218*AO218</f>
        <v>0</v>
      </c>
      <c r="BI218" s="38">
        <f>G218*AP218</f>
        <v>0</v>
      </c>
      <c r="BJ218" s="38">
        <f>G218*H218</f>
        <v>0</v>
      </c>
      <c r="BK218" s="38"/>
      <c r="BL218" s="38">
        <v>90</v>
      </c>
      <c r="BW218" s="38">
        <v>21</v>
      </c>
    </row>
    <row r="219" spans="1:12" ht="13.5" customHeight="1">
      <c r="A219" s="84"/>
      <c r="B219" s="85"/>
      <c r="C219" s="85"/>
      <c r="D219" s="201" t="s">
        <v>3011</v>
      </c>
      <c r="E219" s="202"/>
      <c r="F219" s="202"/>
      <c r="G219" s="202"/>
      <c r="H219" s="202"/>
      <c r="I219" s="202"/>
      <c r="J219" s="202"/>
      <c r="K219" s="202"/>
      <c r="L219" s="203"/>
    </row>
    <row r="220" ht="15">
      <c r="I220" s="42">
        <f>ROUND(I13+I110+I204+I207,0)</f>
        <v>0</v>
      </c>
    </row>
    <row r="221" ht="15">
      <c r="A221" s="43" t="s">
        <v>56</v>
      </c>
    </row>
    <row r="222" spans="1:12" ht="12.75" customHeight="1">
      <c r="A222" s="108" t="s">
        <v>4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</sheetData>
  <sheetProtection password="F483" sheet="1"/>
  <mergeCells count="237">
    <mergeCell ref="A222:L222"/>
    <mergeCell ref="D215:L215"/>
    <mergeCell ref="D216:E216"/>
    <mergeCell ref="D217:L217"/>
    <mergeCell ref="D218:E218"/>
    <mergeCell ref="D219:L219"/>
    <mergeCell ref="D210:E210"/>
    <mergeCell ref="D211:L211"/>
    <mergeCell ref="D212:E212"/>
    <mergeCell ref="D213:L213"/>
    <mergeCell ref="D214:E214"/>
    <mergeCell ref="D205:E205"/>
    <mergeCell ref="D206:E206"/>
    <mergeCell ref="D207:E207"/>
    <mergeCell ref="D208:E208"/>
    <mergeCell ref="D209:L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L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L159"/>
    <mergeCell ref="D150:L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L129"/>
    <mergeCell ref="D120:E120"/>
    <mergeCell ref="D121:L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L112"/>
    <mergeCell ref="D113:E113"/>
    <mergeCell ref="D114:E114"/>
    <mergeCell ref="D105:E105"/>
    <mergeCell ref="D106:E106"/>
    <mergeCell ref="D107:E107"/>
    <mergeCell ref="D108:L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62"/>
  <sheetViews>
    <sheetView workbookViewId="0" topLeftCell="A1">
      <pane ySplit="11" topLeftCell="A12" activePane="bottomLeft" state="frozen"/>
      <selection pane="bottomLeft" activeCell="A162" sqref="A162:L162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4.4218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01" t="s">
        <v>76</v>
      </c>
      <c r="G2" s="101"/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>
      <c r="A3" s="102"/>
      <c r="B3" s="103"/>
      <c r="C3" s="103"/>
      <c r="D3" s="111"/>
      <c r="E3" s="111"/>
      <c r="F3" s="103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 t="s">
        <v>9</v>
      </c>
      <c r="G4" s="103"/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 t="s">
        <v>10</v>
      </c>
      <c r="G6" s="103"/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 t="s">
        <v>77</v>
      </c>
      <c r="G8" s="103"/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86" t="s">
        <v>82</v>
      </c>
      <c r="E10" s="187"/>
      <c r="F10" s="46" t="s">
        <v>107</v>
      </c>
      <c r="G10" s="47" t="s">
        <v>108</v>
      </c>
      <c r="H10" s="92" t="s">
        <v>109</v>
      </c>
      <c r="I10" s="28" t="s">
        <v>79</v>
      </c>
      <c r="J10" s="188" t="s">
        <v>80</v>
      </c>
      <c r="K10" s="189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95</v>
      </c>
      <c r="C12" s="59" t="s">
        <v>4</v>
      </c>
      <c r="D12" s="190" t="s">
        <v>96</v>
      </c>
      <c r="E12" s="191"/>
      <c r="F12" s="60" t="s">
        <v>78</v>
      </c>
      <c r="G12" s="60" t="s">
        <v>78</v>
      </c>
      <c r="H12" s="60" t="s">
        <v>78</v>
      </c>
      <c r="I12" s="62">
        <f>I13+I48+I78+I97+I122+I135</f>
        <v>0</v>
      </c>
      <c r="J12" s="63" t="s">
        <v>4</v>
      </c>
      <c r="K12" s="62">
        <f>K13+K48+K78+K97+K122+K135</f>
        <v>0</v>
      </c>
      <c r="L12" s="64" t="s">
        <v>4</v>
      </c>
    </row>
    <row r="13" spans="1:47" ht="15">
      <c r="A13" s="65" t="s">
        <v>4</v>
      </c>
      <c r="B13" s="66" t="s">
        <v>95</v>
      </c>
      <c r="C13" s="66" t="s">
        <v>2556</v>
      </c>
      <c r="D13" s="192" t="s">
        <v>2557</v>
      </c>
      <c r="E13" s="193"/>
      <c r="F13" s="67" t="s">
        <v>78</v>
      </c>
      <c r="G13" s="67" t="s">
        <v>78</v>
      </c>
      <c r="H13" s="67" t="s">
        <v>78</v>
      </c>
      <c r="I13" s="44">
        <f>SUM(I14:I47)</f>
        <v>0</v>
      </c>
      <c r="J13" s="50" t="s">
        <v>4</v>
      </c>
      <c r="K13" s="44">
        <f>SUM(K14:K47)</f>
        <v>0</v>
      </c>
      <c r="L13" s="69" t="s">
        <v>4</v>
      </c>
      <c r="AI13" s="50" t="s">
        <v>95</v>
      </c>
      <c r="AS13" s="44">
        <f>SUM(AJ14:AJ47)</f>
        <v>0</v>
      </c>
      <c r="AT13" s="44">
        <f>SUM(AK14:AK47)</f>
        <v>0</v>
      </c>
      <c r="AU13" s="44">
        <f>SUM(AL14:AL47)</f>
        <v>0</v>
      </c>
    </row>
    <row r="14" spans="1:75" ht="27" customHeight="1">
      <c r="A14" s="1" t="s">
        <v>132</v>
      </c>
      <c r="B14" s="2" t="s">
        <v>95</v>
      </c>
      <c r="C14" s="2" t="s">
        <v>2675</v>
      </c>
      <c r="D14" s="108" t="s">
        <v>2676</v>
      </c>
      <c r="E14" s="103"/>
      <c r="F14" s="2" t="s">
        <v>214</v>
      </c>
      <c r="G14" s="38">
        <f>'Stavební rozpočet'!G1543</f>
        <v>880</v>
      </c>
      <c r="H14" s="38">
        <f>'Stavební rozpočet'!H1543</f>
        <v>0</v>
      </c>
      <c r="I14" s="38">
        <f>G14*H14</f>
        <v>0</v>
      </c>
      <c r="J14" s="38">
        <f>'Stavební rozpočet'!J1543</f>
        <v>0</v>
      </c>
      <c r="K14" s="38">
        <f>G14*J14</f>
        <v>0</v>
      </c>
      <c r="L14" s="71" t="s">
        <v>207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95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2561</v>
      </c>
      <c r="AZ14" s="72" t="s">
        <v>3013</v>
      </c>
      <c r="BA14" s="50" t="s">
        <v>3014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/>
      <c r="BW14" s="38">
        <v>21</v>
      </c>
    </row>
    <row r="15" spans="1:75" ht="27" customHeight="1">
      <c r="A15" s="78" t="s">
        <v>143</v>
      </c>
      <c r="B15" s="79" t="s">
        <v>95</v>
      </c>
      <c r="C15" s="79" t="s">
        <v>3016</v>
      </c>
      <c r="D15" s="198" t="s">
        <v>3017</v>
      </c>
      <c r="E15" s="199"/>
      <c r="F15" s="79" t="s">
        <v>2661</v>
      </c>
      <c r="G15" s="80">
        <f>'Stavební rozpočet'!G1544</f>
        <v>880</v>
      </c>
      <c r="H15" s="80">
        <f>'Stavební rozpočet'!H1544</f>
        <v>0</v>
      </c>
      <c r="I15" s="80">
        <f>G15*H15</f>
        <v>0</v>
      </c>
      <c r="J15" s="80">
        <f>'Stavební rozpočet'!J1544</f>
        <v>0</v>
      </c>
      <c r="K15" s="80">
        <f>G15*J15</f>
        <v>0</v>
      </c>
      <c r="L15" s="82" t="s">
        <v>207</v>
      </c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50" t="s">
        <v>95</v>
      </c>
      <c r="AJ15" s="80">
        <f>IF(AN15=0,I15,0)</f>
        <v>0</v>
      </c>
      <c r="AK15" s="80">
        <f>IF(AN15=12,I15,0)</f>
        <v>0</v>
      </c>
      <c r="AL15" s="80">
        <f>IF(AN15=21,I15,0)</f>
        <v>0</v>
      </c>
      <c r="AN15" s="38">
        <v>21</v>
      </c>
      <c r="AO15" s="38">
        <f>H15*1</f>
        <v>0</v>
      </c>
      <c r="AP15" s="38">
        <f>H15*(1-1)</f>
        <v>0</v>
      </c>
      <c r="AQ15" s="83" t="s">
        <v>132</v>
      </c>
      <c r="AV15" s="38">
        <f>AW15+AX15</f>
        <v>0</v>
      </c>
      <c r="AW15" s="38">
        <f>G15*AO15</f>
        <v>0</v>
      </c>
      <c r="AX15" s="38">
        <f>G15*AP15</f>
        <v>0</v>
      </c>
      <c r="AY15" s="72" t="s">
        <v>2561</v>
      </c>
      <c r="AZ15" s="72" t="s">
        <v>3013</v>
      </c>
      <c r="BA15" s="50" t="s">
        <v>3014</v>
      </c>
      <c r="BC15" s="38">
        <f>AW15+AX15</f>
        <v>0</v>
      </c>
      <c r="BD15" s="38">
        <f>H15/(100-BE15)*100</f>
        <v>0</v>
      </c>
      <c r="BE15" s="38">
        <v>0</v>
      </c>
      <c r="BF15" s="38">
        <f>K15</f>
        <v>0</v>
      </c>
      <c r="BH15" s="80">
        <f>G15*AO15</f>
        <v>0</v>
      </c>
      <c r="BI15" s="80">
        <f>G15*AP15</f>
        <v>0</v>
      </c>
      <c r="BJ15" s="80">
        <f>G15*H15</f>
        <v>0</v>
      </c>
      <c r="BK15" s="80"/>
      <c r="BL15" s="38"/>
      <c r="BW15" s="38">
        <v>21</v>
      </c>
    </row>
    <row r="16" spans="1:75" ht="13.5" customHeight="1">
      <c r="A16" s="1" t="s">
        <v>149</v>
      </c>
      <c r="B16" s="2" t="s">
        <v>95</v>
      </c>
      <c r="C16" s="2" t="s">
        <v>3019</v>
      </c>
      <c r="D16" s="108" t="s">
        <v>3020</v>
      </c>
      <c r="E16" s="103"/>
      <c r="F16" s="2" t="s">
        <v>199</v>
      </c>
      <c r="G16" s="38">
        <f>'Stavební rozpočet'!G1545</f>
        <v>2</v>
      </c>
      <c r="H16" s="38">
        <f>'Stavební rozpočet'!H1545</f>
        <v>0</v>
      </c>
      <c r="I16" s="38">
        <f>G16*H16</f>
        <v>0</v>
      </c>
      <c r="J16" s="38">
        <f>'Stavební rozpočet'!J1545</f>
        <v>0</v>
      </c>
      <c r="K16" s="38">
        <f>G16*J16</f>
        <v>0</v>
      </c>
      <c r="L16" s="71" t="s">
        <v>207</v>
      </c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50" t="s">
        <v>95</v>
      </c>
      <c r="AJ16" s="38">
        <f>IF(AN16=0,I16,0)</f>
        <v>0</v>
      </c>
      <c r="AK16" s="38">
        <f>IF(AN16=12,I16,0)</f>
        <v>0</v>
      </c>
      <c r="AL16" s="38">
        <f>IF(AN16=21,I16,0)</f>
        <v>0</v>
      </c>
      <c r="AN16" s="38">
        <v>21</v>
      </c>
      <c r="AO16" s="38">
        <f>H16*0</f>
        <v>0</v>
      </c>
      <c r="AP16" s="38">
        <f>H16*(1-0)</f>
        <v>0</v>
      </c>
      <c r="AQ16" s="72" t="s">
        <v>143</v>
      </c>
      <c r="AV16" s="38">
        <f>AW16+AX16</f>
        <v>0</v>
      </c>
      <c r="AW16" s="38">
        <f>G16*AO16</f>
        <v>0</v>
      </c>
      <c r="AX16" s="38">
        <f>G16*AP16</f>
        <v>0</v>
      </c>
      <c r="AY16" s="72" t="s">
        <v>2561</v>
      </c>
      <c r="AZ16" s="72" t="s">
        <v>3013</v>
      </c>
      <c r="BA16" s="50" t="s">
        <v>3014</v>
      </c>
      <c r="BC16" s="38">
        <f>AW16+AX16</f>
        <v>0</v>
      </c>
      <c r="BD16" s="38">
        <f>H16/(100-BE16)*100</f>
        <v>0</v>
      </c>
      <c r="BE16" s="38">
        <v>0</v>
      </c>
      <c r="BF16" s="38">
        <f>K16</f>
        <v>0</v>
      </c>
      <c r="BH16" s="38">
        <f>G16*AO16</f>
        <v>0</v>
      </c>
      <c r="BI16" s="38">
        <f>G16*AP16</f>
        <v>0</v>
      </c>
      <c r="BJ16" s="38">
        <f>G16*H16</f>
        <v>0</v>
      </c>
      <c r="BK16" s="38"/>
      <c r="BL16" s="38"/>
      <c r="BW16" s="38">
        <v>21</v>
      </c>
    </row>
    <row r="17" spans="1:12" ht="13.5" customHeight="1">
      <c r="A17" s="74"/>
      <c r="D17" s="194" t="s">
        <v>3021</v>
      </c>
      <c r="E17" s="195"/>
      <c r="F17" s="195"/>
      <c r="G17" s="195"/>
      <c r="H17" s="195"/>
      <c r="I17" s="195"/>
      <c r="J17" s="195"/>
      <c r="K17" s="195"/>
      <c r="L17" s="197"/>
    </row>
    <row r="18" spans="1:75" ht="27" customHeight="1">
      <c r="A18" s="1" t="s">
        <v>157</v>
      </c>
      <c r="B18" s="2" t="s">
        <v>95</v>
      </c>
      <c r="C18" s="2" t="s">
        <v>3023</v>
      </c>
      <c r="D18" s="108" t="s">
        <v>3024</v>
      </c>
      <c r="E18" s="103"/>
      <c r="F18" s="2" t="s">
        <v>263</v>
      </c>
      <c r="G18" s="38">
        <f>'Stavební rozpočet'!G1547</f>
        <v>0.02</v>
      </c>
      <c r="H18" s="38">
        <f>'Stavební rozpočet'!H1547</f>
        <v>0</v>
      </c>
      <c r="I18" s="38">
        <f>G18*H18</f>
        <v>0</v>
      </c>
      <c r="J18" s="38">
        <f>'Stavební rozpočet'!J1547</f>
        <v>0</v>
      </c>
      <c r="K18" s="38">
        <f>G18*J18</f>
        <v>0</v>
      </c>
      <c r="L18" s="71" t="s">
        <v>207</v>
      </c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50" t="s">
        <v>95</v>
      </c>
      <c r="AJ18" s="38">
        <f>IF(AN18=0,I18,0)</f>
        <v>0</v>
      </c>
      <c r="AK18" s="38">
        <f>IF(AN18=12,I18,0)</f>
        <v>0</v>
      </c>
      <c r="AL18" s="38">
        <f>IF(AN18=21,I18,0)</f>
        <v>0</v>
      </c>
      <c r="AN18" s="38">
        <v>21</v>
      </c>
      <c r="AO18" s="38">
        <f>H18*0</f>
        <v>0</v>
      </c>
      <c r="AP18" s="38">
        <f>H18*(1-0)</f>
        <v>0</v>
      </c>
      <c r="AQ18" s="72" t="s">
        <v>132</v>
      </c>
      <c r="AV18" s="38">
        <f>AW18+AX18</f>
        <v>0</v>
      </c>
      <c r="AW18" s="38">
        <f>G18*AO18</f>
        <v>0</v>
      </c>
      <c r="AX18" s="38">
        <f>G18*AP18</f>
        <v>0</v>
      </c>
      <c r="AY18" s="72" t="s">
        <v>2561</v>
      </c>
      <c r="AZ18" s="72" t="s">
        <v>3013</v>
      </c>
      <c r="BA18" s="50" t="s">
        <v>3014</v>
      </c>
      <c r="BC18" s="38">
        <f>AW18+AX18</f>
        <v>0</v>
      </c>
      <c r="BD18" s="38">
        <f>H18/(100-BE18)*100</f>
        <v>0</v>
      </c>
      <c r="BE18" s="38">
        <v>0</v>
      </c>
      <c r="BF18" s="38">
        <f>K18</f>
        <v>0</v>
      </c>
      <c r="BH18" s="38">
        <f>G18*AO18</f>
        <v>0</v>
      </c>
      <c r="BI18" s="38">
        <f>G18*AP18</f>
        <v>0</v>
      </c>
      <c r="BJ18" s="38">
        <f>G18*H18</f>
        <v>0</v>
      </c>
      <c r="BK18" s="38"/>
      <c r="BL18" s="38"/>
      <c r="BW18" s="38">
        <v>21</v>
      </c>
    </row>
    <row r="19" spans="1:12" ht="13.5" customHeight="1">
      <c r="A19" s="74"/>
      <c r="D19" s="194" t="s">
        <v>3025</v>
      </c>
      <c r="E19" s="195"/>
      <c r="F19" s="195"/>
      <c r="G19" s="195"/>
      <c r="H19" s="195"/>
      <c r="I19" s="195"/>
      <c r="J19" s="195"/>
      <c r="K19" s="195"/>
      <c r="L19" s="197"/>
    </row>
    <row r="20" spans="1:75" ht="13.5" customHeight="1">
      <c r="A20" s="78" t="s">
        <v>162</v>
      </c>
      <c r="B20" s="79" t="s">
        <v>95</v>
      </c>
      <c r="C20" s="79" t="s">
        <v>3027</v>
      </c>
      <c r="D20" s="198" t="s">
        <v>3028</v>
      </c>
      <c r="E20" s="199"/>
      <c r="F20" s="79" t="s">
        <v>199</v>
      </c>
      <c r="G20" s="80">
        <f>'Stavební rozpočet'!G1549</f>
        <v>2</v>
      </c>
      <c r="H20" s="80">
        <f>'Stavební rozpočet'!H1549</f>
        <v>0</v>
      </c>
      <c r="I20" s="80">
        <f aca="true" t="shared" si="0" ref="I20:I31">G20*H20</f>
        <v>0</v>
      </c>
      <c r="J20" s="80">
        <f>'Stavební rozpočet'!J1549</f>
        <v>0</v>
      </c>
      <c r="K20" s="80">
        <f aca="true" t="shared" si="1" ref="K20:K31">G20*J20</f>
        <v>0</v>
      </c>
      <c r="L20" s="82" t="s">
        <v>207</v>
      </c>
      <c r="Z20" s="38">
        <f aca="true" t="shared" si="2" ref="Z20:Z31">IF(AQ20="5",BJ20,0)</f>
        <v>0</v>
      </c>
      <c r="AB20" s="38">
        <f aca="true" t="shared" si="3" ref="AB20:AB31">IF(AQ20="1",BH20,0)</f>
        <v>0</v>
      </c>
      <c r="AC20" s="38">
        <f aca="true" t="shared" si="4" ref="AC20:AC31">IF(AQ20="1",BI20,0)</f>
        <v>0</v>
      </c>
      <c r="AD20" s="38">
        <f aca="true" t="shared" si="5" ref="AD20:AD31">IF(AQ20="7",BH20,0)</f>
        <v>0</v>
      </c>
      <c r="AE20" s="38">
        <f aca="true" t="shared" si="6" ref="AE20:AE31">IF(AQ20="7",BI20,0)</f>
        <v>0</v>
      </c>
      <c r="AF20" s="38">
        <f aca="true" t="shared" si="7" ref="AF20:AF31">IF(AQ20="2",BH20,0)</f>
        <v>0</v>
      </c>
      <c r="AG20" s="38">
        <f aca="true" t="shared" si="8" ref="AG20:AG31">IF(AQ20="2",BI20,0)</f>
        <v>0</v>
      </c>
      <c r="AH20" s="38">
        <f aca="true" t="shared" si="9" ref="AH20:AH31">IF(AQ20="0",BJ20,0)</f>
        <v>0</v>
      </c>
      <c r="AI20" s="50" t="s">
        <v>95</v>
      </c>
      <c r="AJ20" s="80">
        <f aca="true" t="shared" si="10" ref="AJ20:AJ31">IF(AN20=0,I20,0)</f>
        <v>0</v>
      </c>
      <c r="AK20" s="80">
        <f aca="true" t="shared" si="11" ref="AK20:AK31">IF(AN20=12,I20,0)</f>
        <v>0</v>
      </c>
      <c r="AL20" s="80">
        <f aca="true" t="shared" si="12" ref="AL20:AL31">IF(AN20=21,I20,0)</f>
        <v>0</v>
      </c>
      <c r="AN20" s="38">
        <v>21</v>
      </c>
      <c r="AO20" s="38">
        <f>H20*1</f>
        <v>0</v>
      </c>
      <c r="AP20" s="38">
        <f>H20*(1-1)</f>
        <v>0</v>
      </c>
      <c r="AQ20" s="83" t="s">
        <v>132</v>
      </c>
      <c r="AV20" s="38">
        <f aca="true" t="shared" si="13" ref="AV20:AV31">AW20+AX20</f>
        <v>0</v>
      </c>
      <c r="AW20" s="38">
        <f aca="true" t="shared" si="14" ref="AW20:AW31">G20*AO20</f>
        <v>0</v>
      </c>
      <c r="AX20" s="38">
        <f aca="true" t="shared" si="15" ref="AX20:AX31">G20*AP20</f>
        <v>0</v>
      </c>
      <c r="AY20" s="72" t="s">
        <v>2561</v>
      </c>
      <c r="AZ20" s="72" t="s">
        <v>3013</v>
      </c>
      <c r="BA20" s="50" t="s">
        <v>3014</v>
      </c>
      <c r="BC20" s="38">
        <f aca="true" t="shared" si="16" ref="BC20:BC31">AW20+AX20</f>
        <v>0</v>
      </c>
      <c r="BD20" s="38">
        <f aca="true" t="shared" si="17" ref="BD20:BD31">H20/(100-BE20)*100</f>
        <v>0</v>
      </c>
      <c r="BE20" s="38">
        <v>0</v>
      </c>
      <c r="BF20" s="38">
        <f aca="true" t="shared" si="18" ref="BF20:BF31">K20</f>
        <v>0</v>
      </c>
      <c r="BH20" s="80">
        <f aca="true" t="shared" si="19" ref="BH20:BH31">G20*AO20</f>
        <v>0</v>
      </c>
      <c r="BI20" s="80">
        <f aca="true" t="shared" si="20" ref="BI20:BI31">G20*AP20</f>
        <v>0</v>
      </c>
      <c r="BJ20" s="80">
        <f aca="true" t="shared" si="21" ref="BJ20:BJ31">G20*H20</f>
        <v>0</v>
      </c>
      <c r="BK20" s="80"/>
      <c r="BL20" s="38"/>
      <c r="BW20" s="38">
        <v>21</v>
      </c>
    </row>
    <row r="21" spans="1:75" ht="27" customHeight="1">
      <c r="A21" s="1" t="s">
        <v>166</v>
      </c>
      <c r="B21" s="2" t="s">
        <v>95</v>
      </c>
      <c r="C21" s="2" t="s">
        <v>2669</v>
      </c>
      <c r="D21" s="108" t="s">
        <v>3029</v>
      </c>
      <c r="E21" s="103"/>
      <c r="F21" s="2" t="s">
        <v>199</v>
      </c>
      <c r="G21" s="38">
        <f>'Stavební rozpočet'!G1550</f>
        <v>11</v>
      </c>
      <c r="H21" s="38">
        <f>'Stavební rozpočet'!H1550</f>
        <v>0</v>
      </c>
      <c r="I21" s="38">
        <f t="shared" si="0"/>
        <v>0</v>
      </c>
      <c r="J21" s="38">
        <f>'Stavební rozpočet'!J1550</f>
        <v>0</v>
      </c>
      <c r="K21" s="38">
        <f t="shared" si="1"/>
        <v>0</v>
      </c>
      <c r="L21" s="71" t="s">
        <v>207</v>
      </c>
      <c r="Z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0</v>
      </c>
      <c r="AE21" s="38">
        <f t="shared" si="6"/>
        <v>0</v>
      </c>
      <c r="AF21" s="38">
        <f t="shared" si="7"/>
        <v>0</v>
      </c>
      <c r="AG21" s="38">
        <f t="shared" si="8"/>
        <v>0</v>
      </c>
      <c r="AH21" s="38">
        <f t="shared" si="9"/>
        <v>0</v>
      </c>
      <c r="AI21" s="50" t="s">
        <v>95</v>
      </c>
      <c r="AJ21" s="38">
        <f t="shared" si="10"/>
        <v>0</v>
      </c>
      <c r="AK21" s="38">
        <f t="shared" si="11"/>
        <v>0</v>
      </c>
      <c r="AL21" s="38">
        <f t="shared" si="12"/>
        <v>0</v>
      </c>
      <c r="AN21" s="38">
        <v>21</v>
      </c>
      <c r="AO21" s="38">
        <f>H21*0</f>
        <v>0</v>
      </c>
      <c r="AP21" s="38">
        <f>H21*(1-0)</f>
        <v>0</v>
      </c>
      <c r="AQ21" s="72" t="s">
        <v>132</v>
      </c>
      <c r="AV21" s="38">
        <f t="shared" si="13"/>
        <v>0</v>
      </c>
      <c r="AW21" s="38">
        <f t="shared" si="14"/>
        <v>0</v>
      </c>
      <c r="AX21" s="38">
        <f t="shared" si="15"/>
        <v>0</v>
      </c>
      <c r="AY21" s="72" t="s">
        <v>2561</v>
      </c>
      <c r="AZ21" s="72" t="s">
        <v>3013</v>
      </c>
      <c r="BA21" s="50" t="s">
        <v>3014</v>
      </c>
      <c r="BC21" s="38">
        <f t="shared" si="16"/>
        <v>0</v>
      </c>
      <c r="BD21" s="38">
        <f t="shared" si="17"/>
        <v>0</v>
      </c>
      <c r="BE21" s="38">
        <v>0</v>
      </c>
      <c r="BF21" s="38">
        <f t="shared" si="18"/>
        <v>0</v>
      </c>
      <c r="BH21" s="38">
        <f t="shared" si="19"/>
        <v>0</v>
      </c>
      <c r="BI21" s="38">
        <f t="shared" si="20"/>
        <v>0</v>
      </c>
      <c r="BJ21" s="38">
        <f t="shared" si="21"/>
        <v>0</v>
      </c>
      <c r="BK21" s="38"/>
      <c r="BL21" s="38"/>
      <c r="BW21" s="38">
        <v>21</v>
      </c>
    </row>
    <row r="22" spans="1:75" ht="27" customHeight="1">
      <c r="A22" s="78" t="s">
        <v>169</v>
      </c>
      <c r="B22" s="79" t="s">
        <v>95</v>
      </c>
      <c r="C22" s="79" t="s">
        <v>2672</v>
      </c>
      <c r="D22" s="198" t="s">
        <v>2673</v>
      </c>
      <c r="E22" s="199"/>
      <c r="F22" s="79" t="s">
        <v>2567</v>
      </c>
      <c r="G22" s="80">
        <f>'Stavební rozpočet'!G1551</f>
        <v>11</v>
      </c>
      <c r="H22" s="80">
        <f>'Stavební rozpočet'!H1551</f>
        <v>0</v>
      </c>
      <c r="I22" s="80">
        <f t="shared" si="0"/>
        <v>0</v>
      </c>
      <c r="J22" s="80">
        <f>'Stavební rozpočet'!J1551</f>
        <v>0</v>
      </c>
      <c r="K22" s="80">
        <f t="shared" si="1"/>
        <v>0</v>
      </c>
      <c r="L22" s="82" t="s">
        <v>207</v>
      </c>
      <c r="Z22" s="38">
        <f t="shared" si="2"/>
        <v>0</v>
      </c>
      <c r="AB22" s="38">
        <f t="shared" si="3"/>
        <v>0</v>
      </c>
      <c r="AC22" s="38">
        <f t="shared" si="4"/>
        <v>0</v>
      </c>
      <c r="AD22" s="38">
        <f t="shared" si="5"/>
        <v>0</v>
      </c>
      <c r="AE22" s="38">
        <f t="shared" si="6"/>
        <v>0</v>
      </c>
      <c r="AF22" s="38">
        <f t="shared" si="7"/>
        <v>0</v>
      </c>
      <c r="AG22" s="38">
        <f t="shared" si="8"/>
        <v>0</v>
      </c>
      <c r="AH22" s="38">
        <f t="shared" si="9"/>
        <v>0</v>
      </c>
      <c r="AI22" s="50" t="s">
        <v>95</v>
      </c>
      <c r="AJ22" s="80">
        <f t="shared" si="10"/>
        <v>0</v>
      </c>
      <c r="AK22" s="80">
        <f t="shared" si="11"/>
        <v>0</v>
      </c>
      <c r="AL22" s="80">
        <f t="shared" si="12"/>
        <v>0</v>
      </c>
      <c r="AN22" s="38">
        <v>21</v>
      </c>
      <c r="AO22" s="38">
        <f>H22*1</f>
        <v>0</v>
      </c>
      <c r="AP22" s="38">
        <f>H22*(1-1)</f>
        <v>0</v>
      </c>
      <c r="AQ22" s="83" t="s">
        <v>132</v>
      </c>
      <c r="AV22" s="38">
        <f t="shared" si="13"/>
        <v>0</v>
      </c>
      <c r="AW22" s="38">
        <f t="shared" si="14"/>
        <v>0</v>
      </c>
      <c r="AX22" s="38">
        <f t="shared" si="15"/>
        <v>0</v>
      </c>
      <c r="AY22" s="72" t="s">
        <v>2561</v>
      </c>
      <c r="AZ22" s="72" t="s">
        <v>3013</v>
      </c>
      <c r="BA22" s="50" t="s">
        <v>3014</v>
      </c>
      <c r="BC22" s="38">
        <f t="shared" si="16"/>
        <v>0</v>
      </c>
      <c r="BD22" s="38">
        <f t="shared" si="17"/>
        <v>0</v>
      </c>
      <c r="BE22" s="38">
        <v>0</v>
      </c>
      <c r="BF22" s="38">
        <f t="shared" si="18"/>
        <v>0</v>
      </c>
      <c r="BH22" s="80">
        <f t="shared" si="19"/>
        <v>0</v>
      </c>
      <c r="BI22" s="80">
        <f t="shared" si="20"/>
        <v>0</v>
      </c>
      <c r="BJ22" s="80">
        <f t="shared" si="21"/>
        <v>0</v>
      </c>
      <c r="BK22" s="80"/>
      <c r="BL22" s="38"/>
      <c r="BW22" s="38">
        <v>21</v>
      </c>
    </row>
    <row r="23" spans="1:75" ht="27" customHeight="1">
      <c r="A23" s="1" t="s">
        <v>174</v>
      </c>
      <c r="B23" s="2" t="s">
        <v>95</v>
      </c>
      <c r="C23" s="2" t="s">
        <v>2758</v>
      </c>
      <c r="D23" s="108" t="s">
        <v>2759</v>
      </c>
      <c r="E23" s="103"/>
      <c r="F23" s="2" t="s">
        <v>189</v>
      </c>
      <c r="G23" s="38">
        <f>'Stavební rozpočet'!G1552</f>
        <v>0.15</v>
      </c>
      <c r="H23" s="38">
        <f>'Stavební rozpočet'!H1552</f>
        <v>0</v>
      </c>
      <c r="I23" s="38">
        <f t="shared" si="0"/>
        <v>0</v>
      </c>
      <c r="J23" s="38">
        <f>'Stavební rozpočet'!J1552</f>
        <v>0</v>
      </c>
      <c r="K23" s="38">
        <f t="shared" si="1"/>
        <v>0</v>
      </c>
      <c r="L23" s="71" t="s">
        <v>207</v>
      </c>
      <c r="Z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0</v>
      </c>
      <c r="AF23" s="38">
        <f t="shared" si="7"/>
        <v>0</v>
      </c>
      <c r="AG23" s="38">
        <f t="shared" si="8"/>
        <v>0</v>
      </c>
      <c r="AH23" s="38">
        <f t="shared" si="9"/>
        <v>0</v>
      </c>
      <c r="AI23" s="50" t="s">
        <v>95</v>
      </c>
      <c r="AJ23" s="38">
        <f t="shared" si="10"/>
        <v>0</v>
      </c>
      <c r="AK23" s="38">
        <f t="shared" si="11"/>
        <v>0</v>
      </c>
      <c r="AL23" s="38">
        <f t="shared" si="12"/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162</v>
      </c>
      <c r="AV23" s="38">
        <f t="shared" si="13"/>
        <v>0</v>
      </c>
      <c r="AW23" s="38">
        <f t="shared" si="14"/>
        <v>0</v>
      </c>
      <c r="AX23" s="38">
        <f t="shared" si="15"/>
        <v>0</v>
      </c>
      <c r="AY23" s="72" t="s">
        <v>2561</v>
      </c>
      <c r="AZ23" s="72" t="s">
        <v>3013</v>
      </c>
      <c r="BA23" s="50" t="s">
        <v>3014</v>
      </c>
      <c r="BC23" s="38">
        <f t="shared" si="16"/>
        <v>0</v>
      </c>
      <c r="BD23" s="38">
        <f t="shared" si="17"/>
        <v>0</v>
      </c>
      <c r="BE23" s="38">
        <v>0</v>
      </c>
      <c r="BF23" s="38">
        <f t="shared" si="18"/>
        <v>0</v>
      </c>
      <c r="BH23" s="38">
        <f t="shared" si="19"/>
        <v>0</v>
      </c>
      <c r="BI23" s="38">
        <f t="shared" si="20"/>
        <v>0</v>
      </c>
      <c r="BJ23" s="38">
        <f t="shared" si="21"/>
        <v>0</v>
      </c>
      <c r="BK23" s="38"/>
      <c r="BL23" s="38"/>
      <c r="BW23" s="38">
        <v>21</v>
      </c>
    </row>
    <row r="24" spans="1:75" ht="13.5" customHeight="1">
      <c r="A24" s="1" t="s">
        <v>180</v>
      </c>
      <c r="B24" s="2" t="s">
        <v>95</v>
      </c>
      <c r="C24" s="2" t="s">
        <v>3031</v>
      </c>
      <c r="D24" s="108" t="s">
        <v>3032</v>
      </c>
      <c r="E24" s="103"/>
      <c r="F24" s="2" t="s">
        <v>199</v>
      </c>
      <c r="G24" s="38">
        <f>'Stavební rozpočet'!G1553</f>
        <v>11</v>
      </c>
      <c r="H24" s="38">
        <f>'Stavební rozpočet'!H1553</f>
        <v>0</v>
      </c>
      <c r="I24" s="38">
        <f t="shared" si="0"/>
        <v>0</v>
      </c>
      <c r="J24" s="38">
        <f>'Stavební rozpočet'!J1553</f>
        <v>0</v>
      </c>
      <c r="K24" s="38">
        <f t="shared" si="1"/>
        <v>0</v>
      </c>
      <c r="L24" s="71" t="s">
        <v>207</v>
      </c>
      <c r="Z24" s="38">
        <f t="shared" si="2"/>
        <v>0</v>
      </c>
      <c r="AB24" s="38">
        <f t="shared" si="3"/>
        <v>0</v>
      </c>
      <c r="AC24" s="38">
        <f t="shared" si="4"/>
        <v>0</v>
      </c>
      <c r="AD24" s="38">
        <f t="shared" si="5"/>
        <v>0</v>
      </c>
      <c r="AE24" s="38">
        <f t="shared" si="6"/>
        <v>0</v>
      </c>
      <c r="AF24" s="38">
        <f t="shared" si="7"/>
        <v>0</v>
      </c>
      <c r="AG24" s="38">
        <f t="shared" si="8"/>
        <v>0</v>
      </c>
      <c r="AH24" s="38">
        <f t="shared" si="9"/>
        <v>0</v>
      </c>
      <c r="AI24" s="50" t="s">
        <v>95</v>
      </c>
      <c r="AJ24" s="38">
        <f t="shared" si="10"/>
        <v>0</v>
      </c>
      <c r="AK24" s="38">
        <f t="shared" si="11"/>
        <v>0</v>
      </c>
      <c r="AL24" s="38">
        <f t="shared" si="12"/>
        <v>0</v>
      </c>
      <c r="AN24" s="38">
        <v>21</v>
      </c>
      <c r="AO24" s="38">
        <f>H24*0</f>
        <v>0</v>
      </c>
      <c r="AP24" s="38">
        <f>H24*(1-0)</f>
        <v>0</v>
      </c>
      <c r="AQ24" s="72" t="s">
        <v>132</v>
      </c>
      <c r="AV24" s="38">
        <f t="shared" si="13"/>
        <v>0</v>
      </c>
      <c r="AW24" s="38">
        <f t="shared" si="14"/>
        <v>0</v>
      </c>
      <c r="AX24" s="38">
        <f t="shared" si="15"/>
        <v>0</v>
      </c>
      <c r="AY24" s="72" t="s">
        <v>2561</v>
      </c>
      <c r="AZ24" s="72" t="s">
        <v>3013</v>
      </c>
      <c r="BA24" s="50" t="s">
        <v>3014</v>
      </c>
      <c r="BC24" s="38">
        <f t="shared" si="16"/>
        <v>0</v>
      </c>
      <c r="BD24" s="38">
        <f t="shared" si="17"/>
        <v>0</v>
      </c>
      <c r="BE24" s="38">
        <v>0</v>
      </c>
      <c r="BF24" s="38">
        <f t="shared" si="18"/>
        <v>0</v>
      </c>
      <c r="BH24" s="38">
        <f t="shared" si="19"/>
        <v>0</v>
      </c>
      <c r="BI24" s="38">
        <f t="shared" si="20"/>
        <v>0</v>
      </c>
      <c r="BJ24" s="38">
        <f t="shared" si="21"/>
        <v>0</v>
      </c>
      <c r="BK24" s="38"/>
      <c r="BL24" s="38"/>
      <c r="BW24" s="38">
        <v>21</v>
      </c>
    </row>
    <row r="25" spans="1:75" ht="27" customHeight="1">
      <c r="A25" s="1" t="s">
        <v>186</v>
      </c>
      <c r="B25" s="2" t="s">
        <v>95</v>
      </c>
      <c r="C25" s="2" t="s">
        <v>3033</v>
      </c>
      <c r="D25" s="108" t="s">
        <v>3034</v>
      </c>
      <c r="E25" s="103"/>
      <c r="F25" s="2" t="s">
        <v>199</v>
      </c>
      <c r="G25" s="38">
        <f>'Stavební rozpočet'!G1554</f>
        <v>22</v>
      </c>
      <c r="H25" s="38">
        <f>'Stavební rozpočet'!H1554</f>
        <v>0</v>
      </c>
      <c r="I25" s="38">
        <f t="shared" si="0"/>
        <v>0</v>
      </c>
      <c r="J25" s="38">
        <f>'Stavební rozpočet'!J1554</f>
        <v>0</v>
      </c>
      <c r="K25" s="38">
        <f t="shared" si="1"/>
        <v>0</v>
      </c>
      <c r="L25" s="71" t="s">
        <v>207</v>
      </c>
      <c r="Z25" s="38">
        <f t="shared" si="2"/>
        <v>0</v>
      </c>
      <c r="AB25" s="38">
        <f t="shared" si="3"/>
        <v>0</v>
      </c>
      <c r="AC25" s="38">
        <f t="shared" si="4"/>
        <v>0</v>
      </c>
      <c r="AD25" s="38">
        <f t="shared" si="5"/>
        <v>0</v>
      </c>
      <c r="AE25" s="38">
        <f t="shared" si="6"/>
        <v>0</v>
      </c>
      <c r="AF25" s="38">
        <f t="shared" si="7"/>
        <v>0</v>
      </c>
      <c r="AG25" s="38">
        <f t="shared" si="8"/>
        <v>0</v>
      </c>
      <c r="AH25" s="38">
        <f t="shared" si="9"/>
        <v>0</v>
      </c>
      <c r="AI25" s="50" t="s">
        <v>95</v>
      </c>
      <c r="AJ25" s="38">
        <f t="shared" si="10"/>
        <v>0</v>
      </c>
      <c r="AK25" s="38">
        <f t="shared" si="11"/>
        <v>0</v>
      </c>
      <c r="AL25" s="38">
        <f t="shared" si="12"/>
        <v>0</v>
      </c>
      <c r="AN25" s="38">
        <v>21</v>
      </c>
      <c r="AO25" s="38">
        <f>H25*0</f>
        <v>0</v>
      </c>
      <c r="AP25" s="38">
        <f>H25*(1-0)</f>
        <v>0</v>
      </c>
      <c r="AQ25" s="72" t="s">
        <v>132</v>
      </c>
      <c r="AV25" s="38">
        <f t="shared" si="13"/>
        <v>0</v>
      </c>
      <c r="AW25" s="38">
        <f t="shared" si="14"/>
        <v>0</v>
      </c>
      <c r="AX25" s="38">
        <f t="shared" si="15"/>
        <v>0</v>
      </c>
      <c r="AY25" s="72" t="s">
        <v>2561</v>
      </c>
      <c r="AZ25" s="72" t="s">
        <v>3013</v>
      </c>
      <c r="BA25" s="50" t="s">
        <v>3014</v>
      </c>
      <c r="BC25" s="38">
        <f t="shared" si="16"/>
        <v>0</v>
      </c>
      <c r="BD25" s="38">
        <f t="shared" si="17"/>
        <v>0</v>
      </c>
      <c r="BE25" s="38">
        <v>0</v>
      </c>
      <c r="BF25" s="38">
        <f t="shared" si="18"/>
        <v>0</v>
      </c>
      <c r="BH25" s="38">
        <f t="shared" si="19"/>
        <v>0</v>
      </c>
      <c r="BI25" s="38">
        <f t="shared" si="20"/>
        <v>0</v>
      </c>
      <c r="BJ25" s="38">
        <f t="shared" si="21"/>
        <v>0</v>
      </c>
      <c r="BK25" s="38"/>
      <c r="BL25" s="38"/>
      <c r="BW25" s="38">
        <v>21</v>
      </c>
    </row>
    <row r="26" spans="1:75" ht="27" customHeight="1">
      <c r="A26" s="78" t="s">
        <v>191</v>
      </c>
      <c r="B26" s="79" t="s">
        <v>95</v>
      </c>
      <c r="C26" s="79" t="s">
        <v>3035</v>
      </c>
      <c r="D26" s="198" t="s">
        <v>3036</v>
      </c>
      <c r="E26" s="199"/>
      <c r="F26" s="79" t="s">
        <v>2567</v>
      </c>
      <c r="G26" s="80">
        <f>'Stavební rozpočet'!G1555</f>
        <v>11</v>
      </c>
      <c r="H26" s="80">
        <f>'Stavební rozpočet'!H1555</f>
        <v>0</v>
      </c>
      <c r="I26" s="80">
        <f t="shared" si="0"/>
        <v>0</v>
      </c>
      <c r="J26" s="80">
        <f>'Stavební rozpočet'!J1555</f>
        <v>0</v>
      </c>
      <c r="K26" s="80">
        <f t="shared" si="1"/>
        <v>0</v>
      </c>
      <c r="L26" s="82" t="s">
        <v>207</v>
      </c>
      <c r="Z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0</v>
      </c>
      <c r="AF26" s="38">
        <f t="shared" si="7"/>
        <v>0</v>
      </c>
      <c r="AG26" s="38">
        <f t="shared" si="8"/>
        <v>0</v>
      </c>
      <c r="AH26" s="38">
        <f t="shared" si="9"/>
        <v>0</v>
      </c>
      <c r="AI26" s="50" t="s">
        <v>95</v>
      </c>
      <c r="AJ26" s="80">
        <f t="shared" si="10"/>
        <v>0</v>
      </c>
      <c r="AK26" s="80">
        <f t="shared" si="11"/>
        <v>0</v>
      </c>
      <c r="AL26" s="80">
        <f t="shared" si="12"/>
        <v>0</v>
      </c>
      <c r="AN26" s="38">
        <v>21</v>
      </c>
      <c r="AO26" s="38">
        <f>H26*1</f>
        <v>0</v>
      </c>
      <c r="AP26" s="38">
        <f>H26*(1-1)</f>
        <v>0</v>
      </c>
      <c r="AQ26" s="83" t="s">
        <v>132</v>
      </c>
      <c r="AV26" s="38">
        <f t="shared" si="13"/>
        <v>0</v>
      </c>
      <c r="AW26" s="38">
        <f t="shared" si="14"/>
        <v>0</v>
      </c>
      <c r="AX26" s="38">
        <f t="shared" si="15"/>
        <v>0</v>
      </c>
      <c r="AY26" s="72" t="s">
        <v>2561</v>
      </c>
      <c r="AZ26" s="72" t="s">
        <v>3013</v>
      </c>
      <c r="BA26" s="50" t="s">
        <v>3014</v>
      </c>
      <c r="BC26" s="38">
        <f t="shared" si="16"/>
        <v>0</v>
      </c>
      <c r="BD26" s="38">
        <f t="shared" si="17"/>
        <v>0</v>
      </c>
      <c r="BE26" s="38">
        <v>0</v>
      </c>
      <c r="BF26" s="38">
        <f t="shared" si="18"/>
        <v>0</v>
      </c>
      <c r="BH26" s="80">
        <f t="shared" si="19"/>
        <v>0</v>
      </c>
      <c r="BI26" s="80">
        <f t="shared" si="20"/>
        <v>0</v>
      </c>
      <c r="BJ26" s="80">
        <f t="shared" si="21"/>
        <v>0</v>
      </c>
      <c r="BK26" s="80"/>
      <c r="BL26" s="38"/>
      <c r="BW26" s="38">
        <v>21</v>
      </c>
    </row>
    <row r="27" spans="1:75" ht="13.5" customHeight="1">
      <c r="A27" s="78" t="s">
        <v>130</v>
      </c>
      <c r="B27" s="79" t="s">
        <v>95</v>
      </c>
      <c r="C27" s="79" t="s">
        <v>3038</v>
      </c>
      <c r="D27" s="198" t="s">
        <v>3039</v>
      </c>
      <c r="E27" s="199"/>
      <c r="F27" s="79" t="s">
        <v>2567</v>
      </c>
      <c r="G27" s="80">
        <f>'Stavební rozpočet'!G1556</f>
        <v>22</v>
      </c>
      <c r="H27" s="80">
        <f>'Stavební rozpočet'!H1556</f>
        <v>0</v>
      </c>
      <c r="I27" s="80">
        <f t="shared" si="0"/>
        <v>0</v>
      </c>
      <c r="J27" s="80">
        <f>'Stavební rozpočet'!J1556</f>
        <v>0</v>
      </c>
      <c r="K27" s="80">
        <f t="shared" si="1"/>
        <v>0</v>
      </c>
      <c r="L27" s="82" t="s">
        <v>207</v>
      </c>
      <c r="Z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0</v>
      </c>
      <c r="AE27" s="38">
        <f t="shared" si="6"/>
        <v>0</v>
      </c>
      <c r="AF27" s="38">
        <f t="shared" si="7"/>
        <v>0</v>
      </c>
      <c r="AG27" s="38">
        <f t="shared" si="8"/>
        <v>0</v>
      </c>
      <c r="AH27" s="38">
        <f t="shared" si="9"/>
        <v>0</v>
      </c>
      <c r="AI27" s="50" t="s">
        <v>95</v>
      </c>
      <c r="AJ27" s="80">
        <f t="shared" si="10"/>
        <v>0</v>
      </c>
      <c r="AK27" s="80">
        <f t="shared" si="11"/>
        <v>0</v>
      </c>
      <c r="AL27" s="80">
        <f t="shared" si="12"/>
        <v>0</v>
      </c>
      <c r="AN27" s="38">
        <v>21</v>
      </c>
      <c r="AO27" s="38">
        <f>H27*1</f>
        <v>0</v>
      </c>
      <c r="AP27" s="38">
        <f>H27*(1-1)</f>
        <v>0</v>
      </c>
      <c r="AQ27" s="83" t="s">
        <v>132</v>
      </c>
      <c r="AV27" s="38">
        <f t="shared" si="13"/>
        <v>0</v>
      </c>
      <c r="AW27" s="38">
        <f t="shared" si="14"/>
        <v>0</v>
      </c>
      <c r="AX27" s="38">
        <f t="shared" si="15"/>
        <v>0</v>
      </c>
      <c r="AY27" s="72" t="s">
        <v>2561</v>
      </c>
      <c r="AZ27" s="72" t="s">
        <v>3013</v>
      </c>
      <c r="BA27" s="50" t="s">
        <v>3014</v>
      </c>
      <c r="BC27" s="38">
        <f t="shared" si="16"/>
        <v>0</v>
      </c>
      <c r="BD27" s="38">
        <f t="shared" si="17"/>
        <v>0</v>
      </c>
      <c r="BE27" s="38">
        <v>0</v>
      </c>
      <c r="BF27" s="38">
        <f t="shared" si="18"/>
        <v>0</v>
      </c>
      <c r="BH27" s="80">
        <f t="shared" si="19"/>
        <v>0</v>
      </c>
      <c r="BI27" s="80">
        <f t="shared" si="20"/>
        <v>0</v>
      </c>
      <c r="BJ27" s="80">
        <f t="shared" si="21"/>
        <v>0</v>
      </c>
      <c r="BK27" s="80"/>
      <c r="BL27" s="38"/>
      <c r="BW27" s="38">
        <v>21</v>
      </c>
    </row>
    <row r="28" spans="1:75" ht="13.5" customHeight="1">
      <c r="A28" s="78" t="s">
        <v>147</v>
      </c>
      <c r="B28" s="79" t="s">
        <v>95</v>
      </c>
      <c r="C28" s="79" t="s">
        <v>3041</v>
      </c>
      <c r="D28" s="198" t="s">
        <v>3042</v>
      </c>
      <c r="E28" s="199"/>
      <c r="F28" s="79" t="s">
        <v>2567</v>
      </c>
      <c r="G28" s="80">
        <f>'Stavební rozpočet'!G1557</f>
        <v>11</v>
      </c>
      <c r="H28" s="80">
        <f>'Stavební rozpočet'!H1557</f>
        <v>0</v>
      </c>
      <c r="I28" s="80">
        <f t="shared" si="0"/>
        <v>0</v>
      </c>
      <c r="J28" s="80">
        <f>'Stavební rozpočet'!J1557</f>
        <v>0</v>
      </c>
      <c r="K28" s="80">
        <f t="shared" si="1"/>
        <v>0</v>
      </c>
      <c r="L28" s="82" t="s">
        <v>207</v>
      </c>
      <c r="Z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0</v>
      </c>
      <c r="AF28" s="38">
        <f t="shared" si="7"/>
        <v>0</v>
      </c>
      <c r="AG28" s="38">
        <f t="shared" si="8"/>
        <v>0</v>
      </c>
      <c r="AH28" s="38">
        <f t="shared" si="9"/>
        <v>0</v>
      </c>
      <c r="AI28" s="50" t="s">
        <v>95</v>
      </c>
      <c r="AJ28" s="80">
        <f t="shared" si="10"/>
        <v>0</v>
      </c>
      <c r="AK28" s="80">
        <f t="shared" si="11"/>
        <v>0</v>
      </c>
      <c r="AL28" s="80">
        <f t="shared" si="12"/>
        <v>0</v>
      </c>
      <c r="AN28" s="38">
        <v>21</v>
      </c>
      <c r="AO28" s="38">
        <f>H28*1</f>
        <v>0</v>
      </c>
      <c r="AP28" s="38">
        <f>H28*(1-1)</f>
        <v>0</v>
      </c>
      <c r="AQ28" s="83" t="s">
        <v>132</v>
      </c>
      <c r="AV28" s="38">
        <f t="shared" si="13"/>
        <v>0</v>
      </c>
      <c r="AW28" s="38">
        <f t="shared" si="14"/>
        <v>0</v>
      </c>
      <c r="AX28" s="38">
        <f t="shared" si="15"/>
        <v>0</v>
      </c>
      <c r="AY28" s="72" t="s">
        <v>2561</v>
      </c>
      <c r="AZ28" s="72" t="s">
        <v>3013</v>
      </c>
      <c r="BA28" s="50" t="s">
        <v>3014</v>
      </c>
      <c r="BC28" s="38">
        <f t="shared" si="16"/>
        <v>0</v>
      </c>
      <c r="BD28" s="38">
        <f t="shared" si="17"/>
        <v>0</v>
      </c>
      <c r="BE28" s="38">
        <v>0</v>
      </c>
      <c r="BF28" s="38">
        <f t="shared" si="18"/>
        <v>0</v>
      </c>
      <c r="BH28" s="80">
        <f t="shared" si="19"/>
        <v>0</v>
      </c>
      <c r="BI28" s="80">
        <f t="shared" si="20"/>
        <v>0</v>
      </c>
      <c r="BJ28" s="80">
        <f t="shared" si="21"/>
        <v>0</v>
      </c>
      <c r="BK28" s="80"/>
      <c r="BL28" s="38"/>
      <c r="BW28" s="38">
        <v>21</v>
      </c>
    </row>
    <row r="29" spans="1:75" ht="13.5" customHeight="1">
      <c r="A29" s="78" t="s">
        <v>211</v>
      </c>
      <c r="B29" s="79" t="s">
        <v>95</v>
      </c>
      <c r="C29" s="79" t="s">
        <v>3044</v>
      </c>
      <c r="D29" s="198" t="s">
        <v>3045</v>
      </c>
      <c r="E29" s="199"/>
      <c r="F29" s="79" t="s">
        <v>2567</v>
      </c>
      <c r="G29" s="80">
        <f>'Stavební rozpočet'!G1558</f>
        <v>11</v>
      </c>
      <c r="H29" s="80">
        <f>'Stavební rozpočet'!H1558</f>
        <v>0</v>
      </c>
      <c r="I29" s="80">
        <f t="shared" si="0"/>
        <v>0</v>
      </c>
      <c r="J29" s="80">
        <f>'Stavební rozpočet'!J1558</f>
        <v>0</v>
      </c>
      <c r="K29" s="80">
        <f t="shared" si="1"/>
        <v>0</v>
      </c>
      <c r="L29" s="82" t="s">
        <v>207</v>
      </c>
      <c r="Z29" s="38">
        <f t="shared" si="2"/>
        <v>0</v>
      </c>
      <c r="AB29" s="38">
        <f t="shared" si="3"/>
        <v>0</v>
      </c>
      <c r="AC29" s="38">
        <f t="shared" si="4"/>
        <v>0</v>
      </c>
      <c r="AD29" s="38">
        <f t="shared" si="5"/>
        <v>0</v>
      </c>
      <c r="AE29" s="38">
        <f t="shared" si="6"/>
        <v>0</v>
      </c>
      <c r="AF29" s="38">
        <f t="shared" si="7"/>
        <v>0</v>
      </c>
      <c r="AG29" s="38">
        <f t="shared" si="8"/>
        <v>0</v>
      </c>
      <c r="AH29" s="38">
        <f t="shared" si="9"/>
        <v>0</v>
      </c>
      <c r="AI29" s="50" t="s">
        <v>95</v>
      </c>
      <c r="AJ29" s="80">
        <f t="shared" si="10"/>
        <v>0</v>
      </c>
      <c r="AK29" s="80">
        <f t="shared" si="11"/>
        <v>0</v>
      </c>
      <c r="AL29" s="80">
        <f t="shared" si="12"/>
        <v>0</v>
      </c>
      <c r="AN29" s="38">
        <v>21</v>
      </c>
      <c r="AO29" s="38">
        <f>H29*1</f>
        <v>0</v>
      </c>
      <c r="AP29" s="38">
        <f>H29*(1-1)</f>
        <v>0</v>
      </c>
      <c r="AQ29" s="83" t="s">
        <v>132</v>
      </c>
      <c r="AV29" s="38">
        <f t="shared" si="13"/>
        <v>0</v>
      </c>
      <c r="AW29" s="38">
        <f t="shared" si="14"/>
        <v>0</v>
      </c>
      <c r="AX29" s="38">
        <f t="shared" si="15"/>
        <v>0</v>
      </c>
      <c r="AY29" s="72" t="s">
        <v>2561</v>
      </c>
      <c r="AZ29" s="72" t="s">
        <v>3013</v>
      </c>
      <c r="BA29" s="50" t="s">
        <v>3014</v>
      </c>
      <c r="BC29" s="38">
        <f t="shared" si="16"/>
        <v>0</v>
      </c>
      <c r="BD29" s="38">
        <f t="shared" si="17"/>
        <v>0</v>
      </c>
      <c r="BE29" s="38">
        <v>0</v>
      </c>
      <c r="BF29" s="38">
        <f t="shared" si="18"/>
        <v>0</v>
      </c>
      <c r="BH29" s="80">
        <f t="shared" si="19"/>
        <v>0</v>
      </c>
      <c r="BI29" s="80">
        <f t="shared" si="20"/>
        <v>0</v>
      </c>
      <c r="BJ29" s="80">
        <f t="shared" si="21"/>
        <v>0</v>
      </c>
      <c r="BK29" s="80"/>
      <c r="BL29" s="38"/>
      <c r="BW29" s="38">
        <v>21</v>
      </c>
    </row>
    <row r="30" spans="1:75" ht="13.5" customHeight="1">
      <c r="A30" s="78" t="s">
        <v>217</v>
      </c>
      <c r="B30" s="79" t="s">
        <v>95</v>
      </c>
      <c r="C30" s="79" t="s">
        <v>2569</v>
      </c>
      <c r="D30" s="198" t="s">
        <v>2570</v>
      </c>
      <c r="E30" s="199"/>
      <c r="F30" s="79" t="s">
        <v>2567</v>
      </c>
      <c r="G30" s="80">
        <f>'Stavební rozpočet'!G1559</f>
        <v>11</v>
      </c>
      <c r="H30" s="80">
        <f>'Stavební rozpočet'!H1559</f>
        <v>0</v>
      </c>
      <c r="I30" s="80">
        <f t="shared" si="0"/>
        <v>0</v>
      </c>
      <c r="J30" s="80">
        <f>'Stavební rozpočet'!J1559</f>
        <v>0</v>
      </c>
      <c r="K30" s="80">
        <f t="shared" si="1"/>
        <v>0</v>
      </c>
      <c r="L30" s="82" t="s">
        <v>207</v>
      </c>
      <c r="Z30" s="38">
        <f t="shared" si="2"/>
        <v>0</v>
      </c>
      <c r="AB30" s="38">
        <f t="shared" si="3"/>
        <v>0</v>
      </c>
      <c r="AC30" s="38">
        <f t="shared" si="4"/>
        <v>0</v>
      </c>
      <c r="AD30" s="38">
        <f t="shared" si="5"/>
        <v>0</v>
      </c>
      <c r="AE30" s="38">
        <f t="shared" si="6"/>
        <v>0</v>
      </c>
      <c r="AF30" s="38">
        <f t="shared" si="7"/>
        <v>0</v>
      </c>
      <c r="AG30" s="38">
        <f t="shared" si="8"/>
        <v>0</v>
      </c>
      <c r="AH30" s="38">
        <f t="shared" si="9"/>
        <v>0</v>
      </c>
      <c r="AI30" s="50" t="s">
        <v>95</v>
      </c>
      <c r="AJ30" s="80">
        <f t="shared" si="10"/>
        <v>0</v>
      </c>
      <c r="AK30" s="80">
        <f t="shared" si="11"/>
        <v>0</v>
      </c>
      <c r="AL30" s="80">
        <f t="shared" si="12"/>
        <v>0</v>
      </c>
      <c r="AN30" s="38">
        <v>21</v>
      </c>
      <c r="AO30" s="38">
        <f>H30*1</f>
        <v>0</v>
      </c>
      <c r="AP30" s="38">
        <f>H30*(1-1)</f>
        <v>0</v>
      </c>
      <c r="AQ30" s="83" t="s">
        <v>132</v>
      </c>
      <c r="AV30" s="38">
        <f t="shared" si="13"/>
        <v>0</v>
      </c>
      <c r="AW30" s="38">
        <f t="shared" si="14"/>
        <v>0</v>
      </c>
      <c r="AX30" s="38">
        <f t="shared" si="15"/>
        <v>0</v>
      </c>
      <c r="AY30" s="72" t="s">
        <v>2561</v>
      </c>
      <c r="AZ30" s="72" t="s">
        <v>3013</v>
      </c>
      <c r="BA30" s="50" t="s">
        <v>3014</v>
      </c>
      <c r="BC30" s="38">
        <f t="shared" si="16"/>
        <v>0</v>
      </c>
      <c r="BD30" s="38">
        <f t="shared" si="17"/>
        <v>0</v>
      </c>
      <c r="BE30" s="38">
        <v>0</v>
      </c>
      <c r="BF30" s="38">
        <f t="shared" si="18"/>
        <v>0</v>
      </c>
      <c r="BH30" s="80">
        <f t="shared" si="19"/>
        <v>0</v>
      </c>
      <c r="BI30" s="80">
        <f t="shared" si="20"/>
        <v>0</v>
      </c>
      <c r="BJ30" s="80">
        <f t="shared" si="21"/>
        <v>0</v>
      </c>
      <c r="BK30" s="80"/>
      <c r="BL30" s="38"/>
      <c r="BW30" s="38">
        <v>21</v>
      </c>
    </row>
    <row r="31" spans="1:75" ht="13.5" customHeight="1">
      <c r="A31" s="1" t="s">
        <v>155</v>
      </c>
      <c r="B31" s="2" t="s">
        <v>95</v>
      </c>
      <c r="C31" s="2" t="s">
        <v>2817</v>
      </c>
      <c r="D31" s="108" t="s">
        <v>2818</v>
      </c>
      <c r="E31" s="103"/>
      <c r="F31" s="2" t="s">
        <v>2286</v>
      </c>
      <c r="G31" s="38">
        <f>'Stavební rozpočet'!G1560</f>
        <v>9</v>
      </c>
      <c r="H31" s="38">
        <f>'Stavební rozpočet'!H1560</f>
        <v>0</v>
      </c>
      <c r="I31" s="38">
        <f t="shared" si="0"/>
        <v>0</v>
      </c>
      <c r="J31" s="38">
        <f>'Stavební rozpočet'!J1560</f>
        <v>0</v>
      </c>
      <c r="K31" s="38">
        <f t="shared" si="1"/>
        <v>0</v>
      </c>
      <c r="L31" s="71" t="s">
        <v>207</v>
      </c>
      <c r="Z31" s="38">
        <f t="shared" si="2"/>
        <v>0</v>
      </c>
      <c r="AB31" s="38">
        <f t="shared" si="3"/>
        <v>0</v>
      </c>
      <c r="AC31" s="38">
        <f t="shared" si="4"/>
        <v>0</v>
      </c>
      <c r="AD31" s="38">
        <f t="shared" si="5"/>
        <v>0</v>
      </c>
      <c r="AE31" s="38">
        <f t="shared" si="6"/>
        <v>0</v>
      </c>
      <c r="AF31" s="38">
        <f t="shared" si="7"/>
        <v>0</v>
      </c>
      <c r="AG31" s="38">
        <f t="shared" si="8"/>
        <v>0</v>
      </c>
      <c r="AH31" s="38">
        <f t="shared" si="9"/>
        <v>0</v>
      </c>
      <c r="AI31" s="50" t="s">
        <v>95</v>
      </c>
      <c r="AJ31" s="38">
        <f t="shared" si="10"/>
        <v>0</v>
      </c>
      <c r="AK31" s="38">
        <f t="shared" si="11"/>
        <v>0</v>
      </c>
      <c r="AL31" s="38">
        <f t="shared" si="12"/>
        <v>0</v>
      </c>
      <c r="AN31" s="38">
        <v>21</v>
      </c>
      <c r="AO31" s="38">
        <f>H31*0</f>
        <v>0</v>
      </c>
      <c r="AP31" s="38">
        <f>H31*(1-0)</f>
        <v>0</v>
      </c>
      <c r="AQ31" s="72" t="s">
        <v>132</v>
      </c>
      <c r="AV31" s="38">
        <f t="shared" si="13"/>
        <v>0</v>
      </c>
      <c r="AW31" s="38">
        <f t="shared" si="14"/>
        <v>0</v>
      </c>
      <c r="AX31" s="38">
        <f t="shared" si="15"/>
        <v>0</v>
      </c>
      <c r="AY31" s="72" t="s">
        <v>2561</v>
      </c>
      <c r="AZ31" s="72" t="s">
        <v>3013</v>
      </c>
      <c r="BA31" s="50" t="s">
        <v>3014</v>
      </c>
      <c r="BC31" s="38">
        <f t="shared" si="16"/>
        <v>0</v>
      </c>
      <c r="BD31" s="38">
        <f t="shared" si="17"/>
        <v>0</v>
      </c>
      <c r="BE31" s="38">
        <v>0</v>
      </c>
      <c r="BF31" s="38">
        <f t="shared" si="18"/>
        <v>0</v>
      </c>
      <c r="BH31" s="38">
        <f t="shared" si="19"/>
        <v>0</v>
      </c>
      <c r="BI31" s="38">
        <f t="shared" si="20"/>
        <v>0</v>
      </c>
      <c r="BJ31" s="38">
        <f t="shared" si="21"/>
        <v>0</v>
      </c>
      <c r="BK31" s="38"/>
      <c r="BL31" s="38"/>
      <c r="BW31" s="38">
        <v>21</v>
      </c>
    </row>
    <row r="32" spans="1:12" ht="13.5" customHeight="1">
      <c r="A32" s="74"/>
      <c r="D32" s="194" t="s">
        <v>2819</v>
      </c>
      <c r="E32" s="195"/>
      <c r="F32" s="195"/>
      <c r="G32" s="195"/>
      <c r="H32" s="195"/>
      <c r="I32" s="195"/>
      <c r="J32" s="195"/>
      <c r="K32" s="195"/>
      <c r="L32" s="197"/>
    </row>
    <row r="33" spans="1:75" ht="13.5" customHeight="1">
      <c r="A33" s="78" t="s">
        <v>178</v>
      </c>
      <c r="B33" s="79" t="s">
        <v>95</v>
      </c>
      <c r="C33" s="79" t="s">
        <v>3049</v>
      </c>
      <c r="D33" s="198" t="s">
        <v>2822</v>
      </c>
      <c r="E33" s="199"/>
      <c r="F33" s="79" t="s">
        <v>2823</v>
      </c>
      <c r="G33" s="80">
        <f>'Stavební rozpočet'!G1562</f>
        <v>1</v>
      </c>
      <c r="H33" s="80">
        <f>'Stavební rozpočet'!H1562</f>
        <v>0</v>
      </c>
      <c r="I33" s="80">
        <f>G33*H33</f>
        <v>0</v>
      </c>
      <c r="J33" s="80">
        <f>'Stavební rozpočet'!J1562</f>
        <v>0</v>
      </c>
      <c r="K33" s="80">
        <f>G33*J33</f>
        <v>0</v>
      </c>
      <c r="L33" s="82" t="s">
        <v>207</v>
      </c>
      <c r="Z33" s="38">
        <f>IF(AQ33="5",BJ33,0)</f>
        <v>0</v>
      </c>
      <c r="AB33" s="38">
        <f>IF(AQ33="1",BH33,0)</f>
        <v>0</v>
      </c>
      <c r="AC33" s="38">
        <f>IF(AQ33="1",BI33,0)</f>
        <v>0</v>
      </c>
      <c r="AD33" s="38">
        <f>IF(AQ33="7",BH33,0)</f>
        <v>0</v>
      </c>
      <c r="AE33" s="38">
        <f>IF(AQ33="7",BI33,0)</f>
        <v>0</v>
      </c>
      <c r="AF33" s="38">
        <f>IF(AQ33="2",BH33,0)</f>
        <v>0</v>
      </c>
      <c r="AG33" s="38">
        <f>IF(AQ33="2",BI33,0)</f>
        <v>0</v>
      </c>
      <c r="AH33" s="38">
        <f>IF(AQ33="0",BJ33,0)</f>
        <v>0</v>
      </c>
      <c r="AI33" s="50" t="s">
        <v>95</v>
      </c>
      <c r="AJ33" s="80">
        <f>IF(AN33=0,I33,0)</f>
        <v>0</v>
      </c>
      <c r="AK33" s="80">
        <f>IF(AN33=12,I33,0)</f>
        <v>0</v>
      </c>
      <c r="AL33" s="80">
        <f>IF(AN33=21,I33,0)</f>
        <v>0</v>
      </c>
      <c r="AN33" s="38">
        <v>21</v>
      </c>
      <c r="AO33" s="38">
        <f>H33*1</f>
        <v>0</v>
      </c>
      <c r="AP33" s="38">
        <f>H33*(1-1)</f>
        <v>0</v>
      </c>
      <c r="AQ33" s="83" t="s">
        <v>132</v>
      </c>
      <c r="AV33" s="38">
        <f>AW33+AX33</f>
        <v>0</v>
      </c>
      <c r="AW33" s="38">
        <f>G33*AO33</f>
        <v>0</v>
      </c>
      <c r="AX33" s="38">
        <f>G33*AP33</f>
        <v>0</v>
      </c>
      <c r="AY33" s="72" t="s">
        <v>2561</v>
      </c>
      <c r="AZ33" s="72" t="s">
        <v>3013</v>
      </c>
      <c r="BA33" s="50" t="s">
        <v>3014</v>
      </c>
      <c r="BC33" s="38">
        <f>AW33+AX33</f>
        <v>0</v>
      </c>
      <c r="BD33" s="38">
        <f>H33/(100-BE33)*100</f>
        <v>0</v>
      </c>
      <c r="BE33" s="38">
        <v>0</v>
      </c>
      <c r="BF33" s="38">
        <f>K33</f>
        <v>0</v>
      </c>
      <c r="BH33" s="80">
        <f>G33*AO33</f>
        <v>0</v>
      </c>
      <c r="BI33" s="80">
        <f>G33*AP33</f>
        <v>0</v>
      </c>
      <c r="BJ33" s="80">
        <f>G33*H33</f>
        <v>0</v>
      </c>
      <c r="BK33" s="80"/>
      <c r="BL33" s="38"/>
      <c r="BW33" s="38">
        <v>21</v>
      </c>
    </row>
    <row r="34" spans="1:75" ht="13.5" customHeight="1">
      <c r="A34" s="1" t="s">
        <v>241</v>
      </c>
      <c r="B34" s="2" t="s">
        <v>95</v>
      </c>
      <c r="C34" s="2" t="s">
        <v>3050</v>
      </c>
      <c r="D34" s="108" t="s">
        <v>3051</v>
      </c>
      <c r="E34" s="103"/>
      <c r="F34" s="2" t="s">
        <v>199</v>
      </c>
      <c r="G34" s="38">
        <f>'Stavební rozpočet'!G1563</f>
        <v>24</v>
      </c>
      <c r="H34" s="38">
        <f>'Stavební rozpočet'!H1563</f>
        <v>0</v>
      </c>
      <c r="I34" s="38">
        <f>G34*H34</f>
        <v>0</v>
      </c>
      <c r="J34" s="38">
        <f>'Stavební rozpočet'!J1563</f>
        <v>0</v>
      </c>
      <c r="K34" s="38">
        <f>G34*J34</f>
        <v>0</v>
      </c>
      <c r="L34" s="71" t="s">
        <v>207</v>
      </c>
      <c r="Z34" s="38">
        <f>IF(AQ34="5",BJ34,0)</f>
        <v>0</v>
      </c>
      <c r="AB34" s="38">
        <f>IF(AQ34="1",BH34,0)</f>
        <v>0</v>
      </c>
      <c r="AC34" s="38">
        <f>IF(AQ34="1",BI34,0)</f>
        <v>0</v>
      </c>
      <c r="AD34" s="38">
        <f>IF(AQ34="7",BH34,0)</f>
        <v>0</v>
      </c>
      <c r="AE34" s="38">
        <f>IF(AQ34="7",BI34,0)</f>
        <v>0</v>
      </c>
      <c r="AF34" s="38">
        <f>IF(AQ34="2",BH34,0)</f>
        <v>0</v>
      </c>
      <c r="AG34" s="38">
        <f>IF(AQ34="2",BI34,0)</f>
        <v>0</v>
      </c>
      <c r="AH34" s="38">
        <f>IF(AQ34="0",BJ34,0)</f>
        <v>0</v>
      </c>
      <c r="AI34" s="50" t="s">
        <v>95</v>
      </c>
      <c r="AJ34" s="38">
        <f>IF(AN34=0,I34,0)</f>
        <v>0</v>
      </c>
      <c r="AK34" s="38">
        <f>IF(AN34=12,I34,0)</f>
        <v>0</v>
      </c>
      <c r="AL34" s="38">
        <f>IF(AN34=21,I34,0)</f>
        <v>0</v>
      </c>
      <c r="AN34" s="38">
        <v>21</v>
      </c>
      <c r="AO34" s="38">
        <f>H34*0</f>
        <v>0</v>
      </c>
      <c r="AP34" s="38">
        <f>H34*(1-0)</f>
        <v>0</v>
      </c>
      <c r="AQ34" s="72" t="s">
        <v>143</v>
      </c>
      <c r="AV34" s="38">
        <f>AW34+AX34</f>
        <v>0</v>
      </c>
      <c r="AW34" s="38">
        <f>G34*AO34</f>
        <v>0</v>
      </c>
      <c r="AX34" s="38">
        <f>G34*AP34</f>
        <v>0</v>
      </c>
      <c r="AY34" s="72" t="s">
        <v>2561</v>
      </c>
      <c r="AZ34" s="72" t="s">
        <v>3013</v>
      </c>
      <c r="BA34" s="50" t="s">
        <v>3014</v>
      </c>
      <c r="BC34" s="38">
        <f>AW34+AX34</f>
        <v>0</v>
      </c>
      <c r="BD34" s="38">
        <f>H34/(100-BE34)*100</f>
        <v>0</v>
      </c>
      <c r="BE34" s="38">
        <v>0</v>
      </c>
      <c r="BF34" s="38">
        <f>K34</f>
        <v>0</v>
      </c>
      <c r="BH34" s="38">
        <f>G34*AO34</f>
        <v>0</v>
      </c>
      <c r="BI34" s="38">
        <f>G34*AP34</f>
        <v>0</v>
      </c>
      <c r="BJ34" s="38">
        <f>G34*H34</f>
        <v>0</v>
      </c>
      <c r="BK34" s="38"/>
      <c r="BL34" s="38"/>
      <c r="BW34" s="38">
        <v>21</v>
      </c>
    </row>
    <row r="35" spans="1:12" ht="13.5" customHeight="1">
      <c r="A35" s="74"/>
      <c r="D35" s="194" t="s">
        <v>3052</v>
      </c>
      <c r="E35" s="195"/>
      <c r="F35" s="195"/>
      <c r="G35" s="195"/>
      <c r="H35" s="195"/>
      <c r="I35" s="195"/>
      <c r="J35" s="195"/>
      <c r="K35" s="195"/>
      <c r="L35" s="197"/>
    </row>
    <row r="36" spans="1:75" ht="13.5" customHeight="1">
      <c r="A36" s="1" t="s">
        <v>246</v>
      </c>
      <c r="B36" s="2" t="s">
        <v>95</v>
      </c>
      <c r="C36" s="2" t="s">
        <v>3053</v>
      </c>
      <c r="D36" s="108" t="s">
        <v>3054</v>
      </c>
      <c r="E36" s="103"/>
      <c r="F36" s="2" t="s">
        <v>199</v>
      </c>
      <c r="G36" s="38">
        <f>'Stavební rozpočet'!G1565</f>
        <v>12</v>
      </c>
      <c r="H36" s="38">
        <f>'Stavební rozpočet'!H1565</f>
        <v>0</v>
      </c>
      <c r="I36" s="38">
        <f>G36*H36</f>
        <v>0</v>
      </c>
      <c r="J36" s="38">
        <f>'Stavební rozpočet'!J1565</f>
        <v>0</v>
      </c>
      <c r="K36" s="38">
        <f>G36*J36</f>
        <v>0</v>
      </c>
      <c r="L36" s="71" t="s">
        <v>207</v>
      </c>
      <c r="Z36" s="38">
        <f>IF(AQ36="5",BJ36,0)</f>
        <v>0</v>
      </c>
      <c r="AB36" s="38">
        <f>IF(AQ36="1",BH36,0)</f>
        <v>0</v>
      </c>
      <c r="AC36" s="38">
        <f>IF(AQ36="1",BI36,0)</f>
        <v>0</v>
      </c>
      <c r="AD36" s="38">
        <f>IF(AQ36="7",BH36,0)</f>
        <v>0</v>
      </c>
      <c r="AE36" s="38">
        <f>IF(AQ36="7",BI36,0)</f>
        <v>0</v>
      </c>
      <c r="AF36" s="38">
        <f>IF(AQ36="2",BH36,0)</f>
        <v>0</v>
      </c>
      <c r="AG36" s="38">
        <f>IF(AQ36="2",BI36,0)</f>
        <v>0</v>
      </c>
      <c r="AH36" s="38">
        <f>IF(AQ36="0",BJ36,0)</f>
        <v>0</v>
      </c>
      <c r="AI36" s="50" t="s">
        <v>95</v>
      </c>
      <c r="AJ36" s="38">
        <f>IF(AN36=0,I36,0)</f>
        <v>0</v>
      </c>
      <c r="AK36" s="38">
        <f>IF(AN36=12,I36,0)</f>
        <v>0</v>
      </c>
      <c r="AL36" s="38">
        <f>IF(AN36=21,I36,0)</f>
        <v>0</v>
      </c>
      <c r="AN36" s="38">
        <v>21</v>
      </c>
      <c r="AO36" s="38">
        <f>H36*0</f>
        <v>0</v>
      </c>
      <c r="AP36" s="38">
        <f>H36*(1-0)</f>
        <v>0</v>
      </c>
      <c r="AQ36" s="72" t="s">
        <v>143</v>
      </c>
      <c r="AV36" s="38">
        <f>AW36+AX36</f>
        <v>0</v>
      </c>
      <c r="AW36" s="38">
        <f>G36*AO36</f>
        <v>0</v>
      </c>
      <c r="AX36" s="38">
        <f>G36*AP36</f>
        <v>0</v>
      </c>
      <c r="AY36" s="72" t="s">
        <v>2561</v>
      </c>
      <c r="AZ36" s="72" t="s">
        <v>3013</v>
      </c>
      <c r="BA36" s="50" t="s">
        <v>3014</v>
      </c>
      <c r="BC36" s="38">
        <f>AW36+AX36</f>
        <v>0</v>
      </c>
      <c r="BD36" s="38">
        <f>H36/(100-BE36)*100</f>
        <v>0</v>
      </c>
      <c r="BE36" s="38">
        <v>0</v>
      </c>
      <c r="BF36" s="38">
        <f>K36</f>
        <v>0</v>
      </c>
      <c r="BH36" s="38">
        <f>G36*AO36</f>
        <v>0</v>
      </c>
      <c r="BI36" s="38">
        <f>G36*AP36</f>
        <v>0</v>
      </c>
      <c r="BJ36" s="38">
        <f>G36*H36</f>
        <v>0</v>
      </c>
      <c r="BK36" s="38"/>
      <c r="BL36" s="38"/>
      <c r="BW36" s="38">
        <v>21</v>
      </c>
    </row>
    <row r="37" spans="1:75" ht="13.5" customHeight="1">
      <c r="A37" s="1" t="s">
        <v>255</v>
      </c>
      <c r="B37" s="2" t="s">
        <v>95</v>
      </c>
      <c r="C37" s="2" t="s">
        <v>3055</v>
      </c>
      <c r="D37" s="108" t="s">
        <v>3056</v>
      </c>
      <c r="E37" s="103"/>
      <c r="F37" s="2" t="s">
        <v>199</v>
      </c>
      <c r="G37" s="38">
        <f>'Stavební rozpočet'!G1566</f>
        <v>1</v>
      </c>
      <c r="H37" s="38">
        <f>'Stavební rozpočet'!H1566</f>
        <v>0</v>
      </c>
      <c r="I37" s="38">
        <f>G37*H37</f>
        <v>0</v>
      </c>
      <c r="J37" s="38">
        <f>'Stavební rozpočet'!J1566</f>
        <v>0</v>
      </c>
      <c r="K37" s="38">
        <f>G37*J37</f>
        <v>0</v>
      </c>
      <c r="L37" s="71" t="s">
        <v>207</v>
      </c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50" t="s">
        <v>95</v>
      </c>
      <c r="AJ37" s="38">
        <f>IF(AN37=0,I37,0)</f>
        <v>0</v>
      </c>
      <c r="AK37" s="38">
        <f>IF(AN37=12,I37,0)</f>
        <v>0</v>
      </c>
      <c r="AL37" s="38">
        <f>IF(AN37=21,I37,0)</f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132</v>
      </c>
      <c r="AV37" s="38">
        <f>AW37+AX37</f>
        <v>0</v>
      </c>
      <c r="AW37" s="38">
        <f>G37*AO37</f>
        <v>0</v>
      </c>
      <c r="AX37" s="38">
        <f>G37*AP37</f>
        <v>0</v>
      </c>
      <c r="AY37" s="72" t="s">
        <v>2561</v>
      </c>
      <c r="AZ37" s="72" t="s">
        <v>3013</v>
      </c>
      <c r="BA37" s="50" t="s">
        <v>3014</v>
      </c>
      <c r="BC37" s="38">
        <f>AW37+AX37</f>
        <v>0</v>
      </c>
      <c r="BD37" s="38">
        <f>H37/(100-BE37)*100</f>
        <v>0</v>
      </c>
      <c r="BE37" s="38">
        <v>0</v>
      </c>
      <c r="BF37" s="38">
        <f>K37</f>
        <v>0</v>
      </c>
      <c r="BH37" s="38">
        <f>G37*AO37</f>
        <v>0</v>
      </c>
      <c r="BI37" s="38">
        <f>G37*AP37</f>
        <v>0</v>
      </c>
      <c r="BJ37" s="38">
        <f>G37*H37</f>
        <v>0</v>
      </c>
      <c r="BK37" s="38"/>
      <c r="BL37" s="38"/>
      <c r="BW37" s="38">
        <v>21</v>
      </c>
    </row>
    <row r="38" spans="1:12" ht="13.5" customHeight="1">
      <c r="A38" s="74"/>
      <c r="D38" s="194" t="s">
        <v>3057</v>
      </c>
      <c r="E38" s="195"/>
      <c r="F38" s="195"/>
      <c r="G38" s="195"/>
      <c r="H38" s="195"/>
      <c r="I38" s="195"/>
      <c r="J38" s="195"/>
      <c r="K38" s="195"/>
      <c r="L38" s="197"/>
    </row>
    <row r="39" spans="1:75" ht="13.5" customHeight="1">
      <c r="A39" s="78" t="s">
        <v>260</v>
      </c>
      <c r="B39" s="79" t="s">
        <v>95</v>
      </c>
      <c r="C39" s="79" t="s">
        <v>3059</v>
      </c>
      <c r="D39" s="198" t="s">
        <v>3060</v>
      </c>
      <c r="E39" s="199"/>
      <c r="F39" s="79" t="s">
        <v>2567</v>
      </c>
      <c r="G39" s="80">
        <f>'Stavební rozpočet'!G1568</f>
        <v>24</v>
      </c>
      <c r="H39" s="80">
        <f>'Stavební rozpočet'!H1568</f>
        <v>0</v>
      </c>
      <c r="I39" s="80">
        <f aca="true" t="shared" si="22" ref="I39:I47">G39*H39</f>
        <v>0</v>
      </c>
      <c r="J39" s="80">
        <f>'Stavební rozpočet'!J1568</f>
        <v>0</v>
      </c>
      <c r="K39" s="80">
        <f aca="true" t="shared" si="23" ref="K39:K47">G39*J39</f>
        <v>0</v>
      </c>
      <c r="L39" s="82" t="s">
        <v>207</v>
      </c>
      <c r="Z39" s="38">
        <f aca="true" t="shared" si="24" ref="Z39:Z47">IF(AQ39="5",BJ39,0)</f>
        <v>0</v>
      </c>
      <c r="AB39" s="38">
        <f aca="true" t="shared" si="25" ref="AB39:AB47">IF(AQ39="1",BH39,0)</f>
        <v>0</v>
      </c>
      <c r="AC39" s="38">
        <f aca="true" t="shared" si="26" ref="AC39:AC47">IF(AQ39="1",BI39,0)</f>
        <v>0</v>
      </c>
      <c r="AD39" s="38">
        <f aca="true" t="shared" si="27" ref="AD39:AD47">IF(AQ39="7",BH39,0)</f>
        <v>0</v>
      </c>
      <c r="AE39" s="38">
        <f aca="true" t="shared" si="28" ref="AE39:AE47">IF(AQ39="7",BI39,0)</f>
        <v>0</v>
      </c>
      <c r="AF39" s="38">
        <f aca="true" t="shared" si="29" ref="AF39:AF47">IF(AQ39="2",BH39,0)</f>
        <v>0</v>
      </c>
      <c r="AG39" s="38">
        <f aca="true" t="shared" si="30" ref="AG39:AG47">IF(AQ39="2",BI39,0)</f>
        <v>0</v>
      </c>
      <c r="AH39" s="38">
        <f aca="true" t="shared" si="31" ref="AH39:AH47">IF(AQ39="0",BJ39,0)</f>
        <v>0</v>
      </c>
      <c r="AI39" s="50" t="s">
        <v>95</v>
      </c>
      <c r="AJ39" s="80">
        <f aca="true" t="shared" si="32" ref="AJ39:AJ47">IF(AN39=0,I39,0)</f>
        <v>0</v>
      </c>
      <c r="AK39" s="80">
        <f aca="true" t="shared" si="33" ref="AK39:AK47">IF(AN39=12,I39,0)</f>
        <v>0</v>
      </c>
      <c r="AL39" s="80">
        <f aca="true" t="shared" si="34" ref="AL39:AL47">IF(AN39=21,I39,0)</f>
        <v>0</v>
      </c>
      <c r="AN39" s="38">
        <v>21</v>
      </c>
      <c r="AO39" s="38">
        <f aca="true" t="shared" si="35" ref="AO39:AO47">H39*1</f>
        <v>0</v>
      </c>
      <c r="AP39" s="38">
        <f aca="true" t="shared" si="36" ref="AP39:AP47">H39*(1-1)</f>
        <v>0</v>
      </c>
      <c r="AQ39" s="83" t="s">
        <v>132</v>
      </c>
      <c r="AV39" s="38">
        <f aca="true" t="shared" si="37" ref="AV39:AV47">AW39+AX39</f>
        <v>0</v>
      </c>
      <c r="AW39" s="38">
        <f aca="true" t="shared" si="38" ref="AW39:AW47">G39*AO39</f>
        <v>0</v>
      </c>
      <c r="AX39" s="38">
        <f aca="true" t="shared" si="39" ref="AX39:AX47">G39*AP39</f>
        <v>0</v>
      </c>
      <c r="AY39" s="72" t="s">
        <v>2561</v>
      </c>
      <c r="AZ39" s="72" t="s">
        <v>3013</v>
      </c>
      <c r="BA39" s="50" t="s">
        <v>3014</v>
      </c>
      <c r="BC39" s="38">
        <f aca="true" t="shared" si="40" ref="BC39:BC47">AW39+AX39</f>
        <v>0</v>
      </c>
      <c r="BD39" s="38">
        <f aca="true" t="shared" si="41" ref="BD39:BD47">H39/(100-BE39)*100</f>
        <v>0</v>
      </c>
      <c r="BE39" s="38">
        <v>0</v>
      </c>
      <c r="BF39" s="38">
        <f aca="true" t="shared" si="42" ref="BF39:BF47">K39</f>
        <v>0</v>
      </c>
      <c r="BH39" s="80">
        <f aca="true" t="shared" si="43" ref="BH39:BH47">G39*AO39</f>
        <v>0</v>
      </c>
      <c r="BI39" s="80">
        <f aca="true" t="shared" si="44" ref="BI39:BI47">G39*AP39</f>
        <v>0</v>
      </c>
      <c r="BJ39" s="80">
        <f aca="true" t="shared" si="45" ref="BJ39:BJ47">G39*H39</f>
        <v>0</v>
      </c>
      <c r="BK39" s="80"/>
      <c r="BL39" s="38"/>
      <c r="BW39" s="38">
        <v>21</v>
      </c>
    </row>
    <row r="40" spans="1:75" ht="13.5" customHeight="1">
      <c r="A40" s="78" t="s">
        <v>267</v>
      </c>
      <c r="B40" s="79" t="s">
        <v>95</v>
      </c>
      <c r="C40" s="79" t="s">
        <v>3062</v>
      </c>
      <c r="D40" s="198" t="s">
        <v>3063</v>
      </c>
      <c r="E40" s="199"/>
      <c r="F40" s="79" t="s">
        <v>2567</v>
      </c>
      <c r="G40" s="80">
        <f>'Stavební rozpočet'!G1569</f>
        <v>1</v>
      </c>
      <c r="H40" s="80">
        <f>'Stavební rozpočet'!H1569</f>
        <v>0</v>
      </c>
      <c r="I40" s="80">
        <f t="shared" si="22"/>
        <v>0</v>
      </c>
      <c r="J40" s="80">
        <f>'Stavební rozpočet'!J1569</f>
        <v>0</v>
      </c>
      <c r="K40" s="80">
        <f t="shared" si="23"/>
        <v>0</v>
      </c>
      <c r="L40" s="82" t="s">
        <v>207</v>
      </c>
      <c r="Z40" s="38">
        <f t="shared" si="24"/>
        <v>0</v>
      </c>
      <c r="AB40" s="38">
        <f t="shared" si="25"/>
        <v>0</v>
      </c>
      <c r="AC40" s="38">
        <f t="shared" si="26"/>
        <v>0</v>
      </c>
      <c r="AD40" s="38">
        <f t="shared" si="27"/>
        <v>0</v>
      </c>
      <c r="AE40" s="38">
        <f t="shared" si="28"/>
        <v>0</v>
      </c>
      <c r="AF40" s="38">
        <f t="shared" si="29"/>
        <v>0</v>
      </c>
      <c r="AG40" s="38">
        <f t="shared" si="30"/>
        <v>0</v>
      </c>
      <c r="AH40" s="38">
        <f t="shared" si="31"/>
        <v>0</v>
      </c>
      <c r="AI40" s="50" t="s">
        <v>95</v>
      </c>
      <c r="AJ40" s="80">
        <f t="shared" si="32"/>
        <v>0</v>
      </c>
      <c r="AK40" s="80">
        <f t="shared" si="33"/>
        <v>0</v>
      </c>
      <c r="AL40" s="80">
        <f t="shared" si="34"/>
        <v>0</v>
      </c>
      <c r="AN40" s="38">
        <v>21</v>
      </c>
      <c r="AO40" s="38">
        <f t="shared" si="35"/>
        <v>0</v>
      </c>
      <c r="AP40" s="38">
        <f t="shared" si="36"/>
        <v>0</v>
      </c>
      <c r="AQ40" s="83" t="s">
        <v>132</v>
      </c>
      <c r="AV40" s="38">
        <f t="shared" si="37"/>
        <v>0</v>
      </c>
      <c r="AW40" s="38">
        <f t="shared" si="38"/>
        <v>0</v>
      </c>
      <c r="AX40" s="38">
        <f t="shared" si="39"/>
        <v>0</v>
      </c>
      <c r="AY40" s="72" t="s">
        <v>2561</v>
      </c>
      <c r="AZ40" s="72" t="s">
        <v>3013</v>
      </c>
      <c r="BA40" s="50" t="s">
        <v>3014</v>
      </c>
      <c r="BC40" s="38">
        <f t="shared" si="40"/>
        <v>0</v>
      </c>
      <c r="BD40" s="38">
        <f t="shared" si="41"/>
        <v>0</v>
      </c>
      <c r="BE40" s="38">
        <v>0</v>
      </c>
      <c r="BF40" s="38">
        <f t="shared" si="42"/>
        <v>0</v>
      </c>
      <c r="BH40" s="80">
        <f t="shared" si="43"/>
        <v>0</v>
      </c>
      <c r="BI40" s="80">
        <f t="shared" si="44"/>
        <v>0</v>
      </c>
      <c r="BJ40" s="80">
        <f t="shared" si="45"/>
        <v>0</v>
      </c>
      <c r="BK40" s="80"/>
      <c r="BL40" s="38"/>
      <c r="BW40" s="38">
        <v>21</v>
      </c>
    </row>
    <row r="41" spans="1:75" ht="13.5" customHeight="1">
      <c r="A41" s="78" t="s">
        <v>272</v>
      </c>
      <c r="B41" s="79" t="s">
        <v>95</v>
      </c>
      <c r="C41" s="79" t="s">
        <v>3065</v>
      </c>
      <c r="D41" s="198" t="s">
        <v>3066</v>
      </c>
      <c r="E41" s="199"/>
      <c r="F41" s="79" t="s">
        <v>2567</v>
      </c>
      <c r="G41" s="80">
        <f>'Stavební rozpočet'!G1570</f>
        <v>1</v>
      </c>
      <c r="H41" s="80">
        <f>'Stavební rozpočet'!H1570</f>
        <v>0</v>
      </c>
      <c r="I41" s="80">
        <f t="shared" si="22"/>
        <v>0</v>
      </c>
      <c r="J41" s="80">
        <f>'Stavební rozpočet'!J1570</f>
        <v>0</v>
      </c>
      <c r="K41" s="80">
        <f t="shared" si="23"/>
        <v>0</v>
      </c>
      <c r="L41" s="82" t="s">
        <v>207</v>
      </c>
      <c r="Z41" s="38">
        <f t="shared" si="24"/>
        <v>0</v>
      </c>
      <c r="AB41" s="38">
        <f t="shared" si="25"/>
        <v>0</v>
      </c>
      <c r="AC41" s="38">
        <f t="shared" si="26"/>
        <v>0</v>
      </c>
      <c r="AD41" s="38">
        <f t="shared" si="27"/>
        <v>0</v>
      </c>
      <c r="AE41" s="38">
        <f t="shared" si="28"/>
        <v>0</v>
      </c>
      <c r="AF41" s="38">
        <f t="shared" si="29"/>
        <v>0</v>
      </c>
      <c r="AG41" s="38">
        <f t="shared" si="30"/>
        <v>0</v>
      </c>
      <c r="AH41" s="38">
        <f t="shared" si="31"/>
        <v>0</v>
      </c>
      <c r="AI41" s="50" t="s">
        <v>95</v>
      </c>
      <c r="AJ41" s="80">
        <f t="shared" si="32"/>
        <v>0</v>
      </c>
      <c r="AK41" s="80">
        <f t="shared" si="33"/>
        <v>0</v>
      </c>
      <c r="AL41" s="80">
        <f t="shared" si="34"/>
        <v>0</v>
      </c>
      <c r="AN41" s="38">
        <v>21</v>
      </c>
      <c r="AO41" s="38">
        <f t="shared" si="35"/>
        <v>0</v>
      </c>
      <c r="AP41" s="38">
        <f t="shared" si="36"/>
        <v>0</v>
      </c>
      <c r="AQ41" s="83" t="s">
        <v>132</v>
      </c>
      <c r="AV41" s="38">
        <f t="shared" si="37"/>
        <v>0</v>
      </c>
      <c r="AW41" s="38">
        <f t="shared" si="38"/>
        <v>0</v>
      </c>
      <c r="AX41" s="38">
        <f t="shared" si="39"/>
        <v>0</v>
      </c>
      <c r="AY41" s="72" t="s">
        <v>2561</v>
      </c>
      <c r="AZ41" s="72" t="s">
        <v>3013</v>
      </c>
      <c r="BA41" s="50" t="s">
        <v>3014</v>
      </c>
      <c r="BC41" s="38">
        <f t="shared" si="40"/>
        <v>0</v>
      </c>
      <c r="BD41" s="38">
        <f t="shared" si="41"/>
        <v>0</v>
      </c>
      <c r="BE41" s="38">
        <v>0</v>
      </c>
      <c r="BF41" s="38">
        <f t="shared" si="42"/>
        <v>0</v>
      </c>
      <c r="BH41" s="80">
        <f t="shared" si="43"/>
        <v>0</v>
      </c>
      <c r="BI41" s="80">
        <f t="shared" si="44"/>
        <v>0</v>
      </c>
      <c r="BJ41" s="80">
        <f t="shared" si="45"/>
        <v>0</v>
      </c>
      <c r="BK41" s="80"/>
      <c r="BL41" s="38"/>
      <c r="BW41" s="38">
        <v>21</v>
      </c>
    </row>
    <row r="42" spans="1:75" ht="13.5" customHeight="1">
      <c r="A42" s="78" t="s">
        <v>276</v>
      </c>
      <c r="B42" s="79" t="s">
        <v>95</v>
      </c>
      <c r="C42" s="79" t="s">
        <v>3068</v>
      </c>
      <c r="D42" s="198" t="s">
        <v>3069</v>
      </c>
      <c r="E42" s="199"/>
      <c r="F42" s="79" t="s">
        <v>2567</v>
      </c>
      <c r="G42" s="80">
        <f>'Stavební rozpočet'!G1571</f>
        <v>1</v>
      </c>
      <c r="H42" s="80">
        <f>'Stavební rozpočet'!H1571</f>
        <v>0</v>
      </c>
      <c r="I42" s="80">
        <f t="shared" si="22"/>
        <v>0</v>
      </c>
      <c r="J42" s="80">
        <f>'Stavební rozpočet'!J1571</f>
        <v>0</v>
      </c>
      <c r="K42" s="80">
        <f t="shared" si="23"/>
        <v>0</v>
      </c>
      <c r="L42" s="82" t="s">
        <v>207</v>
      </c>
      <c r="Z42" s="38">
        <f t="shared" si="24"/>
        <v>0</v>
      </c>
      <c r="AB42" s="38">
        <f t="shared" si="25"/>
        <v>0</v>
      </c>
      <c r="AC42" s="38">
        <f t="shared" si="26"/>
        <v>0</v>
      </c>
      <c r="AD42" s="38">
        <f t="shared" si="27"/>
        <v>0</v>
      </c>
      <c r="AE42" s="38">
        <f t="shared" si="28"/>
        <v>0</v>
      </c>
      <c r="AF42" s="38">
        <f t="shared" si="29"/>
        <v>0</v>
      </c>
      <c r="AG42" s="38">
        <f t="shared" si="30"/>
        <v>0</v>
      </c>
      <c r="AH42" s="38">
        <f t="shared" si="31"/>
        <v>0</v>
      </c>
      <c r="AI42" s="50" t="s">
        <v>95</v>
      </c>
      <c r="AJ42" s="80">
        <f t="shared" si="32"/>
        <v>0</v>
      </c>
      <c r="AK42" s="80">
        <f t="shared" si="33"/>
        <v>0</v>
      </c>
      <c r="AL42" s="80">
        <f t="shared" si="34"/>
        <v>0</v>
      </c>
      <c r="AN42" s="38">
        <v>21</v>
      </c>
      <c r="AO42" s="38">
        <f t="shared" si="35"/>
        <v>0</v>
      </c>
      <c r="AP42" s="38">
        <f t="shared" si="36"/>
        <v>0</v>
      </c>
      <c r="AQ42" s="83" t="s">
        <v>132</v>
      </c>
      <c r="AV42" s="38">
        <f t="shared" si="37"/>
        <v>0</v>
      </c>
      <c r="AW42" s="38">
        <f t="shared" si="38"/>
        <v>0</v>
      </c>
      <c r="AX42" s="38">
        <f t="shared" si="39"/>
        <v>0</v>
      </c>
      <c r="AY42" s="72" t="s">
        <v>2561</v>
      </c>
      <c r="AZ42" s="72" t="s">
        <v>3013</v>
      </c>
      <c r="BA42" s="50" t="s">
        <v>3014</v>
      </c>
      <c r="BC42" s="38">
        <f t="shared" si="40"/>
        <v>0</v>
      </c>
      <c r="BD42" s="38">
        <f t="shared" si="41"/>
        <v>0</v>
      </c>
      <c r="BE42" s="38">
        <v>0</v>
      </c>
      <c r="BF42" s="38">
        <f t="shared" si="42"/>
        <v>0</v>
      </c>
      <c r="BH42" s="80">
        <f t="shared" si="43"/>
        <v>0</v>
      </c>
      <c r="BI42" s="80">
        <f t="shared" si="44"/>
        <v>0</v>
      </c>
      <c r="BJ42" s="80">
        <f t="shared" si="45"/>
        <v>0</v>
      </c>
      <c r="BK42" s="80"/>
      <c r="BL42" s="38"/>
      <c r="BW42" s="38">
        <v>21</v>
      </c>
    </row>
    <row r="43" spans="1:75" ht="13.5" customHeight="1">
      <c r="A43" s="78" t="s">
        <v>280</v>
      </c>
      <c r="B43" s="79" t="s">
        <v>95</v>
      </c>
      <c r="C43" s="79" t="s">
        <v>3071</v>
      </c>
      <c r="D43" s="198" t="s">
        <v>3072</v>
      </c>
      <c r="E43" s="199"/>
      <c r="F43" s="79" t="s">
        <v>2567</v>
      </c>
      <c r="G43" s="80">
        <f>'Stavební rozpočet'!G1572</f>
        <v>3</v>
      </c>
      <c r="H43" s="80">
        <f>'Stavební rozpočet'!H1572</f>
        <v>0</v>
      </c>
      <c r="I43" s="80">
        <f t="shared" si="22"/>
        <v>0</v>
      </c>
      <c r="J43" s="80">
        <f>'Stavební rozpočet'!J1572</f>
        <v>0</v>
      </c>
      <c r="K43" s="80">
        <f t="shared" si="23"/>
        <v>0</v>
      </c>
      <c r="L43" s="82" t="s">
        <v>207</v>
      </c>
      <c r="Z43" s="38">
        <f t="shared" si="24"/>
        <v>0</v>
      </c>
      <c r="AB43" s="38">
        <f t="shared" si="25"/>
        <v>0</v>
      </c>
      <c r="AC43" s="38">
        <f t="shared" si="26"/>
        <v>0</v>
      </c>
      <c r="AD43" s="38">
        <f t="shared" si="27"/>
        <v>0</v>
      </c>
      <c r="AE43" s="38">
        <f t="shared" si="28"/>
        <v>0</v>
      </c>
      <c r="AF43" s="38">
        <f t="shared" si="29"/>
        <v>0</v>
      </c>
      <c r="AG43" s="38">
        <f t="shared" si="30"/>
        <v>0</v>
      </c>
      <c r="AH43" s="38">
        <f t="shared" si="31"/>
        <v>0</v>
      </c>
      <c r="AI43" s="50" t="s">
        <v>95</v>
      </c>
      <c r="AJ43" s="80">
        <f t="shared" si="32"/>
        <v>0</v>
      </c>
      <c r="AK43" s="80">
        <f t="shared" si="33"/>
        <v>0</v>
      </c>
      <c r="AL43" s="80">
        <f t="shared" si="34"/>
        <v>0</v>
      </c>
      <c r="AN43" s="38">
        <v>21</v>
      </c>
      <c r="AO43" s="38">
        <f t="shared" si="35"/>
        <v>0</v>
      </c>
      <c r="AP43" s="38">
        <f t="shared" si="36"/>
        <v>0</v>
      </c>
      <c r="AQ43" s="83" t="s">
        <v>132</v>
      </c>
      <c r="AV43" s="38">
        <f t="shared" si="37"/>
        <v>0</v>
      </c>
      <c r="AW43" s="38">
        <f t="shared" si="38"/>
        <v>0</v>
      </c>
      <c r="AX43" s="38">
        <f t="shared" si="39"/>
        <v>0</v>
      </c>
      <c r="AY43" s="72" t="s">
        <v>2561</v>
      </c>
      <c r="AZ43" s="72" t="s">
        <v>3013</v>
      </c>
      <c r="BA43" s="50" t="s">
        <v>3014</v>
      </c>
      <c r="BC43" s="38">
        <f t="shared" si="40"/>
        <v>0</v>
      </c>
      <c r="BD43" s="38">
        <f t="shared" si="41"/>
        <v>0</v>
      </c>
      <c r="BE43" s="38">
        <v>0</v>
      </c>
      <c r="BF43" s="38">
        <f t="shared" si="42"/>
        <v>0</v>
      </c>
      <c r="BH43" s="80">
        <f t="shared" si="43"/>
        <v>0</v>
      </c>
      <c r="BI43" s="80">
        <f t="shared" si="44"/>
        <v>0</v>
      </c>
      <c r="BJ43" s="80">
        <f t="shared" si="45"/>
        <v>0</v>
      </c>
      <c r="BK43" s="80"/>
      <c r="BL43" s="38"/>
      <c r="BW43" s="38">
        <v>21</v>
      </c>
    </row>
    <row r="44" spans="1:75" ht="13.5" customHeight="1">
      <c r="A44" s="78" t="s">
        <v>285</v>
      </c>
      <c r="B44" s="79" t="s">
        <v>95</v>
      </c>
      <c r="C44" s="79" t="s">
        <v>3074</v>
      </c>
      <c r="D44" s="198" t="s">
        <v>3075</v>
      </c>
      <c r="E44" s="199"/>
      <c r="F44" s="79" t="s">
        <v>2567</v>
      </c>
      <c r="G44" s="80">
        <f>'Stavební rozpočet'!G1573</f>
        <v>20</v>
      </c>
      <c r="H44" s="80">
        <f>'Stavební rozpočet'!H1573</f>
        <v>0</v>
      </c>
      <c r="I44" s="80">
        <f t="shared" si="22"/>
        <v>0</v>
      </c>
      <c r="J44" s="80">
        <f>'Stavební rozpočet'!J1573</f>
        <v>0</v>
      </c>
      <c r="K44" s="80">
        <f t="shared" si="23"/>
        <v>0</v>
      </c>
      <c r="L44" s="82" t="s">
        <v>207</v>
      </c>
      <c r="Z44" s="38">
        <f t="shared" si="24"/>
        <v>0</v>
      </c>
      <c r="AB44" s="38">
        <f t="shared" si="25"/>
        <v>0</v>
      </c>
      <c r="AC44" s="38">
        <f t="shared" si="26"/>
        <v>0</v>
      </c>
      <c r="AD44" s="38">
        <f t="shared" si="27"/>
        <v>0</v>
      </c>
      <c r="AE44" s="38">
        <f t="shared" si="28"/>
        <v>0</v>
      </c>
      <c r="AF44" s="38">
        <f t="shared" si="29"/>
        <v>0</v>
      </c>
      <c r="AG44" s="38">
        <f t="shared" si="30"/>
        <v>0</v>
      </c>
      <c r="AH44" s="38">
        <f t="shared" si="31"/>
        <v>0</v>
      </c>
      <c r="AI44" s="50" t="s">
        <v>95</v>
      </c>
      <c r="AJ44" s="80">
        <f t="shared" si="32"/>
        <v>0</v>
      </c>
      <c r="AK44" s="80">
        <f t="shared" si="33"/>
        <v>0</v>
      </c>
      <c r="AL44" s="80">
        <f t="shared" si="34"/>
        <v>0</v>
      </c>
      <c r="AN44" s="38">
        <v>21</v>
      </c>
      <c r="AO44" s="38">
        <f t="shared" si="35"/>
        <v>0</v>
      </c>
      <c r="AP44" s="38">
        <f t="shared" si="36"/>
        <v>0</v>
      </c>
      <c r="AQ44" s="83" t="s">
        <v>132</v>
      </c>
      <c r="AV44" s="38">
        <f t="shared" si="37"/>
        <v>0</v>
      </c>
      <c r="AW44" s="38">
        <f t="shared" si="38"/>
        <v>0</v>
      </c>
      <c r="AX44" s="38">
        <f t="shared" si="39"/>
        <v>0</v>
      </c>
      <c r="AY44" s="72" t="s">
        <v>2561</v>
      </c>
      <c r="AZ44" s="72" t="s">
        <v>3013</v>
      </c>
      <c r="BA44" s="50" t="s">
        <v>3014</v>
      </c>
      <c r="BC44" s="38">
        <f t="shared" si="40"/>
        <v>0</v>
      </c>
      <c r="BD44" s="38">
        <f t="shared" si="41"/>
        <v>0</v>
      </c>
      <c r="BE44" s="38">
        <v>0</v>
      </c>
      <c r="BF44" s="38">
        <f t="shared" si="42"/>
        <v>0</v>
      </c>
      <c r="BH44" s="80">
        <f t="shared" si="43"/>
        <v>0</v>
      </c>
      <c r="BI44" s="80">
        <f t="shared" si="44"/>
        <v>0</v>
      </c>
      <c r="BJ44" s="80">
        <f t="shared" si="45"/>
        <v>0</v>
      </c>
      <c r="BK44" s="80"/>
      <c r="BL44" s="38"/>
      <c r="BW44" s="38">
        <v>21</v>
      </c>
    </row>
    <row r="45" spans="1:75" ht="27" customHeight="1">
      <c r="A45" s="78" t="s">
        <v>291</v>
      </c>
      <c r="B45" s="79" t="s">
        <v>95</v>
      </c>
      <c r="C45" s="79" t="s">
        <v>3077</v>
      </c>
      <c r="D45" s="198" t="s">
        <v>3078</v>
      </c>
      <c r="E45" s="199"/>
      <c r="F45" s="79" t="s">
        <v>2567</v>
      </c>
      <c r="G45" s="80">
        <f>'Stavební rozpočet'!G1574</f>
        <v>2</v>
      </c>
      <c r="H45" s="80">
        <f>'Stavební rozpočet'!H1574</f>
        <v>0</v>
      </c>
      <c r="I45" s="80">
        <f t="shared" si="22"/>
        <v>0</v>
      </c>
      <c r="J45" s="80">
        <f>'Stavební rozpočet'!J1574</f>
        <v>0</v>
      </c>
      <c r="K45" s="80">
        <f t="shared" si="23"/>
        <v>0</v>
      </c>
      <c r="L45" s="82" t="s">
        <v>207</v>
      </c>
      <c r="Z45" s="38">
        <f t="shared" si="24"/>
        <v>0</v>
      </c>
      <c r="AB45" s="38">
        <f t="shared" si="25"/>
        <v>0</v>
      </c>
      <c r="AC45" s="38">
        <f t="shared" si="26"/>
        <v>0</v>
      </c>
      <c r="AD45" s="38">
        <f t="shared" si="27"/>
        <v>0</v>
      </c>
      <c r="AE45" s="38">
        <f t="shared" si="28"/>
        <v>0</v>
      </c>
      <c r="AF45" s="38">
        <f t="shared" si="29"/>
        <v>0</v>
      </c>
      <c r="AG45" s="38">
        <f t="shared" si="30"/>
        <v>0</v>
      </c>
      <c r="AH45" s="38">
        <f t="shared" si="31"/>
        <v>0</v>
      </c>
      <c r="AI45" s="50" t="s">
        <v>95</v>
      </c>
      <c r="AJ45" s="80">
        <f t="shared" si="32"/>
        <v>0</v>
      </c>
      <c r="AK45" s="80">
        <f t="shared" si="33"/>
        <v>0</v>
      </c>
      <c r="AL45" s="80">
        <f t="shared" si="34"/>
        <v>0</v>
      </c>
      <c r="AN45" s="38">
        <v>21</v>
      </c>
      <c r="AO45" s="38">
        <f t="shared" si="35"/>
        <v>0</v>
      </c>
      <c r="AP45" s="38">
        <f t="shared" si="36"/>
        <v>0</v>
      </c>
      <c r="AQ45" s="83" t="s">
        <v>132</v>
      </c>
      <c r="AV45" s="38">
        <f t="shared" si="37"/>
        <v>0</v>
      </c>
      <c r="AW45" s="38">
        <f t="shared" si="38"/>
        <v>0</v>
      </c>
      <c r="AX45" s="38">
        <f t="shared" si="39"/>
        <v>0</v>
      </c>
      <c r="AY45" s="72" t="s">
        <v>2561</v>
      </c>
      <c r="AZ45" s="72" t="s">
        <v>3013</v>
      </c>
      <c r="BA45" s="50" t="s">
        <v>3014</v>
      </c>
      <c r="BC45" s="38">
        <f t="shared" si="40"/>
        <v>0</v>
      </c>
      <c r="BD45" s="38">
        <f t="shared" si="41"/>
        <v>0</v>
      </c>
      <c r="BE45" s="38">
        <v>0</v>
      </c>
      <c r="BF45" s="38">
        <f t="shared" si="42"/>
        <v>0</v>
      </c>
      <c r="BH45" s="80">
        <f t="shared" si="43"/>
        <v>0</v>
      </c>
      <c r="BI45" s="80">
        <f t="shared" si="44"/>
        <v>0</v>
      </c>
      <c r="BJ45" s="80">
        <f t="shared" si="45"/>
        <v>0</v>
      </c>
      <c r="BK45" s="80"/>
      <c r="BL45" s="38"/>
      <c r="BW45" s="38">
        <v>21</v>
      </c>
    </row>
    <row r="46" spans="1:75" ht="13.5" customHeight="1">
      <c r="A46" s="78" t="s">
        <v>296</v>
      </c>
      <c r="B46" s="79" t="s">
        <v>95</v>
      </c>
      <c r="C46" s="79" t="s">
        <v>3080</v>
      </c>
      <c r="D46" s="198" t="s">
        <v>3081</v>
      </c>
      <c r="E46" s="199"/>
      <c r="F46" s="79" t="s">
        <v>2567</v>
      </c>
      <c r="G46" s="80">
        <f>'Stavební rozpočet'!G1575</f>
        <v>2</v>
      </c>
      <c r="H46" s="80">
        <f>'Stavební rozpočet'!H1575</f>
        <v>0</v>
      </c>
      <c r="I46" s="80">
        <f t="shared" si="22"/>
        <v>0</v>
      </c>
      <c r="J46" s="80">
        <f>'Stavební rozpočet'!J1575</f>
        <v>0</v>
      </c>
      <c r="K46" s="80">
        <f t="shared" si="23"/>
        <v>0</v>
      </c>
      <c r="L46" s="82" t="s">
        <v>207</v>
      </c>
      <c r="Z46" s="38">
        <f t="shared" si="24"/>
        <v>0</v>
      </c>
      <c r="AB46" s="38">
        <f t="shared" si="25"/>
        <v>0</v>
      </c>
      <c r="AC46" s="38">
        <f t="shared" si="26"/>
        <v>0</v>
      </c>
      <c r="AD46" s="38">
        <f t="shared" si="27"/>
        <v>0</v>
      </c>
      <c r="AE46" s="38">
        <f t="shared" si="28"/>
        <v>0</v>
      </c>
      <c r="AF46" s="38">
        <f t="shared" si="29"/>
        <v>0</v>
      </c>
      <c r="AG46" s="38">
        <f t="shared" si="30"/>
        <v>0</v>
      </c>
      <c r="AH46" s="38">
        <f t="shared" si="31"/>
        <v>0</v>
      </c>
      <c r="AI46" s="50" t="s">
        <v>95</v>
      </c>
      <c r="AJ46" s="80">
        <f t="shared" si="32"/>
        <v>0</v>
      </c>
      <c r="AK46" s="80">
        <f t="shared" si="33"/>
        <v>0</v>
      </c>
      <c r="AL46" s="80">
        <f t="shared" si="34"/>
        <v>0</v>
      </c>
      <c r="AN46" s="38">
        <v>21</v>
      </c>
      <c r="AO46" s="38">
        <f t="shared" si="35"/>
        <v>0</v>
      </c>
      <c r="AP46" s="38">
        <f t="shared" si="36"/>
        <v>0</v>
      </c>
      <c r="AQ46" s="83" t="s">
        <v>132</v>
      </c>
      <c r="AV46" s="38">
        <f t="shared" si="37"/>
        <v>0</v>
      </c>
      <c r="AW46" s="38">
        <f t="shared" si="38"/>
        <v>0</v>
      </c>
      <c r="AX46" s="38">
        <f t="shared" si="39"/>
        <v>0</v>
      </c>
      <c r="AY46" s="72" t="s">
        <v>2561</v>
      </c>
      <c r="AZ46" s="72" t="s">
        <v>3013</v>
      </c>
      <c r="BA46" s="50" t="s">
        <v>3014</v>
      </c>
      <c r="BC46" s="38">
        <f t="shared" si="40"/>
        <v>0</v>
      </c>
      <c r="BD46" s="38">
        <f t="shared" si="41"/>
        <v>0</v>
      </c>
      <c r="BE46" s="38">
        <v>0</v>
      </c>
      <c r="BF46" s="38">
        <f t="shared" si="42"/>
        <v>0</v>
      </c>
      <c r="BH46" s="80">
        <f t="shared" si="43"/>
        <v>0</v>
      </c>
      <c r="BI46" s="80">
        <f t="shared" si="44"/>
        <v>0</v>
      </c>
      <c r="BJ46" s="80">
        <f t="shared" si="45"/>
        <v>0</v>
      </c>
      <c r="BK46" s="80"/>
      <c r="BL46" s="38"/>
      <c r="BW46" s="38">
        <v>21</v>
      </c>
    </row>
    <row r="47" spans="1:75" ht="27" customHeight="1">
      <c r="A47" s="78" t="s">
        <v>304</v>
      </c>
      <c r="B47" s="79" t="s">
        <v>95</v>
      </c>
      <c r="C47" s="79" t="s">
        <v>3083</v>
      </c>
      <c r="D47" s="198" t="s">
        <v>3084</v>
      </c>
      <c r="E47" s="199"/>
      <c r="F47" s="79" t="s">
        <v>2567</v>
      </c>
      <c r="G47" s="80">
        <f>'Stavební rozpočet'!G1576</f>
        <v>1</v>
      </c>
      <c r="H47" s="80">
        <f>'Stavební rozpočet'!H1576</f>
        <v>0</v>
      </c>
      <c r="I47" s="80">
        <f t="shared" si="22"/>
        <v>0</v>
      </c>
      <c r="J47" s="80">
        <f>'Stavební rozpočet'!J1576</f>
        <v>0</v>
      </c>
      <c r="K47" s="80">
        <f t="shared" si="23"/>
        <v>0</v>
      </c>
      <c r="L47" s="82" t="s">
        <v>207</v>
      </c>
      <c r="Z47" s="38">
        <f t="shared" si="24"/>
        <v>0</v>
      </c>
      <c r="AB47" s="38">
        <f t="shared" si="25"/>
        <v>0</v>
      </c>
      <c r="AC47" s="38">
        <f t="shared" si="26"/>
        <v>0</v>
      </c>
      <c r="AD47" s="38">
        <f t="shared" si="27"/>
        <v>0</v>
      </c>
      <c r="AE47" s="38">
        <f t="shared" si="28"/>
        <v>0</v>
      </c>
      <c r="AF47" s="38">
        <f t="shared" si="29"/>
        <v>0</v>
      </c>
      <c r="AG47" s="38">
        <f t="shared" si="30"/>
        <v>0</v>
      </c>
      <c r="AH47" s="38">
        <f t="shared" si="31"/>
        <v>0</v>
      </c>
      <c r="AI47" s="50" t="s">
        <v>95</v>
      </c>
      <c r="AJ47" s="80">
        <f t="shared" si="32"/>
        <v>0</v>
      </c>
      <c r="AK47" s="80">
        <f t="shared" si="33"/>
        <v>0</v>
      </c>
      <c r="AL47" s="80">
        <f t="shared" si="34"/>
        <v>0</v>
      </c>
      <c r="AN47" s="38">
        <v>21</v>
      </c>
      <c r="AO47" s="38">
        <f t="shared" si="35"/>
        <v>0</v>
      </c>
      <c r="AP47" s="38">
        <f t="shared" si="36"/>
        <v>0</v>
      </c>
      <c r="AQ47" s="83" t="s">
        <v>132</v>
      </c>
      <c r="AV47" s="38">
        <f t="shared" si="37"/>
        <v>0</v>
      </c>
      <c r="AW47" s="38">
        <f t="shared" si="38"/>
        <v>0</v>
      </c>
      <c r="AX47" s="38">
        <f t="shared" si="39"/>
        <v>0</v>
      </c>
      <c r="AY47" s="72" t="s">
        <v>2561</v>
      </c>
      <c r="AZ47" s="72" t="s">
        <v>3013</v>
      </c>
      <c r="BA47" s="50" t="s">
        <v>3014</v>
      </c>
      <c r="BC47" s="38">
        <f t="shared" si="40"/>
        <v>0</v>
      </c>
      <c r="BD47" s="38">
        <f t="shared" si="41"/>
        <v>0</v>
      </c>
      <c r="BE47" s="38">
        <v>0</v>
      </c>
      <c r="BF47" s="38">
        <f t="shared" si="42"/>
        <v>0</v>
      </c>
      <c r="BH47" s="80">
        <f t="shared" si="43"/>
        <v>0</v>
      </c>
      <c r="BI47" s="80">
        <f t="shared" si="44"/>
        <v>0</v>
      </c>
      <c r="BJ47" s="80">
        <f t="shared" si="45"/>
        <v>0</v>
      </c>
      <c r="BK47" s="80"/>
      <c r="BL47" s="38"/>
      <c r="BW47" s="38">
        <v>21</v>
      </c>
    </row>
    <row r="48" spans="1:47" ht="15">
      <c r="A48" s="65" t="s">
        <v>4</v>
      </c>
      <c r="B48" s="66" t="s">
        <v>95</v>
      </c>
      <c r="C48" s="66" t="s">
        <v>3085</v>
      </c>
      <c r="D48" s="192" t="s">
        <v>3086</v>
      </c>
      <c r="E48" s="193"/>
      <c r="F48" s="67" t="s">
        <v>78</v>
      </c>
      <c r="G48" s="67" t="s">
        <v>78</v>
      </c>
      <c r="H48" s="67" t="s">
        <v>78</v>
      </c>
      <c r="I48" s="44">
        <f>SUM(I49:I77)</f>
        <v>0</v>
      </c>
      <c r="J48" s="50" t="s">
        <v>4</v>
      </c>
      <c r="K48" s="44">
        <f>SUM(K49:K77)</f>
        <v>0</v>
      </c>
      <c r="L48" s="69" t="s">
        <v>4</v>
      </c>
      <c r="AI48" s="50" t="s">
        <v>95</v>
      </c>
      <c r="AS48" s="44">
        <f>SUM(AJ49:AJ77)</f>
        <v>0</v>
      </c>
      <c r="AT48" s="44">
        <f>SUM(AK49:AK77)</f>
        <v>0</v>
      </c>
      <c r="AU48" s="44">
        <f>SUM(AL49:AL77)</f>
        <v>0</v>
      </c>
    </row>
    <row r="49" spans="1:75" ht="13.5" customHeight="1">
      <c r="A49" s="1" t="s">
        <v>311</v>
      </c>
      <c r="B49" s="2" t="s">
        <v>95</v>
      </c>
      <c r="C49" s="2" t="s">
        <v>3019</v>
      </c>
      <c r="D49" s="108" t="s">
        <v>3020</v>
      </c>
      <c r="E49" s="103"/>
      <c r="F49" s="2" t="s">
        <v>199</v>
      </c>
      <c r="G49" s="38">
        <f>'Stavební rozpočet'!G1578</f>
        <v>1</v>
      </c>
      <c r="H49" s="38">
        <f>'Stavební rozpočet'!H1578</f>
        <v>0</v>
      </c>
      <c r="I49" s="38">
        <f>G49*H49</f>
        <v>0</v>
      </c>
      <c r="J49" s="38">
        <f>'Stavební rozpočet'!J1578</f>
        <v>0</v>
      </c>
      <c r="K49" s="38">
        <f>G49*J49</f>
        <v>0</v>
      </c>
      <c r="L49" s="71" t="s">
        <v>207</v>
      </c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50" t="s">
        <v>95</v>
      </c>
      <c r="AJ49" s="38">
        <f>IF(AN49=0,I49,0)</f>
        <v>0</v>
      </c>
      <c r="AK49" s="38">
        <f>IF(AN49=12,I49,0)</f>
        <v>0</v>
      </c>
      <c r="AL49" s="38">
        <f>IF(AN49=21,I49,0)</f>
        <v>0</v>
      </c>
      <c r="AN49" s="38">
        <v>21</v>
      </c>
      <c r="AO49" s="38">
        <f>H49*0</f>
        <v>0</v>
      </c>
      <c r="AP49" s="38">
        <f>H49*(1-0)</f>
        <v>0</v>
      </c>
      <c r="AQ49" s="72" t="s">
        <v>143</v>
      </c>
      <c r="AV49" s="38">
        <f>AW49+AX49</f>
        <v>0</v>
      </c>
      <c r="AW49" s="38">
        <f>G49*AO49</f>
        <v>0</v>
      </c>
      <c r="AX49" s="38">
        <f>G49*AP49</f>
        <v>0</v>
      </c>
      <c r="AY49" s="72" t="s">
        <v>3088</v>
      </c>
      <c r="AZ49" s="72" t="s">
        <v>3013</v>
      </c>
      <c r="BA49" s="50" t="s">
        <v>3014</v>
      </c>
      <c r="BC49" s="38">
        <f>AW49+AX49</f>
        <v>0</v>
      </c>
      <c r="BD49" s="38">
        <f>H49/(100-BE49)*100</f>
        <v>0</v>
      </c>
      <c r="BE49" s="38">
        <v>0</v>
      </c>
      <c r="BF49" s="38">
        <f>K49</f>
        <v>0</v>
      </c>
      <c r="BH49" s="38">
        <f>G49*AO49</f>
        <v>0</v>
      </c>
      <c r="BI49" s="38">
        <f>G49*AP49</f>
        <v>0</v>
      </c>
      <c r="BJ49" s="38">
        <f>G49*H49</f>
        <v>0</v>
      </c>
      <c r="BK49" s="38"/>
      <c r="BL49" s="38"/>
      <c r="BW49" s="38">
        <v>21</v>
      </c>
    </row>
    <row r="50" spans="1:75" ht="27" customHeight="1">
      <c r="A50" s="1" t="s">
        <v>195</v>
      </c>
      <c r="B50" s="2" t="s">
        <v>95</v>
      </c>
      <c r="C50" s="2" t="s">
        <v>3023</v>
      </c>
      <c r="D50" s="108" t="s">
        <v>3090</v>
      </c>
      <c r="E50" s="103"/>
      <c r="F50" s="2" t="s">
        <v>263</v>
      </c>
      <c r="G50" s="38">
        <f>'Stavební rozpočet'!G1579</f>
        <v>0.01</v>
      </c>
      <c r="H50" s="38">
        <f>'Stavební rozpočet'!H1579</f>
        <v>0</v>
      </c>
      <c r="I50" s="38">
        <f>G50*H50</f>
        <v>0</v>
      </c>
      <c r="J50" s="38">
        <f>'Stavební rozpočet'!J1579</f>
        <v>0</v>
      </c>
      <c r="K50" s="38">
        <f>G50*J50</f>
        <v>0</v>
      </c>
      <c r="L50" s="71" t="s">
        <v>207</v>
      </c>
      <c r="Z50" s="38">
        <f>IF(AQ50="5",BJ50,0)</f>
        <v>0</v>
      </c>
      <c r="AB50" s="38">
        <f>IF(AQ50="1",BH50,0)</f>
        <v>0</v>
      </c>
      <c r="AC50" s="38">
        <f>IF(AQ50="1",BI50,0)</f>
        <v>0</v>
      </c>
      <c r="AD50" s="38">
        <f>IF(AQ50="7",BH50,0)</f>
        <v>0</v>
      </c>
      <c r="AE50" s="38">
        <f>IF(AQ50="7",BI50,0)</f>
        <v>0</v>
      </c>
      <c r="AF50" s="38">
        <f>IF(AQ50="2",BH50,0)</f>
        <v>0</v>
      </c>
      <c r="AG50" s="38">
        <f>IF(AQ50="2",BI50,0)</f>
        <v>0</v>
      </c>
      <c r="AH50" s="38">
        <f>IF(AQ50="0",BJ50,0)</f>
        <v>0</v>
      </c>
      <c r="AI50" s="50" t="s">
        <v>95</v>
      </c>
      <c r="AJ50" s="38">
        <f>IF(AN50=0,I50,0)</f>
        <v>0</v>
      </c>
      <c r="AK50" s="38">
        <f>IF(AN50=12,I50,0)</f>
        <v>0</v>
      </c>
      <c r="AL50" s="38">
        <f>IF(AN50=21,I50,0)</f>
        <v>0</v>
      </c>
      <c r="AN50" s="38">
        <v>21</v>
      </c>
      <c r="AO50" s="38">
        <f>H50*0</f>
        <v>0</v>
      </c>
      <c r="AP50" s="38">
        <f>H50*(1-0)</f>
        <v>0</v>
      </c>
      <c r="AQ50" s="72" t="s">
        <v>132</v>
      </c>
      <c r="AV50" s="38">
        <f>AW50+AX50</f>
        <v>0</v>
      </c>
      <c r="AW50" s="38">
        <f>G50*AO50</f>
        <v>0</v>
      </c>
      <c r="AX50" s="38">
        <f>G50*AP50</f>
        <v>0</v>
      </c>
      <c r="AY50" s="72" t="s">
        <v>3088</v>
      </c>
      <c r="AZ50" s="72" t="s">
        <v>3013</v>
      </c>
      <c r="BA50" s="50" t="s">
        <v>3014</v>
      </c>
      <c r="BC50" s="38">
        <f>AW50+AX50</f>
        <v>0</v>
      </c>
      <c r="BD50" s="38">
        <f>H50/(100-BE50)*100</f>
        <v>0</v>
      </c>
      <c r="BE50" s="38">
        <v>0</v>
      </c>
      <c r="BF50" s="38">
        <f>K50</f>
        <v>0</v>
      </c>
      <c r="BH50" s="38">
        <f>G50*AO50</f>
        <v>0</v>
      </c>
      <c r="BI50" s="38">
        <f>G50*AP50</f>
        <v>0</v>
      </c>
      <c r="BJ50" s="38">
        <f>G50*H50</f>
        <v>0</v>
      </c>
      <c r="BK50" s="38"/>
      <c r="BL50" s="38"/>
      <c r="BW50" s="38">
        <v>21</v>
      </c>
    </row>
    <row r="51" spans="1:12" ht="13.5" customHeight="1">
      <c r="A51" s="74"/>
      <c r="D51" s="194" t="s">
        <v>3021</v>
      </c>
      <c r="E51" s="195"/>
      <c r="F51" s="195"/>
      <c r="G51" s="195"/>
      <c r="H51" s="195"/>
      <c r="I51" s="195"/>
      <c r="J51" s="195"/>
      <c r="K51" s="195"/>
      <c r="L51" s="197"/>
    </row>
    <row r="52" spans="1:75" ht="13.5" customHeight="1">
      <c r="A52" s="78" t="s">
        <v>322</v>
      </c>
      <c r="B52" s="79" t="s">
        <v>95</v>
      </c>
      <c r="C52" s="79" t="s">
        <v>3027</v>
      </c>
      <c r="D52" s="198" t="s">
        <v>3028</v>
      </c>
      <c r="E52" s="199"/>
      <c r="F52" s="79" t="s">
        <v>199</v>
      </c>
      <c r="G52" s="80">
        <f>'Stavební rozpočet'!G1581</f>
        <v>1</v>
      </c>
      <c r="H52" s="80">
        <f>'Stavební rozpočet'!H1581</f>
        <v>0</v>
      </c>
      <c r="I52" s="80">
        <f aca="true" t="shared" si="46" ref="I52:I66">G52*H52</f>
        <v>0</v>
      </c>
      <c r="J52" s="80">
        <f>'Stavební rozpočet'!J1581</f>
        <v>0</v>
      </c>
      <c r="K52" s="80">
        <f aca="true" t="shared" si="47" ref="K52:K66">G52*J52</f>
        <v>0</v>
      </c>
      <c r="L52" s="82" t="s">
        <v>207</v>
      </c>
      <c r="Z52" s="38">
        <f aca="true" t="shared" si="48" ref="Z52:Z66">IF(AQ52="5",BJ52,0)</f>
        <v>0</v>
      </c>
      <c r="AB52" s="38">
        <f aca="true" t="shared" si="49" ref="AB52:AB66">IF(AQ52="1",BH52,0)</f>
        <v>0</v>
      </c>
      <c r="AC52" s="38">
        <f aca="true" t="shared" si="50" ref="AC52:AC66">IF(AQ52="1",BI52,0)</f>
        <v>0</v>
      </c>
      <c r="AD52" s="38">
        <f aca="true" t="shared" si="51" ref="AD52:AD66">IF(AQ52="7",BH52,0)</f>
        <v>0</v>
      </c>
      <c r="AE52" s="38">
        <f aca="true" t="shared" si="52" ref="AE52:AE66">IF(AQ52="7",BI52,0)</f>
        <v>0</v>
      </c>
      <c r="AF52" s="38">
        <f aca="true" t="shared" si="53" ref="AF52:AF66">IF(AQ52="2",BH52,0)</f>
        <v>0</v>
      </c>
      <c r="AG52" s="38">
        <f aca="true" t="shared" si="54" ref="AG52:AG66">IF(AQ52="2",BI52,0)</f>
        <v>0</v>
      </c>
      <c r="AH52" s="38">
        <f aca="true" t="shared" si="55" ref="AH52:AH66">IF(AQ52="0",BJ52,0)</f>
        <v>0</v>
      </c>
      <c r="AI52" s="50" t="s">
        <v>95</v>
      </c>
      <c r="AJ52" s="80">
        <f aca="true" t="shared" si="56" ref="AJ52:AJ66">IF(AN52=0,I52,0)</f>
        <v>0</v>
      </c>
      <c r="AK52" s="80">
        <f aca="true" t="shared" si="57" ref="AK52:AK66">IF(AN52=12,I52,0)</f>
        <v>0</v>
      </c>
      <c r="AL52" s="80">
        <f aca="true" t="shared" si="58" ref="AL52:AL66">IF(AN52=21,I52,0)</f>
        <v>0</v>
      </c>
      <c r="AN52" s="38">
        <v>21</v>
      </c>
      <c r="AO52" s="38">
        <f>H52*1</f>
        <v>0</v>
      </c>
      <c r="AP52" s="38">
        <f>H52*(1-1)</f>
        <v>0</v>
      </c>
      <c r="AQ52" s="83" t="s">
        <v>132</v>
      </c>
      <c r="AV52" s="38">
        <f aca="true" t="shared" si="59" ref="AV52:AV66">AW52+AX52</f>
        <v>0</v>
      </c>
      <c r="AW52" s="38">
        <f aca="true" t="shared" si="60" ref="AW52:AW66">G52*AO52</f>
        <v>0</v>
      </c>
      <c r="AX52" s="38">
        <f aca="true" t="shared" si="61" ref="AX52:AX66">G52*AP52</f>
        <v>0</v>
      </c>
      <c r="AY52" s="72" t="s">
        <v>3088</v>
      </c>
      <c r="AZ52" s="72" t="s">
        <v>3013</v>
      </c>
      <c r="BA52" s="50" t="s">
        <v>3014</v>
      </c>
      <c r="BC52" s="38">
        <f aca="true" t="shared" si="62" ref="BC52:BC66">AW52+AX52</f>
        <v>0</v>
      </c>
      <c r="BD52" s="38">
        <f aca="true" t="shared" si="63" ref="BD52:BD66">H52/(100-BE52)*100</f>
        <v>0</v>
      </c>
      <c r="BE52" s="38">
        <v>0</v>
      </c>
      <c r="BF52" s="38">
        <f aca="true" t="shared" si="64" ref="BF52:BF66">K52</f>
        <v>0</v>
      </c>
      <c r="BH52" s="80">
        <f aca="true" t="shared" si="65" ref="BH52:BH66">G52*AO52</f>
        <v>0</v>
      </c>
      <c r="BI52" s="80">
        <f aca="true" t="shared" si="66" ref="BI52:BI66">G52*AP52</f>
        <v>0</v>
      </c>
      <c r="BJ52" s="80">
        <f aca="true" t="shared" si="67" ref="BJ52:BJ66">G52*H52</f>
        <v>0</v>
      </c>
      <c r="BK52" s="80"/>
      <c r="BL52" s="38"/>
      <c r="BW52" s="38">
        <v>21</v>
      </c>
    </row>
    <row r="53" spans="1:75" ht="27" customHeight="1">
      <c r="A53" s="1" t="s">
        <v>328</v>
      </c>
      <c r="B53" s="2" t="s">
        <v>95</v>
      </c>
      <c r="C53" s="2" t="s">
        <v>2675</v>
      </c>
      <c r="D53" s="108" t="s">
        <v>2676</v>
      </c>
      <c r="E53" s="103"/>
      <c r="F53" s="2" t="s">
        <v>214</v>
      </c>
      <c r="G53" s="38">
        <f>'Stavební rozpočet'!G1582</f>
        <v>30</v>
      </c>
      <c r="H53" s="38">
        <f>'Stavební rozpočet'!H1582</f>
        <v>0</v>
      </c>
      <c r="I53" s="38">
        <f t="shared" si="46"/>
        <v>0</v>
      </c>
      <c r="J53" s="38">
        <f>'Stavební rozpočet'!J1582</f>
        <v>0</v>
      </c>
      <c r="K53" s="38">
        <f t="shared" si="47"/>
        <v>0</v>
      </c>
      <c r="L53" s="71" t="s">
        <v>207</v>
      </c>
      <c r="Z53" s="38">
        <f t="shared" si="48"/>
        <v>0</v>
      </c>
      <c r="AB53" s="38">
        <f t="shared" si="49"/>
        <v>0</v>
      </c>
      <c r="AC53" s="38">
        <f t="shared" si="50"/>
        <v>0</v>
      </c>
      <c r="AD53" s="38">
        <f t="shared" si="51"/>
        <v>0</v>
      </c>
      <c r="AE53" s="38">
        <f t="shared" si="52"/>
        <v>0</v>
      </c>
      <c r="AF53" s="38">
        <f t="shared" si="53"/>
        <v>0</v>
      </c>
      <c r="AG53" s="38">
        <f t="shared" si="54"/>
        <v>0</v>
      </c>
      <c r="AH53" s="38">
        <f t="shared" si="55"/>
        <v>0</v>
      </c>
      <c r="AI53" s="50" t="s">
        <v>95</v>
      </c>
      <c r="AJ53" s="38">
        <f t="shared" si="56"/>
        <v>0</v>
      </c>
      <c r="AK53" s="38">
        <f t="shared" si="57"/>
        <v>0</v>
      </c>
      <c r="AL53" s="38">
        <f t="shared" si="58"/>
        <v>0</v>
      </c>
      <c r="AN53" s="38">
        <v>21</v>
      </c>
      <c r="AO53" s="38">
        <f>H53*0</f>
        <v>0</v>
      </c>
      <c r="AP53" s="38">
        <f>H53*(1-0)</f>
        <v>0</v>
      </c>
      <c r="AQ53" s="72" t="s">
        <v>132</v>
      </c>
      <c r="AV53" s="38">
        <f t="shared" si="59"/>
        <v>0</v>
      </c>
      <c r="AW53" s="38">
        <f t="shared" si="60"/>
        <v>0</v>
      </c>
      <c r="AX53" s="38">
        <f t="shared" si="61"/>
        <v>0</v>
      </c>
      <c r="AY53" s="72" t="s">
        <v>3088</v>
      </c>
      <c r="AZ53" s="72" t="s">
        <v>3013</v>
      </c>
      <c r="BA53" s="50" t="s">
        <v>3014</v>
      </c>
      <c r="BC53" s="38">
        <f t="shared" si="62"/>
        <v>0</v>
      </c>
      <c r="BD53" s="38">
        <f t="shared" si="63"/>
        <v>0</v>
      </c>
      <c r="BE53" s="38">
        <v>0</v>
      </c>
      <c r="BF53" s="38">
        <f t="shared" si="64"/>
        <v>0</v>
      </c>
      <c r="BH53" s="38">
        <f t="shared" si="65"/>
        <v>0</v>
      </c>
      <c r="BI53" s="38">
        <f t="shared" si="66"/>
        <v>0</v>
      </c>
      <c r="BJ53" s="38">
        <f t="shared" si="67"/>
        <v>0</v>
      </c>
      <c r="BK53" s="38"/>
      <c r="BL53" s="38"/>
      <c r="BW53" s="38">
        <v>21</v>
      </c>
    </row>
    <row r="54" spans="1:75" ht="27" customHeight="1">
      <c r="A54" s="1" t="s">
        <v>289</v>
      </c>
      <c r="B54" s="2" t="s">
        <v>95</v>
      </c>
      <c r="C54" s="2" t="s">
        <v>3094</v>
      </c>
      <c r="D54" s="108" t="s">
        <v>3095</v>
      </c>
      <c r="E54" s="103"/>
      <c r="F54" s="2" t="s">
        <v>214</v>
      </c>
      <c r="G54" s="38">
        <f>'Stavební rozpočet'!G1583</f>
        <v>30</v>
      </c>
      <c r="H54" s="38">
        <f>'Stavební rozpočet'!H1583</f>
        <v>0</v>
      </c>
      <c r="I54" s="38">
        <f t="shared" si="46"/>
        <v>0</v>
      </c>
      <c r="J54" s="38">
        <f>'Stavební rozpočet'!J1583</f>
        <v>0</v>
      </c>
      <c r="K54" s="38">
        <f t="shared" si="47"/>
        <v>0</v>
      </c>
      <c r="L54" s="71" t="s">
        <v>207</v>
      </c>
      <c r="Z54" s="38">
        <f t="shared" si="48"/>
        <v>0</v>
      </c>
      <c r="AB54" s="38">
        <f t="shared" si="49"/>
        <v>0</v>
      </c>
      <c r="AC54" s="38">
        <f t="shared" si="50"/>
        <v>0</v>
      </c>
      <c r="AD54" s="38">
        <f t="shared" si="51"/>
        <v>0</v>
      </c>
      <c r="AE54" s="38">
        <f t="shared" si="52"/>
        <v>0</v>
      </c>
      <c r="AF54" s="38">
        <f t="shared" si="53"/>
        <v>0</v>
      </c>
      <c r="AG54" s="38">
        <f t="shared" si="54"/>
        <v>0</v>
      </c>
      <c r="AH54" s="38">
        <f t="shared" si="55"/>
        <v>0</v>
      </c>
      <c r="AI54" s="50" t="s">
        <v>95</v>
      </c>
      <c r="AJ54" s="38">
        <f t="shared" si="56"/>
        <v>0</v>
      </c>
      <c r="AK54" s="38">
        <f t="shared" si="57"/>
        <v>0</v>
      </c>
      <c r="AL54" s="38">
        <f t="shared" si="58"/>
        <v>0</v>
      </c>
      <c r="AN54" s="38">
        <v>21</v>
      </c>
      <c r="AO54" s="38">
        <f>H54*0</f>
        <v>0</v>
      </c>
      <c r="AP54" s="38">
        <f>H54*(1-0)</f>
        <v>0</v>
      </c>
      <c r="AQ54" s="72" t="s">
        <v>132</v>
      </c>
      <c r="AV54" s="38">
        <f t="shared" si="59"/>
        <v>0</v>
      </c>
      <c r="AW54" s="38">
        <f t="shared" si="60"/>
        <v>0</v>
      </c>
      <c r="AX54" s="38">
        <f t="shared" si="61"/>
        <v>0</v>
      </c>
      <c r="AY54" s="72" t="s">
        <v>3088</v>
      </c>
      <c r="AZ54" s="72" t="s">
        <v>3013</v>
      </c>
      <c r="BA54" s="50" t="s">
        <v>3014</v>
      </c>
      <c r="BC54" s="38">
        <f t="shared" si="62"/>
        <v>0</v>
      </c>
      <c r="BD54" s="38">
        <f t="shared" si="63"/>
        <v>0</v>
      </c>
      <c r="BE54" s="38">
        <v>0</v>
      </c>
      <c r="BF54" s="38">
        <f t="shared" si="64"/>
        <v>0</v>
      </c>
      <c r="BH54" s="38">
        <f t="shared" si="65"/>
        <v>0</v>
      </c>
      <c r="BI54" s="38">
        <f t="shared" si="66"/>
        <v>0</v>
      </c>
      <c r="BJ54" s="38">
        <f t="shared" si="67"/>
        <v>0</v>
      </c>
      <c r="BK54" s="38"/>
      <c r="BL54" s="38"/>
      <c r="BW54" s="38">
        <v>21</v>
      </c>
    </row>
    <row r="55" spans="1:75" ht="13.5" customHeight="1">
      <c r="A55" s="78" t="s">
        <v>336</v>
      </c>
      <c r="B55" s="79" t="s">
        <v>95</v>
      </c>
      <c r="C55" s="79" t="s">
        <v>3097</v>
      </c>
      <c r="D55" s="198" t="s">
        <v>3098</v>
      </c>
      <c r="E55" s="199"/>
      <c r="F55" s="79" t="s">
        <v>2567</v>
      </c>
      <c r="G55" s="80">
        <f>'Stavební rozpočet'!G1584</f>
        <v>3</v>
      </c>
      <c r="H55" s="80">
        <f>'Stavební rozpočet'!H1584</f>
        <v>0</v>
      </c>
      <c r="I55" s="80">
        <f t="shared" si="46"/>
        <v>0</v>
      </c>
      <c r="J55" s="80">
        <f>'Stavební rozpočet'!J1584</f>
        <v>0</v>
      </c>
      <c r="K55" s="80">
        <f t="shared" si="47"/>
        <v>0</v>
      </c>
      <c r="L55" s="82" t="s">
        <v>207</v>
      </c>
      <c r="Z55" s="38">
        <f t="shared" si="48"/>
        <v>0</v>
      </c>
      <c r="AB55" s="38">
        <f t="shared" si="49"/>
        <v>0</v>
      </c>
      <c r="AC55" s="38">
        <f t="shared" si="50"/>
        <v>0</v>
      </c>
      <c r="AD55" s="38">
        <f t="shared" si="51"/>
        <v>0</v>
      </c>
      <c r="AE55" s="38">
        <f t="shared" si="52"/>
        <v>0</v>
      </c>
      <c r="AF55" s="38">
        <f t="shared" si="53"/>
        <v>0</v>
      </c>
      <c r="AG55" s="38">
        <f t="shared" si="54"/>
        <v>0</v>
      </c>
      <c r="AH55" s="38">
        <f t="shared" si="55"/>
        <v>0</v>
      </c>
      <c r="AI55" s="50" t="s">
        <v>95</v>
      </c>
      <c r="AJ55" s="80">
        <f t="shared" si="56"/>
        <v>0</v>
      </c>
      <c r="AK55" s="80">
        <f t="shared" si="57"/>
        <v>0</v>
      </c>
      <c r="AL55" s="80">
        <f t="shared" si="58"/>
        <v>0</v>
      </c>
      <c r="AN55" s="38">
        <v>21</v>
      </c>
      <c r="AO55" s="38">
        <f>H55*1</f>
        <v>0</v>
      </c>
      <c r="AP55" s="38">
        <f>H55*(1-1)</f>
        <v>0</v>
      </c>
      <c r="AQ55" s="83" t="s">
        <v>132</v>
      </c>
      <c r="AV55" s="38">
        <f t="shared" si="59"/>
        <v>0</v>
      </c>
      <c r="AW55" s="38">
        <f t="shared" si="60"/>
        <v>0</v>
      </c>
      <c r="AX55" s="38">
        <f t="shared" si="61"/>
        <v>0</v>
      </c>
      <c r="AY55" s="72" t="s">
        <v>3088</v>
      </c>
      <c r="AZ55" s="72" t="s">
        <v>3013</v>
      </c>
      <c r="BA55" s="50" t="s">
        <v>3014</v>
      </c>
      <c r="BC55" s="38">
        <f t="shared" si="62"/>
        <v>0</v>
      </c>
      <c r="BD55" s="38">
        <f t="shared" si="63"/>
        <v>0</v>
      </c>
      <c r="BE55" s="38">
        <v>0</v>
      </c>
      <c r="BF55" s="38">
        <f t="shared" si="64"/>
        <v>0</v>
      </c>
      <c r="BH55" s="80">
        <f t="shared" si="65"/>
        <v>0</v>
      </c>
      <c r="BI55" s="80">
        <f t="shared" si="66"/>
        <v>0</v>
      </c>
      <c r="BJ55" s="80">
        <f t="shared" si="67"/>
        <v>0</v>
      </c>
      <c r="BK55" s="80"/>
      <c r="BL55" s="38"/>
      <c r="BW55" s="38">
        <v>21</v>
      </c>
    </row>
    <row r="56" spans="1:75" ht="27" customHeight="1">
      <c r="A56" s="1" t="s">
        <v>342</v>
      </c>
      <c r="B56" s="2" t="s">
        <v>95</v>
      </c>
      <c r="C56" s="2" t="s">
        <v>2669</v>
      </c>
      <c r="D56" s="108" t="s">
        <v>2670</v>
      </c>
      <c r="E56" s="103"/>
      <c r="F56" s="2" t="s">
        <v>199</v>
      </c>
      <c r="G56" s="38">
        <f>'Stavební rozpočet'!G1585</f>
        <v>6</v>
      </c>
      <c r="H56" s="38">
        <f>'Stavební rozpočet'!H1585</f>
        <v>0</v>
      </c>
      <c r="I56" s="38">
        <f t="shared" si="46"/>
        <v>0</v>
      </c>
      <c r="J56" s="38">
        <f>'Stavební rozpočet'!J1585</f>
        <v>0</v>
      </c>
      <c r="K56" s="38">
        <f t="shared" si="47"/>
        <v>0</v>
      </c>
      <c r="L56" s="71" t="s">
        <v>207</v>
      </c>
      <c r="Z56" s="38">
        <f t="shared" si="48"/>
        <v>0</v>
      </c>
      <c r="AB56" s="38">
        <f t="shared" si="49"/>
        <v>0</v>
      </c>
      <c r="AC56" s="38">
        <f t="shared" si="50"/>
        <v>0</v>
      </c>
      <c r="AD56" s="38">
        <f t="shared" si="51"/>
        <v>0</v>
      </c>
      <c r="AE56" s="38">
        <f t="shared" si="52"/>
        <v>0</v>
      </c>
      <c r="AF56" s="38">
        <f t="shared" si="53"/>
        <v>0</v>
      </c>
      <c r="AG56" s="38">
        <f t="shared" si="54"/>
        <v>0</v>
      </c>
      <c r="AH56" s="38">
        <f t="shared" si="55"/>
        <v>0</v>
      </c>
      <c r="AI56" s="50" t="s">
        <v>95</v>
      </c>
      <c r="AJ56" s="38">
        <f t="shared" si="56"/>
        <v>0</v>
      </c>
      <c r="AK56" s="38">
        <f t="shared" si="57"/>
        <v>0</v>
      </c>
      <c r="AL56" s="38">
        <f t="shared" si="58"/>
        <v>0</v>
      </c>
      <c r="AN56" s="38">
        <v>21</v>
      </c>
      <c r="AO56" s="38">
        <f>H56*0</f>
        <v>0</v>
      </c>
      <c r="AP56" s="38">
        <f>H56*(1-0)</f>
        <v>0</v>
      </c>
      <c r="AQ56" s="72" t="s">
        <v>132</v>
      </c>
      <c r="AV56" s="38">
        <f t="shared" si="59"/>
        <v>0</v>
      </c>
      <c r="AW56" s="38">
        <f t="shared" si="60"/>
        <v>0</v>
      </c>
      <c r="AX56" s="38">
        <f t="shared" si="61"/>
        <v>0</v>
      </c>
      <c r="AY56" s="72" t="s">
        <v>3088</v>
      </c>
      <c r="AZ56" s="72" t="s">
        <v>3013</v>
      </c>
      <c r="BA56" s="50" t="s">
        <v>3014</v>
      </c>
      <c r="BC56" s="38">
        <f t="shared" si="62"/>
        <v>0</v>
      </c>
      <c r="BD56" s="38">
        <f t="shared" si="63"/>
        <v>0</v>
      </c>
      <c r="BE56" s="38">
        <v>0</v>
      </c>
      <c r="BF56" s="38">
        <f t="shared" si="64"/>
        <v>0</v>
      </c>
      <c r="BH56" s="38">
        <f t="shared" si="65"/>
        <v>0</v>
      </c>
      <c r="BI56" s="38">
        <f t="shared" si="66"/>
        <v>0</v>
      </c>
      <c r="BJ56" s="38">
        <f t="shared" si="67"/>
        <v>0</v>
      </c>
      <c r="BK56" s="38"/>
      <c r="BL56" s="38"/>
      <c r="BW56" s="38">
        <v>21</v>
      </c>
    </row>
    <row r="57" spans="1:75" ht="27" customHeight="1">
      <c r="A57" s="78" t="s">
        <v>346</v>
      </c>
      <c r="B57" s="79" t="s">
        <v>95</v>
      </c>
      <c r="C57" s="79" t="s">
        <v>2672</v>
      </c>
      <c r="D57" s="198" t="s">
        <v>2673</v>
      </c>
      <c r="E57" s="199"/>
      <c r="F57" s="79" t="s">
        <v>2567</v>
      </c>
      <c r="G57" s="80">
        <f>'Stavební rozpočet'!G1586</f>
        <v>6</v>
      </c>
      <c r="H57" s="80">
        <f>'Stavební rozpočet'!H1586</f>
        <v>0</v>
      </c>
      <c r="I57" s="80">
        <f t="shared" si="46"/>
        <v>0</v>
      </c>
      <c r="J57" s="80">
        <f>'Stavební rozpočet'!J1586</f>
        <v>0</v>
      </c>
      <c r="K57" s="80">
        <f t="shared" si="47"/>
        <v>0</v>
      </c>
      <c r="L57" s="82" t="s">
        <v>207</v>
      </c>
      <c r="Z57" s="38">
        <f t="shared" si="48"/>
        <v>0</v>
      </c>
      <c r="AB57" s="38">
        <f t="shared" si="49"/>
        <v>0</v>
      </c>
      <c r="AC57" s="38">
        <f t="shared" si="50"/>
        <v>0</v>
      </c>
      <c r="AD57" s="38">
        <f t="shared" si="51"/>
        <v>0</v>
      </c>
      <c r="AE57" s="38">
        <f t="shared" si="52"/>
        <v>0</v>
      </c>
      <c r="AF57" s="38">
        <f t="shared" si="53"/>
        <v>0</v>
      </c>
      <c r="AG57" s="38">
        <f t="shared" si="54"/>
        <v>0</v>
      </c>
      <c r="AH57" s="38">
        <f t="shared" si="55"/>
        <v>0</v>
      </c>
      <c r="AI57" s="50" t="s">
        <v>95</v>
      </c>
      <c r="AJ57" s="80">
        <f t="shared" si="56"/>
        <v>0</v>
      </c>
      <c r="AK57" s="80">
        <f t="shared" si="57"/>
        <v>0</v>
      </c>
      <c r="AL57" s="80">
        <f t="shared" si="58"/>
        <v>0</v>
      </c>
      <c r="AN57" s="38">
        <v>21</v>
      </c>
      <c r="AO57" s="38">
        <f>H57*1</f>
        <v>0</v>
      </c>
      <c r="AP57" s="38">
        <f>H57*(1-1)</f>
        <v>0</v>
      </c>
      <c r="AQ57" s="83" t="s">
        <v>132</v>
      </c>
      <c r="AV57" s="38">
        <f t="shared" si="59"/>
        <v>0</v>
      </c>
      <c r="AW57" s="38">
        <f t="shared" si="60"/>
        <v>0</v>
      </c>
      <c r="AX57" s="38">
        <f t="shared" si="61"/>
        <v>0</v>
      </c>
      <c r="AY57" s="72" t="s">
        <v>3088</v>
      </c>
      <c r="AZ57" s="72" t="s">
        <v>3013</v>
      </c>
      <c r="BA57" s="50" t="s">
        <v>3014</v>
      </c>
      <c r="BC57" s="38">
        <f t="shared" si="62"/>
        <v>0</v>
      </c>
      <c r="BD57" s="38">
        <f t="shared" si="63"/>
        <v>0</v>
      </c>
      <c r="BE57" s="38">
        <v>0</v>
      </c>
      <c r="BF57" s="38">
        <f t="shared" si="64"/>
        <v>0</v>
      </c>
      <c r="BH57" s="80">
        <f t="shared" si="65"/>
        <v>0</v>
      </c>
      <c r="BI57" s="80">
        <f t="shared" si="66"/>
        <v>0</v>
      </c>
      <c r="BJ57" s="80">
        <f t="shared" si="67"/>
        <v>0</v>
      </c>
      <c r="BK57" s="80"/>
      <c r="BL57" s="38"/>
      <c r="BW57" s="38">
        <v>21</v>
      </c>
    </row>
    <row r="58" spans="1:75" ht="27" customHeight="1">
      <c r="A58" s="1" t="s">
        <v>351</v>
      </c>
      <c r="B58" s="2" t="s">
        <v>95</v>
      </c>
      <c r="C58" s="2" t="s">
        <v>2758</v>
      </c>
      <c r="D58" s="108" t="s">
        <v>2759</v>
      </c>
      <c r="E58" s="103"/>
      <c r="F58" s="2" t="s">
        <v>189</v>
      </c>
      <c r="G58" s="38">
        <f>'Stavební rozpočet'!G1587</f>
        <v>0.05</v>
      </c>
      <c r="H58" s="38">
        <f>'Stavební rozpočet'!H1587</f>
        <v>0</v>
      </c>
      <c r="I58" s="38">
        <f t="shared" si="46"/>
        <v>0</v>
      </c>
      <c r="J58" s="38">
        <f>'Stavební rozpočet'!J1587</f>
        <v>0</v>
      </c>
      <c r="K58" s="38">
        <f t="shared" si="47"/>
        <v>0</v>
      </c>
      <c r="L58" s="71" t="s">
        <v>207</v>
      </c>
      <c r="Z58" s="38">
        <f t="shared" si="48"/>
        <v>0</v>
      </c>
      <c r="AB58" s="38">
        <f t="shared" si="49"/>
        <v>0</v>
      </c>
      <c r="AC58" s="38">
        <f t="shared" si="50"/>
        <v>0</v>
      </c>
      <c r="AD58" s="38">
        <f t="shared" si="51"/>
        <v>0</v>
      </c>
      <c r="AE58" s="38">
        <f t="shared" si="52"/>
        <v>0</v>
      </c>
      <c r="AF58" s="38">
        <f t="shared" si="53"/>
        <v>0</v>
      </c>
      <c r="AG58" s="38">
        <f t="shared" si="54"/>
        <v>0</v>
      </c>
      <c r="AH58" s="38">
        <f t="shared" si="55"/>
        <v>0</v>
      </c>
      <c r="AI58" s="50" t="s">
        <v>95</v>
      </c>
      <c r="AJ58" s="38">
        <f t="shared" si="56"/>
        <v>0</v>
      </c>
      <c r="AK58" s="38">
        <f t="shared" si="57"/>
        <v>0</v>
      </c>
      <c r="AL58" s="38">
        <f t="shared" si="58"/>
        <v>0</v>
      </c>
      <c r="AN58" s="38">
        <v>21</v>
      </c>
      <c r="AO58" s="38">
        <f>H58*0</f>
        <v>0</v>
      </c>
      <c r="AP58" s="38">
        <f>H58*(1-0)</f>
        <v>0</v>
      </c>
      <c r="AQ58" s="72" t="s">
        <v>162</v>
      </c>
      <c r="AV58" s="38">
        <f t="shared" si="59"/>
        <v>0</v>
      </c>
      <c r="AW58" s="38">
        <f t="shared" si="60"/>
        <v>0</v>
      </c>
      <c r="AX58" s="38">
        <f t="shared" si="61"/>
        <v>0</v>
      </c>
      <c r="AY58" s="72" t="s">
        <v>3088</v>
      </c>
      <c r="AZ58" s="72" t="s">
        <v>3013</v>
      </c>
      <c r="BA58" s="50" t="s">
        <v>3014</v>
      </c>
      <c r="BC58" s="38">
        <f t="shared" si="62"/>
        <v>0</v>
      </c>
      <c r="BD58" s="38">
        <f t="shared" si="63"/>
        <v>0</v>
      </c>
      <c r="BE58" s="38">
        <v>0</v>
      </c>
      <c r="BF58" s="38">
        <f t="shared" si="64"/>
        <v>0</v>
      </c>
      <c r="BH58" s="38">
        <f t="shared" si="65"/>
        <v>0</v>
      </c>
      <c r="BI58" s="38">
        <f t="shared" si="66"/>
        <v>0</v>
      </c>
      <c r="BJ58" s="38">
        <f t="shared" si="67"/>
        <v>0</v>
      </c>
      <c r="BK58" s="38"/>
      <c r="BL58" s="38"/>
      <c r="BW58" s="38">
        <v>21</v>
      </c>
    </row>
    <row r="59" spans="1:75" ht="13.5" customHeight="1">
      <c r="A59" s="1" t="s">
        <v>356</v>
      </c>
      <c r="B59" s="2" t="s">
        <v>95</v>
      </c>
      <c r="C59" s="2" t="s">
        <v>3031</v>
      </c>
      <c r="D59" s="108" t="s">
        <v>3032</v>
      </c>
      <c r="E59" s="103"/>
      <c r="F59" s="2" t="s">
        <v>199</v>
      </c>
      <c r="G59" s="38">
        <f>'Stavební rozpočet'!G1588</f>
        <v>6</v>
      </c>
      <c r="H59" s="38">
        <f>'Stavební rozpočet'!H1588</f>
        <v>0</v>
      </c>
      <c r="I59" s="38">
        <f t="shared" si="46"/>
        <v>0</v>
      </c>
      <c r="J59" s="38">
        <f>'Stavební rozpočet'!J1588</f>
        <v>0</v>
      </c>
      <c r="K59" s="38">
        <f t="shared" si="47"/>
        <v>0</v>
      </c>
      <c r="L59" s="71" t="s">
        <v>207</v>
      </c>
      <c r="Z59" s="38">
        <f t="shared" si="48"/>
        <v>0</v>
      </c>
      <c r="AB59" s="38">
        <f t="shared" si="49"/>
        <v>0</v>
      </c>
      <c r="AC59" s="38">
        <f t="shared" si="50"/>
        <v>0</v>
      </c>
      <c r="AD59" s="38">
        <f t="shared" si="51"/>
        <v>0</v>
      </c>
      <c r="AE59" s="38">
        <f t="shared" si="52"/>
        <v>0</v>
      </c>
      <c r="AF59" s="38">
        <f t="shared" si="53"/>
        <v>0</v>
      </c>
      <c r="AG59" s="38">
        <f t="shared" si="54"/>
        <v>0</v>
      </c>
      <c r="AH59" s="38">
        <f t="shared" si="55"/>
        <v>0</v>
      </c>
      <c r="AI59" s="50" t="s">
        <v>95</v>
      </c>
      <c r="AJ59" s="38">
        <f t="shared" si="56"/>
        <v>0</v>
      </c>
      <c r="AK59" s="38">
        <f t="shared" si="57"/>
        <v>0</v>
      </c>
      <c r="AL59" s="38">
        <f t="shared" si="58"/>
        <v>0</v>
      </c>
      <c r="AN59" s="38">
        <v>21</v>
      </c>
      <c r="AO59" s="38">
        <f>H59*0</f>
        <v>0</v>
      </c>
      <c r="AP59" s="38">
        <f>H59*(1-0)</f>
        <v>0</v>
      </c>
      <c r="AQ59" s="72" t="s">
        <v>132</v>
      </c>
      <c r="AV59" s="38">
        <f t="shared" si="59"/>
        <v>0</v>
      </c>
      <c r="AW59" s="38">
        <f t="shared" si="60"/>
        <v>0</v>
      </c>
      <c r="AX59" s="38">
        <f t="shared" si="61"/>
        <v>0</v>
      </c>
      <c r="AY59" s="72" t="s">
        <v>3088</v>
      </c>
      <c r="AZ59" s="72" t="s">
        <v>3013</v>
      </c>
      <c r="BA59" s="50" t="s">
        <v>3014</v>
      </c>
      <c r="BC59" s="38">
        <f t="shared" si="62"/>
        <v>0</v>
      </c>
      <c r="BD59" s="38">
        <f t="shared" si="63"/>
        <v>0</v>
      </c>
      <c r="BE59" s="38">
        <v>0</v>
      </c>
      <c r="BF59" s="38">
        <f t="shared" si="64"/>
        <v>0</v>
      </c>
      <c r="BH59" s="38">
        <f t="shared" si="65"/>
        <v>0</v>
      </c>
      <c r="BI59" s="38">
        <f t="shared" si="66"/>
        <v>0</v>
      </c>
      <c r="BJ59" s="38">
        <f t="shared" si="67"/>
        <v>0</v>
      </c>
      <c r="BK59" s="38"/>
      <c r="BL59" s="38"/>
      <c r="BW59" s="38">
        <v>21</v>
      </c>
    </row>
    <row r="60" spans="1:75" ht="27" customHeight="1">
      <c r="A60" s="1" t="s">
        <v>362</v>
      </c>
      <c r="B60" s="2" t="s">
        <v>95</v>
      </c>
      <c r="C60" s="2" t="s">
        <v>3033</v>
      </c>
      <c r="D60" s="108" t="s">
        <v>3034</v>
      </c>
      <c r="E60" s="103"/>
      <c r="F60" s="2" t="s">
        <v>199</v>
      </c>
      <c r="G60" s="38">
        <f>'Stavební rozpočet'!G1589</f>
        <v>6</v>
      </c>
      <c r="H60" s="38">
        <f>'Stavební rozpočet'!H1589</f>
        <v>0</v>
      </c>
      <c r="I60" s="38">
        <f t="shared" si="46"/>
        <v>0</v>
      </c>
      <c r="J60" s="38">
        <f>'Stavební rozpočet'!J1589</f>
        <v>0</v>
      </c>
      <c r="K60" s="38">
        <f t="shared" si="47"/>
        <v>0</v>
      </c>
      <c r="L60" s="71" t="s">
        <v>207</v>
      </c>
      <c r="Z60" s="38">
        <f t="shared" si="48"/>
        <v>0</v>
      </c>
      <c r="AB60" s="38">
        <f t="shared" si="49"/>
        <v>0</v>
      </c>
      <c r="AC60" s="38">
        <f t="shared" si="50"/>
        <v>0</v>
      </c>
      <c r="AD60" s="38">
        <f t="shared" si="51"/>
        <v>0</v>
      </c>
      <c r="AE60" s="38">
        <f t="shared" si="52"/>
        <v>0</v>
      </c>
      <c r="AF60" s="38">
        <f t="shared" si="53"/>
        <v>0</v>
      </c>
      <c r="AG60" s="38">
        <f t="shared" si="54"/>
        <v>0</v>
      </c>
      <c r="AH60" s="38">
        <f t="shared" si="55"/>
        <v>0</v>
      </c>
      <c r="AI60" s="50" t="s">
        <v>95</v>
      </c>
      <c r="AJ60" s="38">
        <f t="shared" si="56"/>
        <v>0</v>
      </c>
      <c r="AK60" s="38">
        <f t="shared" si="57"/>
        <v>0</v>
      </c>
      <c r="AL60" s="38">
        <f t="shared" si="58"/>
        <v>0</v>
      </c>
      <c r="AN60" s="38">
        <v>21</v>
      </c>
      <c r="AO60" s="38">
        <f>H60*0</f>
        <v>0</v>
      </c>
      <c r="AP60" s="38">
        <f>H60*(1-0)</f>
        <v>0</v>
      </c>
      <c r="AQ60" s="72" t="s">
        <v>132</v>
      </c>
      <c r="AV60" s="38">
        <f t="shared" si="59"/>
        <v>0</v>
      </c>
      <c r="AW60" s="38">
        <f t="shared" si="60"/>
        <v>0</v>
      </c>
      <c r="AX60" s="38">
        <f t="shared" si="61"/>
        <v>0</v>
      </c>
      <c r="AY60" s="72" t="s">
        <v>3088</v>
      </c>
      <c r="AZ60" s="72" t="s">
        <v>3013</v>
      </c>
      <c r="BA60" s="50" t="s">
        <v>3014</v>
      </c>
      <c r="BC60" s="38">
        <f t="shared" si="62"/>
        <v>0</v>
      </c>
      <c r="BD60" s="38">
        <f t="shared" si="63"/>
        <v>0</v>
      </c>
      <c r="BE60" s="38">
        <v>0</v>
      </c>
      <c r="BF60" s="38">
        <f t="shared" si="64"/>
        <v>0</v>
      </c>
      <c r="BH60" s="38">
        <f t="shared" si="65"/>
        <v>0</v>
      </c>
      <c r="BI60" s="38">
        <f t="shared" si="66"/>
        <v>0</v>
      </c>
      <c r="BJ60" s="38">
        <f t="shared" si="67"/>
        <v>0</v>
      </c>
      <c r="BK60" s="38"/>
      <c r="BL60" s="38"/>
      <c r="BW60" s="38">
        <v>21</v>
      </c>
    </row>
    <row r="61" spans="1:75" ht="13.5" customHeight="1">
      <c r="A61" s="78" t="s">
        <v>360</v>
      </c>
      <c r="B61" s="79" t="s">
        <v>95</v>
      </c>
      <c r="C61" s="79" t="s">
        <v>3104</v>
      </c>
      <c r="D61" s="198" t="s">
        <v>3105</v>
      </c>
      <c r="E61" s="199"/>
      <c r="F61" s="79" t="s">
        <v>2567</v>
      </c>
      <c r="G61" s="80">
        <f>'Stavební rozpočet'!G1590</f>
        <v>6</v>
      </c>
      <c r="H61" s="80">
        <f>'Stavební rozpočet'!H1590</f>
        <v>0</v>
      </c>
      <c r="I61" s="80">
        <f t="shared" si="46"/>
        <v>0</v>
      </c>
      <c r="J61" s="80">
        <f>'Stavební rozpočet'!J1590</f>
        <v>0</v>
      </c>
      <c r="K61" s="80">
        <f t="shared" si="47"/>
        <v>0</v>
      </c>
      <c r="L61" s="82" t="s">
        <v>207</v>
      </c>
      <c r="Z61" s="38">
        <f t="shared" si="48"/>
        <v>0</v>
      </c>
      <c r="AB61" s="38">
        <f t="shared" si="49"/>
        <v>0</v>
      </c>
      <c r="AC61" s="38">
        <f t="shared" si="50"/>
        <v>0</v>
      </c>
      <c r="AD61" s="38">
        <f t="shared" si="51"/>
        <v>0</v>
      </c>
      <c r="AE61" s="38">
        <f t="shared" si="52"/>
        <v>0</v>
      </c>
      <c r="AF61" s="38">
        <f t="shared" si="53"/>
        <v>0</v>
      </c>
      <c r="AG61" s="38">
        <f t="shared" si="54"/>
        <v>0</v>
      </c>
      <c r="AH61" s="38">
        <f t="shared" si="55"/>
        <v>0</v>
      </c>
      <c r="AI61" s="50" t="s">
        <v>95</v>
      </c>
      <c r="AJ61" s="80">
        <f t="shared" si="56"/>
        <v>0</v>
      </c>
      <c r="AK61" s="80">
        <f t="shared" si="57"/>
        <v>0</v>
      </c>
      <c r="AL61" s="80">
        <f t="shared" si="58"/>
        <v>0</v>
      </c>
      <c r="AN61" s="38">
        <v>21</v>
      </c>
      <c r="AO61" s="38">
        <f>H61*1</f>
        <v>0</v>
      </c>
      <c r="AP61" s="38">
        <f>H61*(1-1)</f>
        <v>0</v>
      </c>
      <c r="AQ61" s="83" t="s">
        <v>132</v>
      </c>
      <c r="AV61" s="38">
        <f t="shared" si="59"/>
        <v>0</v>
      </c>
      <c r="AW61" s="38">
        <f t="shared" si="60"/>
        <v>0</v>
      </c>
      <c r="AX61" s="38">
        <f t="shared" si="61"/>
        <v>0</v>
      </c>
      <c r="AY61" s="72" t="s">
        <v>3088</v>
      </c>
      <c r="AZ61" s="72" t="s">
        <v>3013</v>
      </c>
      <c r="BA61" s="50" t="s">
        <v>3014</v>
      </c>
      <c r="BC61" s="38">
        <f t="shared" si="62"/>
        <v>0</v>
      </c>
      <c r="BD61" s="38">
        <f t="shared" si="63"/>
        <v>0</v>
      </c>
      <c r="BE61" s="38">
        <v>0</v>
      </c>
      <c r="BF61" s="38">
        <f t="shared" si="64"/>
        <v>0</v>
      </c>
      <c r="BH61" s="80">
        <f t="shared" si="65"/>
        <v>0</v>
      </c>
      <c r="BI61" s="80">
        <f t="shared" si="66"/>
        <v>0</v>
      </c>
      <c r="BJ61" s="80">
        <f t="shared" si="67"/>
        <v>0</v>
      </c>
      <c r="BK61" s="80"/>
      <c r="BL61" s="38"/>
      <c r="BW61" s="38">
        <v>21</v>
      </c>
    </row>
    <row r="62" spans="1:75" ht="13.5" customHeight="1">
      <c r="A62" s="78" t="s">
        <v>372</v>
      </c>
      <c r="B62" s="79" t="s">
        <v>95</v>
      </c>
      <c r="C62" s="79" t="s">
        <v>3107</v>
      </c>
      <c r="D62" s="198" t="s">
        <v>3108</v>
      </c>
      <c r="E62" s="199"/>
      <c r="F62" s="79" t="s">
        <v>2567</v>
      </c>
      <c r="G62" s="80">
        <f>'Stavební rozpočet'!G1591</f>
        <v>6</v>
      </c>
      <c r="H62" s="80">
        <f>'Stavební rozpočet'!H1591</f>
        <v>0</v>
      </c>
      <c r="I62" s="80">
        <f t="shared" si="46"/>
        <v>0</v>
      </c>
      <c r="J62" s="80">
        <f>'Stavební rozpočet'!J1591</f>
        <v>0</v>
      </c>
      <c r="K62" s="80">
        <f t="shared" si="47"/>
        <v>0</v>
      </c>
      <c r="L62" s="82" t="s">
        <v>207</v>
      </c>
      <c r="Z62" s="38">
        <f t="shared" si="48"/>
        <v>0</v>
      </c>
      <c r="AB62" s="38">
        <f t="shared" si="49"/>
        <v>0</v>
      </c>
      <c r="AC62" s="38">
        <f t="shared" si="50"/>
        <v>0</v>
      </c>
      <c r="AD62" s="38">
        <f t="shared" si="51"/>
        <v>0</v>
      </c>
      <c r="AE62" s="38">
        <f t="shared" si="52"/>
        <v>0</v>
      </c>
      <c r="AF62" s="38">
        <f t="shared" si="53"/>
        <v>0</v>
      </c>
      <c r="AG62" s="38">
        <f t="shared" si="54"/>
        <v>0</v>
      </c>
      <c r="AH62" s="38">
        <f t="shared" si="55"/>
        <v>0</v>
      </c>
      <c r="AI62" s="50" t="s">
        <v>95</v>
      </c>
      <c r="AJ62" s="80">
        <f t="shared" si="56"/>
        <v>0</v>
      </c>
      <c r="AK62" s="80">
        <f t="shared" si="57"/>
        <v>0</v>
      </c>
      <c r="AL62" s="80">
        <f t="shared" si="58"/>
        <v>0</v>
      </c>
      <c r="AN62" s="38">
        <v>21</v>
      </c>
      <c r="AO62" s="38">
        <f>H62*1</f>
        <v>0</v>
      </c>
      <c r="AP62" s="38">
        <f>H62*(1-1)</f>
        <v>0</v>
      </c>
      <c r="AQ62" s="83" t="s">
        <v>132</v>
      </c>
      <c r="AV62" s="38">
        <f t="shared" si="59"/>
        <v>0</v>
      </c>
      <c r="AW62" s="38">
        <f t="shared" si="60"/>
        <v>0</v>
      </c>
      <c r="AX62" s="38">
        <f t="shared" si="61"/>
        <v>0</v>
      </c>
      <c r="AY62" s="72" t="s">
        <v>3088</v>
      </c>
      <c r="AZ62" s="72" t="s">
        <v>3013</v>
      </c>
      <c r="BA62" s="50" t="s">
        <v>3014</v>
      </c>
      <c r="BC62" s="38">
        <f t="shared" si="62"/>
        <v>0</v>
      </c>
      <c r="BD62" s="38">
        <f t="shared" si="63"/>
        <v>0</v>
      </c>
      <c r="BE62" s="38">
        <v>0</v>
      </c>
      <c r="BF62" s="38">
        <f t="shared" si="64"/>
        <v>0</v>
      </c>
      <c r="BH62" s="80">
        <f t="shared" si="65"/>
        <v>0</v>
      </c>
      <c r="BI62" s="80">
        <f t="shared" si="66"/>
        <v>0</v>
      </c>
      <c r="BJ62" s="80">
        <f t="shared" si="67"/>
        <v>0</v>
      </c>
      <c r="BK62" s="80"/>
      <c r="BL62" s="38"/>
      <c r="BW62" s="38">
        <v>21</v>
      </c>
    </row>
    <row r="63" spans="1:75" ht="13.5" customHeight="1">
      <c r="A63" s="78" t="s">
        <v>375</v>
      </c>
      <c r="B63" s="79" t="s">
        <v>95</v>
      </c>
      <c r="C63" s="79" t="s">
        <v>3041</v>
      </c>
      <c r="D63" s="198" t="s">
        <v>3042</v>
      </c>
      <c r="E63" s="199"/>
      <c r="F63" s="79" t="s">
        <v>2567</v>
      </c>
      <c r="G63" s="80">
        <f>'Stavební rozpočet'!G1592</f>
        <v>6</v>
      </c>
      <c r="H63" s="80">
        <f>'Stavební rozpočet'!H1592</f>
        <v>0</v>
      </c>
      <c r="I63" s="80">
        <f t="shared" si="46"/>
        <v>0</v>
      </c>
      <c r="J63" s="80">
        <f>'Stavební rozpočet'!J1592</f>
        <v>0</v>
      </c>
      <c r="K63" s="80">
        <f t="shared" si="47"/>
        <v>0</v>
      </c>
      <c r="L63" s="82" t="s">
        <v>207</v>
      </c>
      <c r="Z63" s="38">
        <f t="shared" si="48"/>
        <v>0</v>
      </c>
      <c r="AB63" s="38">
        <f t="shared" si="49"/>
        <v>0</v>
      </c>
      <c r="AC63" s="38">
        <f t="shared" si="50"/>
        <v>0</v>
      </c>
      <c r="AD63" s="38">
        <f t="shared" si="51"/>
        <v>0</v>
      </c>
      <c r="AE63" s="38">
        <f t="shared" si="52"/>
        <v>0</v>
      </c>
      <c r="AF63" s="38">
        <f t="shared" si="53"/>
        <v>0</v>
      </c>
      <c r="AG63" s="38">
        <f t="shared" si="54"/>
        <v>0</v>
      </c>
      <c r="AH63" s="38">
        <f t="shared" si="55"/>
        <v>0</v>
      </c>
      <c r="AI63" s="50" t="s">
        <v>95</v>
      </c>
      <c r="AJ63" s="80">
        <f t="shared" si="56"/>
        <v>0</v>
      </c>
      <c r="AK63" s="80">
        <f t="shared" si="57"/>
        <v>0</v>
      </c>
      <c r="AL63" s="80">
        <f t="shared" si="58"/>
        <v>0</v>
      </c>
      <c r="AN63" s="38">
        <v>21</v>
      </c>
      <c r="AO63" s="38">
        <f>H63*1</f>
        <v>0</v>
      </c>
      <c r="AP63" s="38">
        <f>H63*(1-1)</f>
        <v>0</v>
      </c>
      <c r="AQ63" s="83" t="s">
        <v>132</v>
      </c>
      <c r="AV63" s="38">
        <f t="shared" si="59"/>
        <v>0</v>
      </c>
      <c r="AW63" s="38">
        <f t="shared" si="60"/>
        <v>0</v>
      </c>
      <c r="AX63" s="38">
        <f t="shared" si="61"/>
        <v>0</v>
      </c>
      <c r="AY63" s="72" t="s">
        <v>3088</v>
      </c>
      <c r="AZ63" s="72" t="s">
        <v>3013</v>
      </c>
      <c r="BA63" s="50" t="s">
        <v>3014</v>
      </c>
      <c r="BC63" s="38">
        <f t="shared" si="62"/>
        <v>0</v>
      </c>
      <c r="BD63" s="38">
        <f t="shared" si="63"/>
        <v>0</v>
      </c>
      <c r="BE63" s="38">
        <v>0</v>
      </c>
      <c r="BF63" s="38">
        <f t="shared" si="64"/>
        <v>0</v>
      </c>
      <c r="BH63" s="80">
        <f t="shared" si="65"/>
        <v>0</v>
      </c>
      <c r="BI63" s="80">
        <f t="shared" si="66"/>
        <v>0</v>
      </c>
      <c r="BJ63" s="80">
        <f t="shared" si="67"/>
        <v>0</v>
      </c>
      <c r="BK63" s="80"/>
      <c r="BL63" s="38"/>
      <c r="BW63" s="38">
        <v>21</v>
      </c>
    </row>
    <row r="64" spans="1:75" ht="13.5" customHeight="1">
      <c r="A64" s="78" t="s">
        <v>379</v>
      </c>
      <c r="B64" s="79" t="s">
        <v>95</v>
      </c>
      <c r="C64" s="79" t="s">
        <v>3044</v>
      </c>
      <c r="D64" s="198" t="s">
        <v>3045</v>
      </c>
      <c r="E64" s="199"/>
      <c r="F64" s="79" t="s">
        <v>2567</v>
      </c>
      <c r="G64" s="80">
        <f>'Stavební rozpočet'!G1593</f>
        <v>6</v>
      </c>
      <c r="H64" s="80">
        <f>'Stavební rozpočet'!H1593</f>
        <v>0</v>
      </c>
      <c r="I64" s="80">
        <f t="shared" si="46"/>
        <v>0</v>
      </c>
      <c r="J64" s="80">
        <f>'Stavební rozpočet'!J1593</f>
        <v>0</v>
      </c>
      <c r="K64" s="80">
        <f t="shared" si="47"/>
        <v>0</v>
      </c>
      <c r="L64" s="82" t="s">
        <v>207</v>
      </c>
      <c r="Z64" s="38">
        <f t="shared" si="48"/>
        <v>0</v>
      </c>
      <c r="AB64" s="38">
        <f t="shared" si="49"/>
        <v>0</v>
      </c>
      <c r="AC64" s="38">
        <f t="shared" si="50"/>
        <v>0</v>
      </c>
      <c r="AD64" s="38">
        <f t="shared" si="51"/>
        <v>0</v>
      </c>
      <c r="AE64" s="38">
        <f t="shared" si="52"/>
        <v>0</v>
      </c>
      <c r="AF64" s="38">
        <f t="shared" si="53"/>
        <v>0</v>
      </c>
      <c r="AG64" s="38">
        <f t="shared" si="54"/>
        <v>0</v>
      </c>
      <c r="AH64" s="38">
        <f t="shared" si="55"/>
        <v>0</v>
      </c>
      <c r="AI64" s="50" t="s">
        <v>95</v>
      </c>
      <c r="AJ64" s="80">
        <f t="shared" si="56"/>
        <v>0</v>
      </c>
      <c r="AK64" s="80">
        <f t="shared" si="57"/>
        <v>0</v>
      </c>
      <c r="AL64" s="80">
        <f t="shared" si="58"/>
        <v>0</v>
      </c>
      <c r="AN64" s="38">
        <v>21</v>
      </c>
      <c r="AO64" s="38">
        <f>H64*1</f>
        <v>0</v>
      </c>
      <c r="AP64" s="38">
        <f>H64*(1-1)</f>
        <v>0</v>
      </c>
      <c r="AQ64" s="83" t="s">
        <v>132</v>
      </c>
      <c r="AV64" s="38">
        <f t="shared" si="59"/>
        <v>0</v>
      </c>
      <c r="AW64" s="38">
        <f t="shared" si="60"/>
        <v>0</v>
      </c>
      <c r="AX64" s="38">
        <f t="shared" si="61"/>
        <v>0</v>
      </c>
      <c r="AY64" s="72" t="s">
        <v>3088</v>
      </c>
      <c r="AZ64" s="72" t="s">
        <v>3013</v>
      </c>
      <c r="BA64" s="50" t="s">
        <v>3014</v>
      </c>
      <c r="BC64" s="38">
        <f t="shared" si="62"/>
        <v>0</v>
      </c>
      <c r="BD64" s="38">
        <f t="shared" si="63"/>
        <v>0</v>
      </c>
      <c r="BE64" s="38">
        <v>0</v>
      </c>
      <c r="BF64" s="38">
        <f t="shared" si="64"/>
        <v>0</v>
      </c>
      <c r="BH64" s="80">
        <f t="shared" si="65"/>
        <v>0</v>
      </c>
      <c r="BI64" s="80">
        <f t="shared" si="66"/>
        <v>0</v>
      </c>
      <c r="BJ64" s="80">
        <f t="shared" si="67"/>
        <v>0</v>
      </c>
      <c r="BK64" s="80"/>
      <c r="BL64" s="38"/>
      <c r="BW64" s="38">
        <v>21</v>
      </c>
    </row>
    <row r="65" spans="1:75" ht="13.5" customHeight="1">
      <c r="A65" s="78" t="s">
        <v>382</v>
      </c>
      <c r="B65" s="79" t="s">
        <v>95</v>
      </c>
      <c r="C65" s="79" t="s">
        <v>2569</v>
      </c>
      <c r="D65" s="198" t="s">
        <v>2570</v>
      </c>
      <c r="E65" s="199"/>
      <c r="F65" s="79" t="s">
        <v>2567</v>
      </c>
      <c r="G65" s="80">
        <f>'Stavební rozpočet'!G1594</f>
        <v>6</v>
      </c>
      <c r="H65" s="80">
        <f>'Stavební rozpočet'!H1594</f>
        <v>0</v>
      </c>
      <c r="I65" s="80">
        <f t="shared" si="46"/>
        <v>0</v>
      </c>
      <c r="J65" s="80">
        <f>'Stavební rozpočet'!J1594</f>
        <v>0</v>
      </c>
      <c r="K65" s="80">
        <f t="shared" si="47"/>
        <v>0</v>
      </c>
      <c r="L65" s="82" t="s">
        <v>207</v>
      </c>
      <c r="Z65" s="38">
        <f t="shared" si="48"/>
        <v>0</v>
      </c>
      <c r="AB65" s="38">
        <f t="shared" si="49"/>
        <v>0</v>
      </c>
      <c r="AC65" s="38">
        <f t="shared" si="50"/>
        <v>0</v>
      </c>
      <c r="AD65" s="38">
        <f t="shared" si="51"/>
        <v>0</v>
      </c>
      <c r="AE65" s="38">
        <f t="shared" si="52"/>
        <v>0</v>
      </c>
      <c r="AF65" s="38">
        <f t="shared" si="53"/>
        <v>0</v>
      </c>
      <c r="AG65" s="38">
        <f t="shared" si="54"/>
        <v>0</v>
      </c>
      <c r="AH65" s="38">
        <f t="shared" si="55"/>
        <v>0</v>
      </c>
      <c r="AI65" s="50" t="s">
        <v>95</v>
      </c>
      <c r="AJ65" s="80">
        <f t="shared" si="56"/>
        <v>0</v>
      </c>
      <c r="AK65" s="80">
        <f t="shared" si="57"/>
        <v>0</v>
      </c>
      <c r="AL65" s="80">
        <f t="shared" si="58"/>
        <v>0</v>
      </c>
      <c r="AN65" s="38">
        <v>21</v>
      </c>
      <c r="AO65" s="38">
        <f>H65*1</f>
        <v>0</v>
      </c>
      <c r="AP65" s="38">
        <f>H65*(1-1)</f>
        <v>0</v>
      </c>
      <c r="AQ65" s="83" t="s">
        <v>132</v>
      </c>
      <c r="AV65" s="38">
        <f t="shared" si="59"/>
        <v>0</v>
      </c>
      <c r="AW65" s="38">
        <f t="shared" si="60"/>
        <v>0</v>
      </c>
      <c r="AX65" s="38">
        <f t="shared" si="61"/>
        <v>0</v>
      </c>
      <c r="AY65" s="72" t="s">
        <v>3088</v>
      </c>
      <c r="AZ65" s="72" t="s">
        <v>3013</v>
      </c>
      <c r="BA65" s="50" t="s">
        <v>3014</v>
      </c>
      <c r="BC65" s="38">
        <f t="shared" si="62"/>
        <v>0</v>
      </c>
      <c r="BD65" s="38">
        <f t="shared" si="63"/>
        <v>0</v>
      </c>
      <c r="BE65" s="38">
        <v>0</v>
      </c>
      <c r="BF65" s="38">
        <f t="shared" si="64"/>
        <v>0</v>
      </c>
      <c r="BH65" s="80">
        <f t="shared" si="65"/>
        <v>0</v>
      </c>
      <c r="BI65" s="80">
        <f t="shared" si="66"/>
        <v>0</v>
      </c>
      <c r="BJ65" s="80">
        <f t="shared" si="67"/>
        <v>0</v>
      </c>
      <c r="BK65" s="80"/>
      <c r="BL65" s="38"/>
      <c r="BW65" s="38">
        <v>21</v>
      </c>
    </row>
    <row r="66" spans="1:75" ht="27" customHeight="1">
      <c r="A66" s="1" t="s">
        <v>387</v>
      </c>
      <c r="B66" s="2" t="s">
        <v>95</v>
      </c>
      <c r="C66" s="2" t="s">
        <v>3113</v>
      </c>
      <c r="D66" s="108" t="s">
        <v>3114</v>
      </c>
      <c r="E66" s="103"/>
      <c r="F66" s="2" t="s">
        <v>214</v>
      </c>
      <c r="G66" s="38">
        <f>'Stavební rozpočet'!G1595</f>
        <v>25</v>
      </c>
      <c r="H66" s="38">
        <f>'Stavební rozpočet'!H1595</f>
        <v>0</v>
      </c>
      <c r="I66" s="38">
        <f t="shared" si="46"/>
        <v>0</v>
      </c>
      <c r="J66" s="38">
        <f>'Stavební rozpočet'!J1595</f>
        <v>0</v>
      </c>
      <c r="K66" s="38">
        <f t="shared" si="47"/>
        <v>0</v>
      </c>
      <c r="L66" s="71" t="s">
        <v>207</v>
      </c>
      <c r="Z66" s="38">
        <f t="shared" si="48"/>
        <v>0</v>
      </c>
      <c r="AB66" s="38">
        <f t="shared" si="49"/>
        <v>0</v>
      </c>
      <c r="AC66" s="38">
        <f t="shared" si="50"/>
        <v>0</v>
      </c>
      <c r="AD66" s="38">
        <f t="shared" si="51"/>
        <v>0</v>
      </c>
      <c r="AE66" s="38">
        <f t="shared" si="52"/>
        <v>0</v>
      </c>
      <c r="AF66" s="38">
        <f t="shared" si="53"/>
        <v>0</v>
      </c>
      <c r="AG66" s="38">
        <f t="shared" si="54"/>
        <v>0</v>
      </c>
      <c r="AH66" s="38">
        <f t="shared" si="55"/>
        <v>0</v>
      </c>
      <c r="AI66" s="50" t="s">
        <v>95</v>
      </c>
      <c r="AJ66" s="38">
        <f t="shared" si="56"/>
        <v>0</v>
      </c>
      <c r="AK66" s="38">
        <f t="shared" si="57"/>
        <v>0</v>
      </c>
      <c r="AL66" s="38">
        <f t="shared" si="58"/>
        <v>0</v>
      </c>
      <c r="AN66" s="38">
        <v>21</v>
      </c>
      <c r="AO66" s="38">
        <f>H66*0</f>
        <v>0</v>
      </c>
      <c r="AP66" s="38">
        <f>H66*(1-0)</f>
        <v>0</v>
      </c>
      <c r="AQ66" s="72" t="s">
        <v>132</v>
      </c>
      <c r="AV66" s="38">
        <f t="shared" si="59"/>
        <v>0</v>
      </c>
      <c r="AW66" s="38">
        <f t="shared" si="60"/>
        <v>0</v>
      </c>
      <c r="AX66" s="38">
        <f t="shared" si="61"/>
        <v>0</v>
      </c>
      <c r="AY66" s="72" t="s">
        <v>3088</v>
      </c>
      <c r="AZ66" s="72" t="s">
        <v>3013</v>
      </c>
      <c r="BA66" s="50" t="s">
        <v>3014</v>
      </c>
      <c r="BC66" s="38">
        <f t="shared" si="62"/>
        <v>0</v>
      </c>
      <c r="BD66" s="38">
        <f t="shared" si="63"/>
        <v>0</v>
      </c>
      <c r="BE66" s="38">
        <v>0</v>
      </c>
      <c r="BF66" s="38">
        <f t="shared" si="64"/>
        <v>0</v>
      </c>
      <c r="BH66" s="38">
        <f t="shared" si="65"/>
        <v>0</v>
      </c>
      <c r="BI66" s="38">
        <f t="shared" si="66"/>
        <v>0</v>
      </c>
      <c r="BJ66" s="38">
        <f t="shared" si="67"/>
        <v>0</v>
      </c>
      <c r="BK66" s="38"/>
      <c r="BL66" s="38"/>
      <c r="BW66" s="38">
        <v>21</v>
      </c>
    </row>
    <row r="67" spans="1:12" ht="13.5" customHeight="1">
      <c r="A67" s="74"/>
      <c r="D67" s="194" t="s">
        <v>3115</v>
      </c>
      <c r="E67" s="195"/>
      <c r="F67" s="195"/>
      <c r="G67" s="195"/>
      <c r="H67" s="195"/>
      <c r="I67" s="195"/>
      <c r="J67" s="195"/>
      <c r="K67" s="195"/>
      <c r="L67" s="197"/>
    </row>
    <row r="68" spans="1:75" ht="27" customHeight="1">
      <c r="A68" s="78" t="s">
        <v>392</v>
      </c>
      <c r="B68" s="79" t="s">
        <v>95</v>
      </c>
      <c r="C68" s="79" t="s">
        <v>3116</v>
      </c>
      <c r="D68" s="198" t="s">
        <v>3117</v>
      </c>
      <c r="E68" s="199"/>
      <c r="F68" s="79" t="s">
        <v>2661</v>
      </c>
      <c r="G68" s="80">
        <f>'Stavební rozpočet'!G1597</f>
        <v>25</v>
      </c>
      <c r="H68" s="80">
        <f>'Stavební rozpočet'!H1597</f>
        <v>0</v>
      </c>
      <c r="I68" s="80">
        <f>G68*H68</f>
        <v>0</v>
      </c>
      <c r="J68" s="80">
        <f>'Stavební rozpočet'!J1597</f>
        <v>0</v>
      </c>
      <c r="K68" s="80">
        <f>G68*J68</f>
        <v>0</v>
      </c>
      <c r="L68" s="82" t="s">
        <v>207</v>
      </c>
      <c r="Z68" s="38">
        <f>IF(AQ68="5",BJ68,0)</f>
        <v>0</v>
      </c>
      <c r="AB68" s="38">
        <f>IF(AQ68="1",BH68,0)</f>
        <v>0</v>
      </c>
      <c r="AC68" s="38">
        <f>IF(AQ68="1",BI68,0)</f>
        <v>0</v>
      </c>
      <c r="AD68" s="38">
        <f>IF(AQ68="7",BH68,0)</f>
        <v>0</v>
      </c>
      <c r="AE68" s="38">
        <f>IF(AQ68="7",BI68,0)</f>
        <v>0</v>
      </c>
      <c r="AF68" s="38">
        <f>IF(AQ68="2",BH68,0)</f>
        <v>0</v>
      </c>
      <c r="AG68" s="38">
        <f>IF(AQ68="2",BI68,0)</f>
        <v>0</v>
      </c>
      <c r="AH68" s="38">
        <f>IF(AQ68="0",BJ68,0)</f>
        <v>0</v>
      </c>
      <c r="AI68" s="50" t="s">
        <v>95</v>
      </c>
      <c r="AJ68" s="80">
        <f>IF(AN68=0,I68,0)</f>
        <v>0</v>
      </c>
      <c r="AK68" s="80">
        <f>IF(AN68=12,I68,0)</f>
        <v>0</v>
      </c>
      <c r="AL68" s="80">
        <f>IF(AN68=21,I68,0)</f>
        <v>0</v>
      </c>
      <c r="AN68" s="38">
        <v>21</v>
      </c>
      <c r="AO68" s="38">
        <f>H68*1</f>
        <v>0</v>
      </c>
      <c r="AP68" s="38">
        <f>H68*(1-1)</f>
        <v>0</v>
      </c>
      <c r="AQ68" s="83" t="s">
        <v>132</v>
      </c>
      <c r="AV68" s="38">
        <f>AW68+AX68</f>
        <v>0</v>
      </c>
      <c r="AW68" s="38">
        <f>G68*AO68</f>
        <v>0</v>
      </c>
      <c r="AX68" s="38">
        <f>G68*AP68</f>
        <v>0</v>
      </c>
      <c r="AY68" s="72" t="s">
        <v>3088</v>
      </c>
      <c r="AZ68" s="72" t="s">
        <v>3013</v>
      </c>
      <c r="BA68" s="50" t="s">
        <v>3014</v>
      </c>
      <c r="BC68" s="38">
        <f>AW68+AX68</f>
        <v>0</v>
      </c>
      <c r="BD68" s="38">
        <f>H68/(100-BE68)*100</f>
        <v>0</v>
      </c>
      <c r="BE68" s="38">
        <v>0</v>
      </c>
      <c r="BF68" s="38">
        <f>K68</f>
        <v>0</v>
      </c>
      <c r="BH68" s="80">
        <f>G68*AO68</f>
        <v>0</v>
      </c>
      <c r="BI68" s="80">
        <f>G68*AP68</f>
        <v>0</v>
      </c>
      <c r="BJ68" s="80">
        <f>G68*H68</f>
        <v>0</v>
      </c>
      <c r="BK68" s="80"/>
      <c r="BL68" s="38"/>
      <c r="BW68" s="38">
        <v>21</v>
      </c>
    </row>
    <row r="69" spans="1:75" ht="13.5" customHeight="1">
      <c r="A69" s="1" t="s">
        <v>401</v>
      </c>
      <c r="B69" s="2" t="s">
        <v>95</v>
      </c>
      <c r="C69" s="2" t="s">
        <v>2817</v>
      </c>
      <c r="D69" s="108" t="s">
        <v>2818</v>
      </c>
      <c r="E69" s="103"/>
      <c r="F69" s="2" t="s">
        <v>2286</v>
      </c>
      <c r="G69" s="38">
        <f>'Stavební rozpočet'!G1598</f>
        <v>1</v>
      </c>
      <c r="H69" s="38">
        <f>'Stavební rozpočet'!H1598</f>
        <v>0</v>
      </c>
      <c r="I69" s="38">
        <f>G69*H69</f>
        <v>0</v>
      </c>
      <c r="J69" s="38">
        <f>'Stavební rozpočet'!J1598</f>
        <v>0</v>
      </c>
      <c r="K69" s="38">
        <f>G69*J69</f>
        <v>0</v>
      </c>
      <c r="L69" s="71" t="s">
        <v>207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50" t="s">
        <v>95</v>
      </c>
      <c r="AJ69" s="38">
        <f>IF(AN69=0,I69,0)</f>
        <v>0</v>
      </c>
      <c r="AK69" s="38">
        <f>IF(AN69=12,I69,0)</f>
        <v>0</v>
      </c>
      <c r="AL69" s="38">
        <f>IF(AN69=21,I69,0)</f>
        <v>0</v>
      </c>
      <c r="AN69" s="38">
        <v>21</v>
      </c>
      <c r="AO69" s="38">
        <f>H69*0</f>
        <v>0</v>
      </c>
      <c r="AP69" s="38">
        <f>H69*(1-0)</f>
        <v>0</v>
      </c>
      <c r="AQ69" s="72" t="s">
        <v>132</v>
      </c>
      <c r="AV69" s="38">
        <f>AW69+AX69</f>
        <v>0</v>
      </c>
      <c r="AW69" s="38">
        <f>G69*AO69</f>
        <v>0</v>
      </c>
      <c r="AX69" s="38">
        <f>G69*AP69</f>
        <v>0</v>
      </c>
      <c r="AY69" s="72" t="s">
        <v>3088</v>
      </c>
      <c r="AZ69" s="72" t="s">
        <v>3013</v>
      </c>
      <c r="BA69" s="50" t="s">
        <v>3014</v>
      </c>
      <c r="BC69" s="38">
        <f>AW69+AX69</f>
        <v>0</v>
      </c>
      <c r="BD69" s="38">
        <f>H69/(100-BE69)*100</f>
        <v>0</v>
      </c>
      <c r="BE69" s="38">
        <v>0</v>
      </c>
      <c r="BF69" s="38">
        <f>K69</f>
        <v>0</v>
      </c>
      <c r="BH69" s="38">
        <f>G69*AO69</f>
        <v>0</v>
      </c>
      <c r="BI69" s="38">
        <f>G69*AP69</f>
        <v>0</v>
      </c>
      <c r="BJ69" s="38">
        <f>G69*H69</f>
        <v>0</v>
      </c>
      <c r="BK69" s="38"/>
      <c r="BL69" s="38"/>
      <c r="BW69" s="38">
        <v>21</v>
      </c>
    </row>
    <row r="70" spans="1:12" ht="13.5" customHeight="1">
      <c r="A70" s="74"/>
      <c r="D70" s="194" t="s">
        <v>2819</v>
      </c>
      <c r="E70" s="195"/>
      <c r="F70" s="195"/>
      <c r="G70" s="195"/>
      <c r="H70" s="195"/>
      <c r="I70" s="195"/>
      <c r="J70" s="195"/>
      <c r="K70" s="195"/>
      <c r="L70" s="197"/>
    </row>
    <row r="71" spans="1:75" ht="13.5" customHeight="1">
      <c r="A71" s="78" t="s">
        <v>406</v>
      </c>
      <c r="B71" s="79" t="s">
        <v>95</v>
      </c>
      <c r="C71" s="79" t="s">
        <v>3119</v>
      </c>
      <c r="D71" s="198" t="s">
        <v>2822</v>
      </c>
      <c r="E71" s="199"/>
      <c r="F71" s="79" t="s">
        <v>2823</v>
      </c>
      <c r="G71" s="80">
        <f>'Stavební rozpočet'!G1600</f>
        <v>1</v>
      </c>
      <c r="H71" s="80">
        <f>'Stavební rozpočet'!H1600</f>
        <v>0</v>
      </c>
      <c r="I71" s="80">
        <f>G71*H71</f>
        <v>0</v>
      </c>
      <c r="J71" s="80">
        <f>'Stavební rozpočet'!J1600</f>
        <v>0</v>
      </c>
      <c r="K71" s="80">
        <f>G71*J71</f>
        <v>0</v>
      </c>
      <c r="L71" s="82" t="s">
        <v>207</v>
      </c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50" t="s">
        <v>95</v>
      </c>
      <c r="AJ71" s="80">
        <f>IF(AN71=0,I71,0)</f>
        <v>0</v>
      </c>
      <c r="AK71" s="80">
        <f>IF(AN71=12,I71,0)</f>
        <v>0</v>
      </c>
      <c r="AL71" s="80">
        <f>IF(AN71=21,I71,0)</f>
        <v>0</v>
      </c>
      <c r="AN71" s="38">
        <v>21</v>
      </c>
      <c r="AO71" s="38">
        <f>H71*1</f>
        <v>0</v>
      </c>
      <c r="AP71" s="38">
        <f>H71*(1-1)</f>
        <v>0</v>
      </c>
      <c r="AQ71" s="83" t="s">
        <v>132</v>
      </c>
      <c r="AV71" s="38">
        <f>AW71+AX71</f>
        <v>0</v>
      </c>
      <c r="AW71" s="38">
        <f>G71*AO71</f>
        <v>0</v>
      </c>
      <c r="AX71" s="38">
        <f>G71*AP71</f>
        <v>0</v>
      </c>
      <c r="AY71" s="72" t="s">
        <v>3088</v>
      </c>
      <c r="AZ71" s="72" t="s">
        <v>3013</v>
      </c>
      <c r="BA71" s="50" t="s">
        <v>3014</v>
      </c>
      <c r="BC71" s="38">
        <f>AW71+AX71</f>
        <v>0</v>
      </c>
      <c r="BD71" s="38">
        <f>H71/(100-BE71)*100</f>
        <v>0</v>
      </c>
      <c r="BE71" s="38">
        <v>0</v>
      </c>
      <c r="BF71" s="38">
        <f>K71</f>
        <v>0</v>
      </c>
      <c r="BH71" s="80">
        <f>G71*AO71</f>
        <v>0</v>
      </c>
      <c r="BI71" s="80">
        <f>G71*AP71</f>
        <v>0</v>
      </c>
      <c r="BJ71" s="80">
        <f>G71*H71</f>
        <v>0</v>
      </c>
      <c r="BK71" s="80"/>
      <c r="BL71" s="38"/>
      <c r="BW71" s="38">
        <v>21</v>
      </c>
    </row>
    <row r="72" spans="1:75" ht="13.5" customHeight="1">
      <c r="A72" s="1" t="s">
        <v>412</v>
      </c>
      <c r="B72" s="2" t="s">
        <v>95</v>
      </c>
      <c r="C72" s="2" t="s">
        <v>2817</v>
      </c>
      <c r="D72" s="108" t="s">
        <v>2818</v>
      </c>
      <c r="E72" s="103"/>
      <c r="F72" s="2" t="s">
        <v>2286</v>
      </c>
      <c r="G72" s="38">
        <f>'Stavební rozpočet'!G1601</f>
        <v>9</v>
      </c>
      <c r="H72" s="38">
        <f>'Stavební rozpočet'!H1601</f>
        <v>0</v>
      </c>
      <c r="I72" s="38">
        <f>G72*H72</f>
        <v>0</v>
      </c>
      <c r="J72" s="38">
        <f>'Stavební rozpočet'!J1601</f>
        <v>0</v>
      </c>
      <c r="K72" s="38">
        <f>G72*J72</f>
        <v>0</v>
      </c>
      <c r="L72" s="71" t="s">
        <v>207</v>
      </c>
      <c r="Z72" s="38">
        <f>IF(AQ72="5",BJ72,0)</f>
        <v>0</v>
      </c>
      <c r="AB72" s="38">
        <f>IF(AQ72="1",BH72,0)</f>
        <v>0</v>
      </c>
      <c r="AC72" s="38">
        <f>IF(AQ72="1",BI72,0)</f>
        <v>0</v>
      </c>
      <c r="AD72" s="38">
        <f>IF(AQ72="7",BH72,0)</f>
        <v>0</v>
      </c>
      <c r="AE72" s="38">
        <f>IF(AQ72="7",BI72,0)</f>
        <v>0</v>
      </c>
      <c r="AF72" s="38">
        <f>IF(AQ72="2",BH72,0)</f>
        <v>0</v>
      </c>
      <c r="AG72" s="38">
        <f>IF(AQ72="2",BI72,0)</f>
        <v>0</v>
      </c>
      <c r="AH72" s="38">
        <f>IF(AQ72="0",BJ72,0)</f>
        <v>0</v>
      </c>
      <c r="AI72" s="50" t="s">
        <v>95</v>
      </c>
      <c r="AJ72" s="38">
        <f>IF(AN72=0,I72,0)</f>
        <v>0</v>
      </c>
      <c r="AK72" s="38">
        <f>IF(AN72=12,I72,0)</f>
        <v>0</v>
      </c>
      <c r="AL72" s="38">
        <f>IF(AN72=21,I72,0)</f>
        <v>0</v>
      </c>
      <c r="AN72" s="38">
        <v>21</v>
      </c>
      <c r="AO72" s="38">
        <f>H72*0</f>
        <v>0</v>
      </c>
      <c r="AP72" s="38">
        <f>H72*(1-0)</f>
        <v>0</v>
      </c>
      <c r="AQ72" s="72" t="s">
        <v>132</v>
      </c>
      <c r="AV72" s="38">
        <f>AW72+AX72</f>
        <v>0</v>
      </c>
      <c r="AW72" s="38">
        <f>G72*AO72</f>
        <v>0</v>
      </c>
      <c r="AX72" s="38">
        <f>G72*AP72</f>
        <v>0</v>
      </c>
      <c r="AY72" s="72" t="s">
        <v>3088</v>
      </c>
      <c r="AZ72" s="72" t="s">
        <v>3013</v>
      </c>
      <c r="BA72" s="50" t="s">
        <v>3014</v>
      </c>
      <c r="BC72" s="38">
        <f>AW72+AX72</f>
        <v>0</v>
      </c>
      <c r="BD72" s="38">
        <f>H72/(100-BE72)*100</f>
        <v>0</v>
      </c>
      <c r="BE72" s="38">
        <v>0</v>
      </c>
      <c r="BF72" s="38">
        <f>K72</f>
        <v>0</v>
      </c>
      <c r="BH72" s="38">
        <f>G72*AO72</f>
        <v>0</v>
      </c>
      <c r="BI72" s="38">
        <f>G72*AP72</f>
        <v>0</v>
      </c>
      <c r="BJ72" s="38">
        <f>G72*H72</f>
        <v>0</v>
      </c>
      <c r="BK72" s="38"/>
      <c r="BL72" s="38"/>
      <c r="BW72" s="38">
        <v>21</v>
      </c>
    </row>
    <row r="73" spans="1:12" ht="13.5" customHeight="1">
      <c r="A73" s="74"/>
      <c r="D73" s="194" t="s">
        <v>3121</v>
      </c>
      <c r="E73" s="195"/>
      <c r="F73" s="195"/>
      <c r="G73" s="195"/>
      <c r="H73" s="195"/>
      <c r="I73" s="195"/>
      <c r="J73" s="195"/>
      <c r="K73" s="195"/>
      <c r="L73" s="197"/>
    </row>
    <row r="74" spans="1:75" ht="27" customHeight="1">
      <c r="A74" s="78" t="s">
        <v>422</v>
      </c>
      <c r="B74" s="79" t="s">
        <v>95</v>
      </c>
      <c r="C74" s="79" t="s">
        <v>3122</v>
      </c>
      <c r="D74" s="198" t="s">
        <v>3123</v>
      </c>
      <c r="E74" s="199"/>
      <c r="F74" s="79" t="s">
        <v>2567</v>
      </c>
      <c r="G74" s="80">
        <f>'Stavební rozpočet'!G1603</f>
        <v>3</v>
      </c>
      <c r="H74" s="80">
        <f>'Stavební rozpočet'!H1603</f>
        <v>0</v>
      </c>
      <c r="I74" s="80">
        <f>G74*H74</f>
        <v>0</v>
      </c>
      <c r="J74" s="80">
        <f>'Stavební rozpočet'!J1603</f>
        <v>0</v>
      </c>
      <c r="K74" s="80">
        <f>G74*J74</f>
        <v>0</v>
      </c>
      <c r="L74" s="82" t="s">
        <v>207</v>
      </c>
      <c r="Z74" s="38">
        <f>IF(AQ74="5",BJ74,0)</f>
        <v>0</v>
      </c>
      <c r="AB74" s="38">
        <f>IF(AQ74="1",BH74,0)</f>
        <v>0</v>
      </c>
      <c r="AC74" s="38">
        <f>IF(AQ74="1",BI74,0)</f>
        <v>0</v>
      </c>
      <c r="AD74" s="38">
        <f>IF(AQ74="7",BH74,0)</f>
        <v>0</v>
      </c>
      <c r="AE74" s="38">
        <f>IF(AQ74="7",BI74,0)</f>
        <v>0</v>
      </c>
      <c r="AF74" s="38">
        <f>IF(AQ74="2",BH74,0)</f>
        <v>0</v>
      </c>
      <c r="AG74" s="38">
        <f>IF(AQ74="2",BI74,0)</f>
        <v>0</v>
      </c>
      <c r="AH74" s="38">
        <f>IF(AQ74="0",BJ74,0)</f>
        <v>0</v>
      </c>
      <c r="AI74" s="50" t="s">
        <v>95</v>
      </c>
      <c r="AJ74" s="80">
        <f>IF(AN74=0,I74,0)</f>
        <v>0</v>
      </c>
      <c r="AK74" s="80">
        <f>IF(AN74=12,I74,0)</f>
        <v>0</v>
      </c>
      <c r="AL74" s="80">
        <f>IF(AN74=21,I74,0)</f>
        <v>0</v>
      </c>
      <c r="AN74" s="38">
        <v>21</v>
      </c>
      <c r="AO74" s="38">
        <f>H74*1</f>
        <v>0</v>
      </c>
      <c r="AP74" s="38">
        <f>H74*(1-1)</f>
        <v>0</v>
      </c>
      <c r="AQ74" s="83" t="s">
        <v>132</v>
      </c>
      <c r="AV74" s="38">
        <f>AW74+AX74</f>
        <v>0</v>
      </c>
      <c r="AW74" s="38">
        <f>G74*AO74</f>
        <v>0</v>
      </c>
      <c r="AX74" s="38">
        <f>G74*AP74</f>
        <v>0</v>
      </c>
      <c r="AY74" s="72" t="s">
        <v>3088</v>
      </c>
      <c r="AZ74" s="72" t="s">
        <v>3013</v>
      </c>
      <c r="BA74" s="50" t="s">
        <v>3014</v>
      </c>
      <c r="BC74" s="38">
        <f>AW74+AX74</f>
        <v>0</v>
      </c>
      <c r="BD74" s="38">
        <f>H74/(100-BE74)*100</f>
        <v>0</v>
      </c>
      <c r="BE74" s="38">
        <v>0</v>
      </c>
      <c r="BF74" s="38">
        <f>K74</f>
        <v>0</v>
      </c>
      <c r="BH74" s="80">
        <f>G74*AO74</f>
        <v>0</v>
      </c>
      <c r="BI74" s="80">
        <f>G74*AP74</f>
        <v>0</v>
      </c>
      <c r="BJ74" s="80">
        <f>G74*H74</f>
        <v>0</v>
      </c>
      <c r="BK74" s="80"/>
      <c r="BL74" s="38"/>
      <c r="BW74" s="38">
        <v>21</v>
      </c>
    </row>
    <row r="75" spans="1:75" ht="13.5" customHeight="1">
      <c r="A75" s="1" t="s">
        <v>427</v>
      </c>
      <c r="B75" s="2" t="s">
        <v>95</v>
      </c>
      <c r="C75" s="2" t="s">
        <v>2817</v>
      </c>
      <c r="D75" s="108" t="s">
        <v>2818</v>
      </c>
      <c r="E75" s="103"/>
      <c r="F75" s="2" t="s">
        <v>2286</v>
      </c>
      <c r="G75" s="38">
        <f>'Stavební rozpočet'!G1604</f>
        <v>12</v>
      </c>
      <c r="H75" s="38">
        <f>'Stavební rozpočet'!H1604</f>
        <v>0</v>
      </c>
      <c r="I75" s="38">
        <f>G75*H75</f>
        <v>0</v>
      </c>
      <c r="J75" s="38">
        <f>'Stavební rozpočet'!J1604</f>
        <v>0</v>
      </c>
      <c r="K75" s="38">
        <f>G75*J75</f>
        <v>0</v>
      </c>
      <c r="L75" s="71" t="s">
        <v>207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50" t="s">
        <v>95</v>
      </c>
      <c r="AJ75" s="38">
        <f>IF(AN75=0,I75,0)</f>
        <v>0</v>
      </c>
      <c r="AK75" s="38">
        <f>IF(AN75=12,I75,0)</f>
        <v>0</v>
      </c>
      <c r="AL75" s="38">
        <f>IF(AN75=21,I75,0)</f>
        <v>0</v>
      </c>
      <c r="AN75" s="38">
        <v>21</v>
      </c>
      <c r="AO75" s="38">
        <f>H75*0</f>
        <v>0</v>
      </c>
      <c r="AP75" s="38">
        <f>H75*(1-0)</f>
        <v>0</v>
      </c>
      <c r="AQ75" s="72" t="s">
        <v>132</v>
      </c>
      <c r="AV75" s="38">
        <f>AW75+AX75</f>
        <v>0</v>
      </c>
      <c r="AW75" s="38">
        <f>G75*AO75</f>
        <v>0</v>
      </c>
      <c r="AX75" s="38">
        <f>G75*AP75</f>
        <v>0</v>
      </c>
      <c r="AY75" s="72" t="s">
        <v>3088</v>
      </c>
      <c r="AZ75" s="72" t="s">
        <v>3013</v>
      </c>
      <c r="BA75" s="50" t="s">
        <v>3014</v>
      </c>
      <c r="BC75" s="38">
        <f>AW75+AX75</f>
        <v>0</v>
      </c>
      <c r="BD75" s="38">
        <f>H75/(100-BE75)*100</f>
        <v>0</v>
      </c>
      <c r="BE75" s="38">
        <v>0</v>
      </c>
      <c r="BF75" s="38">
        <f>K75</f>
        <v>0</v>
      </c>
      <c r="BH75" s="38">
        <f>G75*AO75</f>
        <v>0</v>
      </c>
      <c r="BI75" s="38">
        <f>G75*AP75</f>
        <v>0</v>
      </c>
      <c r="BJ75" s="38">
        <f>G75*H75</f>
        <v>0</v>
      </c>
      <c r="BK75" s="38"/>
      <c r="BL75" s="38"/>
      <c r="BW75" s="38">
        <v>21</v>
      </c>
    </row>
    <row r="76" spans="1:12" ht="13.5" customHeight="1">
      <c r="A76" s="74"/>
      <c r="D76" s="194" t="s">
        <v>3086</v>
      </c>
      <c r="E76" s="195"/>
      <c r="F76" s="195"/>
      <c r="G76" s="195"/>
      <c r="H76" s="195"/>
      <c r="I76" s="195"/>
      <c r="J76" s="195"/>
      <c r="K76" s="195"/>
      <c r="L76" s="197"/>
    </row>
    <row r="77" spans="1:75" ht="13.5" customHeight="1">
      <c r="A77" s="78" t="s">
        <v>437</v>
      </c>
      <c r="B77" s="79" t="s">
        <v>95</v>
      </c>
      <c r="C77" s="79" t="s">
        <v>3125</v>
      </c>
      <c r="D77" s="198" t="s">
        <v>3126</v>
      </c>
      <c r="E77" s="199"/>
      <c r="F77" s="79" t="s">
        <v>2567</v>
      </c>
      <c r="G77" s="80">
        <f>'Stavební rozpočet'!G1606</f>
        <v>3</v>
      </c>
      <c r="H77" s="80">
        <f>'Stavební rozpočet'!H1606</f>
        <v>0</v>
      </c>
      <c r="I77" s="80">
        <f>G77*H77</f>
        <v>0</v>
      </c>
      <c r="J77" s="80">
        <f>'Stavební rozpočet'!J1606</f>
        <v>0</v>
      </c>
      <c r="K77" s="80">
        <f>G77*J77</f>
        <v>0</v>
      </c>
      <c r="L77" s="82" t="s">
        <v>207</v>
      </c>
      <c r="Z77" s="38">
        <f>IF(AQ77="5",BJ77,0)</f>
        <v>0</v>
      </c>
      <c r="AB77" s="38">
        <f>IF(AQ77="1",BH77,0)</f>
        <v>0</v>
      </c>
      <c r="AC77" s="38">
        <f>IF(AQ77="1",BI77,0)</f>
        <v>0</v>
      </c>
      <c r="AD77" s="38">
        <f>IF(AQ77="7",BH77,0)</f>
        <v>0</v>
      </c>
      <c r="AE77" s="38">
        <f>IF(AQ77="7",BI77,0)</f>
        <v>0</v>
      </c>
      <c r="AF77" s="38">
        <f>IF(AQ77="2",BH77,0)</f>
        <v>0</v>
      </c>
      <c r="AG77" s="38">
        <f>IF(AQ77="2",BI77,0)</f>
        <v>0</v>
      </c>
      <c r="AH77" s="38">
        <f>IF(AQ77="0",BJ77,0)</f>
        <v>0</v>
      </c>
      <c r="AI77" s="50" t="s">
        <v>95</v>
      </c>
      <c r="AJ77" s="80">
        <f>IF(AN77=0,I77,0)</f>
        <v>0</v>
      </c>
      <c r="AK77" s="80">
        <f>IF(AN77=12,I77,0)</f>
        <v>0</v>
      </c>
      <c r="AL77" s="80">
        <f>IF(AN77=21,I77,0)</f>
        <v>0</v>
      </c>
      <c r="AN77" s="38">
        <v>21</v>
      </c>
      <c r="AO77" s="38">
        <f>H77*1</f>
        <v>0</v>
      </c>
      <c r="AP77" s="38">
        <f>H77*(1-1)</f>
        <v>0</v>
      </c>
      <c r="AQ77" s="83" t="s">
        <v>132</v>
      </c>
      <c r="AV77" s="38">
        <f>AW77+AX77</f>
        <v>0</v>
      </c>
      <c r="AW77" s="38">
        <f>G77*AO77</f>
        <v>0</v>
      </c>
      <c r="AX77" s="38">
        <f>G77*AP77</f>
        <v>0</v>
      </c>
      <c r="AY77" s="72" t="s">
        <v>3088</v>
      </c>
      <c r="AZ77" s="72" t="s">
        <v>3013</v>
      </c>
      <c r="BA77" s="50" t="s">
        <v>3014</v>
      </c>
      <c r="BC77" s="38">
        <f>AW77+AX77</f>
        <v>0</v>
      </c>
      <c r="BD77" s="38">
        <f>H77/(100-BE77)*100</f>
        <v>0</v>
      </c>
      <c r="BE77" s="38">
        <v>0</v>
      </c>
      <c r="BF77" s="38">
        <f>K77</f>
        <v>0</v>
      </c>
      <c r="BH77" s="80">
        <f>G77*AO77</f>
        <v>0</v>
      </c>
      <c r="BI77" s="80">
        <f>G77*AP77</f>
        <v>0</v>
      </c>
      <c r="BJ77" s="80">
        <f>G77*H77</f>
        <v>0</v>
      </c>
      <c r="BK77" s="80"/>
      <c r="BL77" s="38"/>
      <c r="BW77" s="38">
        <v>21</v>
      </c>
    </row>
    <row r="78" spans="1:47" ht="15">
      <c r="A78" s="65" t="s">
        <v>4</v>
      </c>
      <c r="B78" s="66" t="s">
        <v>95</v>
      </c>
      <c r="C78" s="66" t="s">
        <v>3127</v>
      </c>
      <c r="D78" s="192" t="s">
        <v>3128</v>
      </c>
      <c r="E78" s="193"/>
      <c r="F78" s="67" t="s">
        <v>78</v>
      </c>
      <c r="G78" s="67" t="s">
        <v>78</v>
      </c>
      <c r="H78" s="67" t="s">
        <v>78</v>
      </c>
      <c r="I78" s="44">
        <f>SUM(I79:I96)</f>
        <v>0</v>
      </c>
      <c r="J78" s="50" t="s">
        <v>4</v>
      </c>
      <c r="K78" s="44">
        <f>SUM(K79:K96)</f>
        <v>0</v>
      </c>
      <c r="L78" s="69" t="s">
        <v>4</v>
      </c>
      <c r="AI78" s="50" t="s">
        <v>95</v>
      </c>
      <c r="AS78" s="44">
        <f>SUM(AJ79:AJ96)</f>
        <v>0</v>
      </c>
      <c r="AT78" s="44">
        <f>SUM(AK79:AK96)</f>
        <v>0</v>
      </c>
      <c r="AU78" s="44">
        <f>SUM(AL79:AL96)</f>
        <v>0</v>
      </c>
    </row>
    <row r="79" spans="1:75" ht="27" customHeight="1">
      <c r="A79" s="1" t="s">
        <v>441</v>
      </c>
      <c r="B79" s="2" t="s">
        <v>95</v>
      </c>
      <c r="C79" s="2" t="s">
        <v>2681</v>
      </c>
      <c r="D79" s="108" t="s">
        <v>2682</v>
      </c>
      <c r="E79" s="103"/>
      <c r="F79" s="2" t="s">
        <v>214</v>
      </c>
      <c r="G79" s="38">
        <f>'Stavební rozpočet'!G1608</f>
        <v>104</v>
      </c>
      <c r="H79" s="38">
        <f>'Stavební rozpočet'!H1608</f>
        <v>0</v>
      </c>
      <c r="I79" s="38">
        <f>G79*H79</f>
        <v>0</v>
      </c>
      <c r="J79" s="38">
        <f>'Stavební rozpočet'!J1608</f>
        <v>0</v>
      </c>
      <c r="K79" s="38">
        <f>G79*J79</f>
        <v>0</v>
      </c>
      <c r="L79" s="71" t="s">
        <v>207</v>
      </c>
      <c r="Z79" s="38">
        <f>IF(AQ79="5",BJ79,0)</f>
        <v>0</v>
      </c>
      <c r="AB79" s="38">
        <f>IF(AQ79="1",BH79,0)</f>
        <v>0</v>
      </c>
      <c r="AC79" s="38">
        <f>IF(AQ79="1",BI79,0)</f>
        <v>0</v>
      </c>
      <c r="AD79" s="38">
        <f>IF(AQ79="7",BH79,0)</f>
        <v>0</v>
      </c>
      <c r="AE79" s="38">
        <f>IF(AQ79="7",BI79,0)</f>
        <v>0</v>
      </c>
      <c r="AF79" s="38">
        <f>IF(AQ79="2",BH79,0)</f>
        <v>0</v>
      </c>
      <c r="AG79" s="38">
        <f>IF(AQ79="2",BI79,0)</f>
        <v>0</v>
      </c>
      <c r="AH79" s="38">
        <f>IF(AQ79="0",BJ79,0)</f>
        <v>0</v>
      </c>
      <c r="AI79" s="50" t="s">
        <v>95</v>
      </c>
      <c r="AJ79" s="38">
        <f>IF(AN79=0,I79,0)</f>
        <v>0</v>
      </c>
      <c r="AK79" s="38">
        <f>IF(AN79=12,I79,0)</f>
        <v>0</v>
      </c>
      <c r="AL79" s="38">
        <f>IF(AN79=21,I79,0)</f>
        <v>0</v>
      </c>
      <c r="AN79" s="38">
        <v>21</v>
      </c>
      <c r="AO79" s="38">
        <f>H79*0</f>
        <v>0</v>
      </c>
      <c r="AP79" s="38">
        <f>H79*(1-0)</f>
        <v>0</v>
      </c>
      <c r="AQ79" s="72" t="s">
        <v>132</v>
      </c>
      <c r="AV79" s="38">
        <f>AW79+AX79</f>
        <v>0</v>
      </c>
      <c r="AW79" s="38">
        <f>G79*AO79</f>
        <v>0</v>
      </c>
      <c r="AX79" s="38">
        <f>G79*AP79</f>
        <v>0</v>
      </c>
      <c r="AY79" s="72" t="s">
        <v>3130</v>
      </c>
      <c r="AZ79" s="72" t="s">
        <v>3013</v>
      </c>
      <c r="BA79" s="50" t="s">
        <v>3014</v>
      </c>
      <c r="BC79" s="38">
        <f>AW79+AX79</f>
        <v>0</v>
      </c>
      <c r="BD79" s="38">
        <f>H79/(100-BE79)*100</f>
        <v>0</v>
      </c>
      <c r="BE79" s="38">
        <v>0</v>
      </c>
      <c r="BF79" s="38">
        <f>K79</f>
        <v>0</v>
      </c>
      <c r="BH79" s="38">
        <f>G79*AO79</f>
        <v>0</v>
      </c>
      <c r="BI79" s="38">
        <f>G79*AP79</f>
        <v>0</v>
      </c>
      <c r="BJ79" s="38">
        <f>G79*H79</f>
        <v>0</v>
      </c>
      <c r="BK79" s="38"/>
      <c r="BL79" s="38"/>
      <c r="BW79" s="38">
        <v>21</v>
      </c>
    </row>
    <row r="80" spans="1:75" ht="13.5" customHeight="1">
      <c r="A80" s="78" t="s">
        <v>448</v>
      </c>
      <c r="B80" s="79" t="s">
        <v>95</v>
      </c>
      <c r="C80" s="79" t="s">
        <v>3132</v>
      </c>
      <c r="D80" s="198" t="s">
        <v>3133</v>
      </c>
      <c r="E80" s="199"/>
      <c r="F80" s="79" t="s">
        <v>2661</v>
      </c>
      <c r="G80" s="80">
        <f>'Stavební rozpočet'!G1609</f>
        <v>104</v>
      </c>
      <c r="H80" s="80">
        <f>'Stavební rozpočet'!H1609</f>
        <v>0</v>
      </c>
      <c r="I80" s="80">
        <f>G80*H80</f>
        <v>0</v>
      </c>
      <c r="J80" s="80">
        <f>'Stavební rozpočet'!J1609</f>
        <v>0</v>
      </c>
      <c r="K80" s="80">
        <f>G80*J80</f>
        <v>0</v>
      </c>
      <c r="L80" s="82" t="s">
        <v>207</v>
      </c>
      <c r="Z80" s="38">
        <f>IF(AQ80="5",BJ80,0)</f>
        <v>0</v>
      </c>
      <c r="AB80" s="38">
        <f>IF(AQ80="1",BH80,0)</f>
        <v>0</v>
      </c>
      <c r="AC80" s="38">
        <f>IF(AQ80="1",BI80,0)</f>
        <v>0</v>
      </c>
      <c r="AD80" s="38">
        <f>IF(AQ80="7",BH80,0)</f>
        <v>0</v>
      </c>
      <c r="AE80" s="38">
        <f>IF(AQ80="7",BI80,0)</f>
        <v>0</v>
      </c>
      <c r="AF80" s="38">
        <f>IF(AQ80="2",BH80,0)</f>
        <v>0</v>
      </c>
      <c r="AG80" s="38">
        <f>IF(AQ80="2",BI80,0)</f>
        <v>0</v>
      </c>
      <c r="AH80" s="38">
        <f>IF(AQ80="0",BJ80,0)</f>
        <v>0</v>
      </c>
      <c r="AI80" s="50" t="s">
        <v>95</v>
      </c>
      <c r="AJ80" s="80">
        <f>IF(AN80=0,I80,0)</f>
        <v>0</v>
      </c>
      <c r="AK80" s="80">
        <f>IF(AN80=12,I80,0)</f>
        <v>0</v>
      </c>
      <c r="AL80" s="80">
        <f>IF(AN80=21,I80,0)</f>
        <v>0</v>
      </c>
      <c r="AN80" s="38">
        <v>21</v>
      </c>
      <c r="AO80" s="38">
        <f>H80*1</f>
        <v>0</v>
      </c>
      <c r="AP80" s="38">
        <f>H80*(1-1)</f>
        <v>0</v>
      </c>
      <c r="AQ80" s="83" t="s">
        <v>132</v>
      </c>
      <c r="AV80" s="38">
        <f>AW80+AX80</f>
        <v>0</v>
      </c>
      <c r="AW80" s="38">
        <f>G80*AO80</f>
        <v>0</v>
      </c>
      <c r="AX80" s="38">
        <f>G80*AP80</f>
        <v>0</v>
      </c>
      <c r="AY80" s="72" t="s">
        <v>3130</v>
      </c>
      <c r="AZ80" s="72" t="s">
        <v>3013</v>
      </c>
      <c r="BA80" s="50" t="s">
        <v>3014</v>
      </c>
      <c r="BC80" s="38">
        <f>AW80+AX80</f>
        <v>0</v>
      </c>
      <c r="BD80" s="38">
        <f>H80/(100-BE80)*100</f>
        <v>0</v>
      </c>
      <c r="BE80" s="38">
        <v>0</v>
      </c>
      <c r="BF80" s="38">
        <f>K80</f>
        <v>0</v>
      </c>
      <c r="BH80" s="80">
        <f>G80*AO80</f>
        <v>0</v>
      </c>
      <c r="BI80" s="80">
        <f>G80*AP80</f>
        <v>0</v>
      </c>
      <c r="BJ80" s="80">
        <f>G80*H80</f>
        <v>0</v>
      </c>
      <c r="BK80" s="80"/>
      <c r="BL80" s="38"/>
      <c r="BW80" s="38">
        <v>21</v>
      </c>
    </row>
    <row r="81" spans="1:75" ht="13.5" customHeight="1">
      <c r="A81" s="1" t="s">
        <v>455</v>
      </c>
      <c r="B81" s="2" t="s">
        <v>95</v>
      </c>
      <c r="C81" s="2" t="s">
        <v>3019</v>
      </c>
      <c r="D81" s="108" t="s">
        <v>3020</v>
      </c>
      <c r="E81" s="103"/>
      <c r="F81" s="2" t="s">
        <v>199</v>
      </c>
      <c r="G81" s="38">
        <f>'Stavební rozpočet'!G1610</f>
        <v>1</v>
      </c>
      <c r="H81" s="38">
        <f>'Stavební rozpočet'!H1610</f>
        <v>0</v>
      </c>
      <c r="I81" s="38">
        <f>G81*H81</f>
        <v>0</v>
      </c>
      <c r="J81" s="38">
        <f>'Stavební rozpočet'!J1610</f>
        <v>0</v>
      </c>
      <c r="K81" s="38">
        <f>G81*J81</f>
        <v>0</v>
      </c>
      <c r="L81" s="71" t="s">
        <v>207</v>
      </c>
      <c r="Z81" s="38">
        <f>IF(AQ81="5",BJ81,0)</f>
        <v>0</v>
      </c>
      <c r="AB81" s="38">
        <f>IF(AQ81="1",BH81,0)</f>
        <v>0</v>
      </c>
      <c r="AC81" s="38">
        <f>IF(AQ81="1",BI81,0)</f>
        <v>0</v>
      </c>
      <c r="AD81" s="38">
        <f>IF(AQ81="7",BH81,0)</f>
        <v>0</v>
      </c>
      <c r="AE81" s="38">
        <f>IF(AQ81="7",BI81,0)</f>
        <v>0</v>
      </c>
      <c r="AF81" s="38">
        <f>IF(AQ81="2",BH81,0)</f>
        <v>0</v>
      </c>
      <c r="AG81" s="38">
        <f>IF(AQ81="2",BI81,0)</f>
        <v>0</v>
      </c>
      <c r="AH81" s="38">
        <f>IF(AQ81="0",BJ81,0)</f>
        <v>0</v>
      </c>
      <c r="AI81" s="50" t="s">
        <v>95</v>
      </c>
      <c r="AJ81" s="38">
        <f>IF(AN81=0,I81,0)</f>
        <v>0</v>
      </c>
      <c r="AK81" s="38">
        <f>IF(AN81=12,I81,0)</f>
        <v>0</v>
      </c>
      <c r="AL81" s="38">
        <f>IF(AN81=21,I81,0)</f>
        <v>0</v>
      </c>
      <c r="AN81" s="38">
        <v>21</v>
      </c>
      <c r="AO81" s="38">
        <f>H81*0</f>
        <v>0</v>
      </c>
      <c r="AP81" s="38">
        <f>H81*(1-0)</f>
        <v>0</v>
      </c>
      <c r="AQ81" s="72" t="s">
        <v>143</v>
      </c>
      <c r="AV81" s="38">
        <f>AW81+AX81</f>
        <v>0</v>
      </c>
      <c r="AW81" s="38">
        <f>G81*AO81</f>
        <v>0</v>
      </c>
      <c r="AX81" s="38">
        <f>G81*AP81</f>
        <v>0</v>
      </c>
      <c r="AY81" s="72" t="s">
        <v>3130</v>
      </c>
      <c r="AZ81" s="72" t="s">
        <v>3013</v>
      </c>
      <c r="BA81" s="50" t="s">
        <v>3014</v>
      </c>
      <c r="BC81" s="38">
        <f>AW81+AX81</f>
        <v>0</v>
      </c>
      <c r="BD81" s="38">
        <f>H81/(100-BE81)*100</f>
        <v>0</v>
      </c>
      <c r="BE81" s="38">
        <v>0</v>
      </c>
      <c r="BF81" s="38">
        <f>K81</f>
        <v>0</v>
      </c>
      <c r="BH81" s="38">
        <f>G81*AO81</f>
        <v>0</v>
      </c>
      <c r="BI81" s="38">
        <f>G81*AP81</f>
        <v>0</v>
      </c>
      <c r="BJ81" s="38">
        <f>G81*H81</f>
        <v>0</v>
      </c>
      <c r="BK81" s="38"/>
      <c r="BL81" s="38"/>
      <c r="BW81" s="38">
        <v>21</v>
      </c>
    </row>
    <row r="82" spans="1:75" ht="27" customHeight="1">
      <c r="A82" s="1" t="s">
        <v>459</v>
      </c>
      <c r="B82" s="2" t="s">
        <v>95</v>
      </c>
      <c r="C82" s="2" t="s">
        <v>3023</v>
      </c>
      <c r="D82" s="108" t="s">
        <v>3135</v>
      </c>
      <c r="E82" s="103"/>
      <c r="F82" s="2" t="s">
        <v>263</v>
      </c>
      <c r="G82" s="38">
        <f>'Stavební rozpočet'!G1611</f>
        <v>0.01</v>
      </c>
      <c r="H82" s="38">
        <f>'Stavební rozpočet'!H1611</f>
        <v>0</v>
      </c>
      <c r="I82" s="38">
        <f>G82*H82</f>
        <v>0</v>
      </c>
      <c r="J82" s="38">
        <f>'Stavební rozpočet'!J1611</f>
        <v>0</v>
      </c>
      <c r="K82" s="38">
        <f>G82*J82</f>
        <v>0</v>
      </c>
      <c r="L82" s="71" t="s">
        <v>207</v>
      </c>
      <c r="Z82" s="38">
        <f>IF(AQ82="5",BJ82,0)</f>
        <v>0</v>
      </c>
      <c r="AB82" s="38">
        <f>IF(AQ82="1",BH82,0)</f>
        <v>0</v>
      </c>
      <c r="AC82" s="38">
        <f>IF(AQ82="1",BI82,0)</f>
        <v>0</v>
      </c>
      <c r="AD82" s="38">
        <f>IF(AQ82="7",BH82,0)</f>
        <v>0</v>
      </c>
      <c r="AE82" s="38">
        <f>IF(AQ82="7",BI82,0)</f>
        <v>0</v>
      </c>
      <c r="AF82" s="38">
        <f>IF(AQ82="2",BH82,0)</f>
        <v>0</v>
      </c>
      <c r="AG82" s="38">
        <f>IF(AQ82="2",BI82,0)</f>
        <v>0</v>
      </c>
      <c r="AH82" s="38">
        <f>IF(AQ82="0",BJ82,0)</f>
        <v>0</v>
      </c>
      <c r="AI82" s="50" t="s">
        <v>95</v>
      </c>
      <c r="AJ82" s="38">
        <f>IF(AN82=0,I82,0)</f>
        <v>0</v>
      </c>
      <c r="AK82" s="38">
        <f>IF(AN82=12,I82,0)</f>
        <v>0</v>
      </c>
      <c r="AL82" s="38">
        <f>IF(AN82=21,I82,0)</f>
        <v>0</v>
      </c>
      <c r="AN82" s="38">
        <v>21</v>
      </c>
      <c r="AO82" s="38">
        <f>H82*0</f>
        <v>0</v>
      </c>
      <c r="AP82" s="38">
        <f>H82*(1-0)</f>
        <v>0</v>
      </c>
      <c r="AQ82" s="72" t="s">
        <v>132</v>
      </c>
      <c r="AV82" s="38">
        <f>AW82+AX82</f>
        <v>0</v>
      </c>
      <c r="AW82" s="38">
        <f>G82*AO82</f>
        <v>0</v>
      </c>
      <c r="AX82" s="38">
        <f>G82*AP82</f>
        <v>0</v>
      </c>
      <c r="AY82" s="72" t="s">
        <v>3130</v>
      </c>
      <c r="AZ82" s="72" t="s">
        <v>3013</v>
      </c>
      <c r="BA82" s="50" t="s">
        <v>3014</v>
      </c>
      <c r="BC82" s="38">
        <f>AW82+AX82</f>
        <v>0</v>
      </c>
      <c r="BD82" s="38">
        <f>H82/(100-BE82)*100</f>
        <v>0</v>
      </c>
      <c r="BE82" s="38">
        <v>0</v>
      </c>
      <c r="BF82" s="38">
        <f>K82</f>
        <v>0</v>
      </c>
      <c r="BH82" s="38">
        <f>G82*AO82</f>
        <v>0</v>
      </c>
      <c r="BI82" s="38">
        <f>G82*AP82</f>
        <v>0</v>
      </c>
      <c r="BJ82" s="38">
        <f>G82*H82</f>
        <v>0</v>
      </c>
      <c r="BK82" s="38"/>
      <c r="BL82" s="38"/>
      <c r="BW82" s="38">
        <v>21</v>
      </c>
    </row>
    <row r="83" spans="1:12" ht="13.5" customHeight="1">
      <c r="A83" s="74"/>
      <c r="D83" s="194" t="s">
        <v>3021</v>
      </c>
      <c r="E83" s="195"/>
      <c r="F83" s="195"/>
      <c r="G83" s="195"/>
      <c r="H83" s="195"/>
      <c r="I83" s="195"/>
      <c r="J83" s="195"/>
      <c r="K83" s="195"/>
      <c r="L83" s="197"/>
    </row>
    <row r="84" spans="1:75" ht="13.5" customHeight="1">
      <c r="A84" s="78" t="s">
        <v>464</v>
      </c>
      <c r="B84" s="79" t="s">
        <v>95</v>
      </c>
      <c r="C84" s="79" t="s">
        <v>3027</v>
      </c>
      <c r="D84" s="198" t="s">
        <v>3028</v>
      </c>
      <c r="E84" s="199"/>
      <c r="F84" s="79" t="s">
        <v>199</v>
      </c>
      <c r="G84" s="80">
        <f>'Stavební rozpočet'!G1613</f>
        <v>1</v>
      </c>
      <c r="H84" s="80">
        <f>'Stavební rozpočet'!H1613</f>
        <v>0</v>
      </c>
      <c r="I84" s="80">
        <f aca="true" t="shared" si="68" ref="I84:I94">G84*H84</f>
        <v>0</v>
      </c>
      <c r="J84" s="80">
        <f>'Stavební rozpočet'!J1613</f>
        <v>0</v>
      </c>
      <c r="K84" s="80">
        <f aca="true" t="shared" si="69" ref="K84:K94">G84*J84</f>
        <v>0</v>
      </c>
      <c r="L84" s="82" t="s">
        <v>207</v>
      </c>
      <c r="Z84" s="38">
        <f aca="true" t="shared" si="70" ref="Z84:Z94">IF(AQ84="5",BJ84,0)</f>
        <v>0</v>
      </c>
      <c r="AB84" s="38">
        <f aca="true" t="shared" si="71" ref="AB84:AB94">IF(AQ84="1",BH84,0)</f>
        <v>0</v>
      </c>
      <c r="AC84" s="38">
        <f aca="true" t="shared" si="72" ref="AC84:AC94">IF(AQ84="1",BI84,0)</f>
        <v>0</v>
      </c>
      <c r="AD84" s="38">
        <f aca="true" t="shared" si="73" ref="AD84:AD94">IF(AQ84="7",BH84,0)</f>
        <v>0</v>
      </c>
      <c r="AE84" s="38">
        <f aca="true" t="shared" si="74" ref="AE84:AE94">IF(AQ84="7",BI84,0)</f>
        <v>0</v>
      </c>
      <c r="AF84" s="38">
        <f aca="true" t="shared" si="75" ref="AF84:AF94">IF(AQ84="2",BH84,0)</f>
        <v>0</v>
      </c>
      <c r="AG84" s="38">
        <f aca="true" t="shared" si="76" ref="AG84:AG94">IF(AQ84="2",BI84,0)</f>
        <v>0</v>
      </c>
      <c r="AH84" s="38">
        <f aca="true" t="shared" si="77" ref="AH84:AH94">IF(AQ84="0",BJ84,0)</f>
        <v>0</v>
      </c>
      <c r="AI84" s="50" t="s">
        <v>95</v>
      </c>
      <c r="AJ84" s="80">
        <f aca="true" t="shared" si="78" ref="AJ84:AJ94">IF(AN84=0,I84,0)</f>
        <v>0</v>
      </c>
      <c r="AK84" s="80">
        <f aca="true" t="shared" si="79" ref="AK84:AK94">IF(AN84=12,I84,0)</f>
        <v>0</v>
      </c>
      <c r="AL84" s="80">
        <f aca="true" t="shared" si="80" ref="AL84:AL94">IF(AN84=21,I84,0)</f>
        <v>0</v>
      </c>
      <c r="AN84" s="38">
        <v>21</v>
      </c>
      <c r="AO84" s="38">
        <f>H84*1</f>
        <v>0</v>
      </c>
      <c r="AP84" s="38">
        <f>H84*(1-1)</f>
        <v>0</v>
      </c>
      <c r="AQ84" s="83" t="s">
        <v>132</v>
      </c>
      <c r="AV84" s="38">
        <f aca="true" t="shared" si="81" ref="AV84:AV94">AW84+AX84</f>
        <v>0</v>
      </c>
      <c r="AW84" s="38">
        <f aca="true" t="shared" si="82" ref="AW84:AW94">G84*AO84</f>
        <v>0</v>
      </c>
      <c r="AX84" s="38">
        <f aca="true" t="shared" si="83" ref="AX84:AX94">G84*AP84</f>
        <v>0</v>
      </c>
      <c r="AY84" s="72" t="s">
        <v>3130</v>
      </c>
      <c r="AZ84" s="72" t="s">
        <v>3013</v>
      </c>
      <c r="BA84" s="50" t="s">
        <v>3014</v>
      </c>
      <c r="BC84" s="38">
        <f aca="true" t="shared" si="84" ref="BC84:BC94">AW84+AX84</f>
        <v>0</v>
      </c>
      <c r="BD84" s="38">
        <f aca="true" t="shared" si="85" ref="BD84:BD94">H84/(100-BE84)*100</f>
        <v>0</v>
      </c>
      <c r="BE84" s="38">
        <v>0</v>
      </c>
      <c r="BF84" s="38">
        <f aca="true" t="shared" si="86" ref="BF84:BF94">K84</f>
        <v>0</v>
      </c>
      <c r="BH84" s="80">
        <f aca="true" t="shared" si="87" ref="BH84:BH94">G84*AO84</f>
        <v>0</v>
      </c>
      <c r="BI84" s="80">
        <f aca="true" t="shared" si="88" ref="BI84:BI94">G84*AP84</f>
        <v>0</v>
      </c>
      <c r="BJ84" s="80">
        <f aca="true" t="shared" si="89" ref="BJ84:BJ94">G84*H84</f>
        <v>0</v>
      </c>
      <c r="BK84" s="80"/>
      <c r="BL84" s="38"/>
      <c r="BW84" s="38">
        <v>21</v>
      </c>
    </row>
    <row r="85" spans="1:75" ht="27" customHeight="1">
      <c r="A85" s="1" t="s">
        <v>468</v>
      </c>
      <c r="B85" s="2" t="s">
        <v>95</v>
      </c>
      <c r="C85" s="2" t="s">
        <v>2651</v>
      </c>
      <c r="D85" s="108" t="s">
        <v>2602</v>
      </c>
      <c r="E85" s="103"/>
      <c r="F85" s="2" t="s">
        <v>199</v>
      </c>
      <c r="G85" s="38">
        <f>'Stavební rozpočet'!G1614</f>
        <v>6</v>
      </c>
      <c r="H85" s="38">
        <f>'Stavební rozpočet'!H1614</f>
        <v>0</v>
      </c>
      <c r="I85" s="38">
        <f t="shared" si="68"/>
        <v>0</v>
      </c>
      <c r="J85" s="38">
        <f>'Stavební rozpočet'!J1614</f>
        <v>0</v>
      </c>
      <c r="K85" s="38">
        <f t="shared" si="69"/>
        <v>0</v>
      </c>
      <c r="L85" s="71" t="s">
        <v>207</v>
      </c>
      <c r="Z85" s="38">
        <f t="shared" si="70"/>
        <v>0</v>
      </c>
      <c r="AB85" s="38">
        <f t="shared" si="71"/>
        <v>0</v>
      </c>
      <c r="AC85" s="38">
        <f t="shared" si="72"/>
        <v>0</v>
      </c>
      <c r="AD85" s="38">
        <f t="shared" si="73"/>
        <v>0</v>
      </c>
      <c r="AE85" s="38">
        <f t="shared" si="74"/>
        <v>0</v>
      </c>
      <c r="AF85" s="38">
        <f t="shared" si="75"/>
        <v>0</v>
      </c>
      <c r="AG85" s="38">
        <f t="shared" si="76"/>
        <v>0</v>
      </c>
      <c r="AH85" s="38">
        <f t="shared" si="77"/>
        <v>0</v>
      </c>
      <c r="AI85" s="50" t="s">
        <v>95</v>
      </c>
      <c r="AJ85" s="38">
        <f t="shared" si="78"/>
        <v>0</v>
      </c>
      <c r="AK85" s="38">
        <f t="shared" si="79"/>
        <v>0</v>
      </c>
      <c r="AL85" s="38">
        <f t="shared" si="80"/>
        <v>0</v>
      </c>
      <c r="AN85" s="38">
        <v>21</v>
      </c>
      <c r="AO85" s="38">
        <f>H85*0</f>
        <v>0</v>
      </c>
      <c r="AP85" s="38">
        <f>H85*(1-0)</f>
        <v>0</v>
      </c>
      <c r="AQ85" s="72" t="s">
        <v>132</v>
      </c>
      <c r="AV85" s="38">
        <f t="shared" si="81"/>
        <v>0</v>
      </c>
      <c r="AW85" s="38">
        <f t="shared" si="82"/>
        <v>0</v>
      </c>
      <c r="AX85" s="38">
        <f t="shared" si="83"/>
        <v>0</v>
      </c>
      <c r="AY85" s="72" t="s">
        <v>3130</v>
      </c>
      <c r="AZ85" s="72" t="s">
        <v>3013</v>
      </c>
      <c r="BA85" s="50" t="s">
        <v>3014</v>
      </c>
      <c r="BC85" s="38">
        <f t="shared" si="84"/>
        <v>0</v>
      </c>
      <c r="BD85" s="38">
        <f t="shared" si="85"/>
        <v>0</v>
      </c>
      <c r="BE85" s="38">
        <v>0</v>
      </c>
      <c r="BF85" s="38">
        <f t="shared" si="86"/>
        <v>0</v>
      </c>
      <c r="BH85" s="38">
        <f t="shared" si="87"/>
        <v>0</v>
      </c>
      <c r="BI85" s="38">
        <f t="shared" si="88"/>
        <v>0</v>
      </c>
      <c r="BJ85" s="38">
        <f t="shared" si="89"/>
        <v>0</v>
      </c>
      <c r="BK85" s="38"/>
      <c r="BL85" s="38"/>
      <c r="BW85" s="38">
        <v>21</v>
      </c>
    </row>
    <row r="86" spans="1:75" ht="13.5" customHeight="1">
      <c r="A86" s="78" t="s">
        <v>473</v>
      </c>
      <c r="B86" s="79" t="s">
        <v>95</v>
      </c>
      <c r="C86" s="79" t="s">
        <v>2653</v>
      </c>
      <c r="D86" s="198" t="s">
        <v>2654</v>
      </c>
      <c r="E86" s="199"/>
      <c r="F86" s="79" t="s">
        <v>2567</v>
      </c>
      <c r="G86" s="80">
        <f>'Stavební rozpočet'!G1615</f>
        <v>6</v>
      </c>
      <c r="H86" s="80">
        <f>'Stavební rozpočet'!H1615</f>
        <v>0</v>
      </c>
      <c r="I86" s="80">
        <f t="shared" si="68"/>
        <v>0</v>
      </c>
      <c r="J86" s="80">
        <f>'Stavební rozpočet'!J1615</f>
        <v>0</v>
      </c>
      <c r="K86" s="80">
        <f t="shared" si="69"/>
        <v>0</v>
      </c>
      <c r="L86" s="82" t="s">
        <v>207</v>
      </c>
      <c r="Z86" s="38">
        <f t="shared" si="70"/>
        <v>0</v>
      </c>
      <c r="AB86" s="38">
        <f t="shared" si="71"/>
        <v>0</v>
      </c>
      <c r="AC86" s="38">
        <f t="shared" si="72"/>
        <v>0</v>
      </c>
      <c r="AD86" s="38">
        <f t="shared" si="73"/>
        <v>0</v>
      </c>
      <c r="AE86" s="38">
        <f t="shared" si="74"/>
        <v>0</v>
      </c>
      <c r="AF86" s="38">
        <f t="shared" si="75"/>
        <v>0</v>
      </c>
      <c r="AG86" s="38">
        <f t="shared" si="76"/>
        <v>0</v>
      </c>
      <c r="AH86" s="38">
        <f t="shared" si="77"/>
        <v>0</v>
      </c>
      <c r="AI86" s="50" t="s">
        <v>95</v>
      </c>
      <c r="AJ86" s="80">
        <f t="shared" si="78"/>
        <v>0</v>
      </c>
      <c r="AK86" s="80">
        <f t="shared" si="79"/>
        <v>0</v>
      </c>
      <c r="AL86" s="80">
        <f t="shared" si="80"/>
        <v>0</v>
      </c>
      <c r="AN86" s="38">
        <v>21</v>
      </c>
      <c r="AO86" s="38">
        <f>H86*1</f>
        <v>0</v>
      </c>
      <c r="AP86" s="38">
        <f>H86*(1-1)</f>
        <v>0</v>
      </c>
      <c r="AQ86" s="83" t="s">
        <v>132</v>
      </c>
      <c r="AV86" s="38">
        <f t="shared" si="81"/>
        <v>0</v>
      </c>
      <c r="AW86" s="38">
        <f t="shared" si="82"/>
        <v>0</v>
      </c>
      <c r="AX86" s="38">
        <f t="shared" si="83"/>
        <v>0</v>
      </c>
      <c r="AY86" s="72" t="s">
        <v>3130</v>
      </c>
      <c r="AZ86" s="72" t="s">
        <v>3013</v>
      </c>
      <c r="BA86" s="50" t="s">
        <v>3014</v>
      </c>
      <c r="BC86" s="38">
        <f t="shared" si="84"/>
        <v>0</v>
      </c>
      <c r="BD86" s="38">
        <f t="shared" si="85"/>
        <v>0</v>
      </c>
      <c r="BE86" s="38">
        <v>0</v>
      </c>
      <c r="BF86" s="38">
        <f t="shared" si="86"/>
        <v>0</v>
      </c>
      <c r="BH86" s="80">
        <f t="shared" si="87"/>
        <v>0</v>
      </c>
      <c r="BI86" s="80">
        <f t="shared" si="88"/>
        <v>0</v>
      </c>
      <c r="BJ86" s="80">
        <f t="shared" si="89"/>
        <v>0</v>
      </c>
      <c r="BK86" s="80"/>
      <c r="BL86" s="38"/>
      <c r="BW86" s="38">
        <v>21</v>
      </c>
    </row>
    <row r="87" spans="1:75" ht="27" customHeight="1">
      <c r="A87" s="1" t="s">
        <v>481</v>
      </c>
      <c r="B87" s="2" t="s">
        <v>95</v>
      </c>
      <c r="C87" s="2" t="s">
        <v>2663</v>
      </c>
      <c r="D87" s="108" t="s">
        <v>2664</v>
      </c>
      <c r="E87" s="103"/>
      <c r="F87" s="2" t="s">
        <v>199</v>
      </c>
      <c r="G87" s="38">
        <f>'Stavební rozpočet'!G1616</f>
        <v>5</v>
      </c>
      <c r="H87" s="38">
        <f>'Stavební rozpočet'!H1616</f>
        <v>0</v>
      </c>
      <c r="I87" s="38">
        <f t="shared" si="68"/>
        <v>0</v>
      </c>
      <c r="J87" s="38">
        <f>'Stavební rozpočet'!J1616</f>
        <v>0</v>
      </c>
      <c r="K87" s="38">
        <f t="shared" si="69"/>
        <v>0</v>
      </c>
      <c r="L87" s="71" t="s">
        <v>207</v>
      </c>
      <c r="Z87" s="38">
        <f t="shared" si="70"/>
        <v>0</v>
      </c>
      <c r="AB87" s="38">
        <f t="shared" si="71"/>
        <v>0</v>
      </c>
      <c r="AC87" s="38">
        <f t="shared" si="72"/>
        <v>0</v>
      </c>
      <c r="AD87" s="38">
        <f t="shared" si="73"/>
        <v>0</v>
      </c>
      <c r="AE87" s="38">
        <f t="shared" si="74"/>
        <v>0</v>
      </c>
      <c r="AF87" s="38">
        <f t="shared" si="75"/>
        <v>0</v>
      </c>
      <c r="AG87" s="38">
        <f t="shared" si="76"/>
        <v>0</v>
      </c>
      <c r="AH87" s="38">
        <f t="shared" si="77"/>
        <v>0</v>
      </c>
      <c r="AI87" s="50" t="s">
        <v>95</v>
      </c>
      <c r="AJ87" s="38">
        <f t="shared" si="78"/>
        <v>0</v>
      </c>
      <c r="AK87" s="38">
        <f t="shared" si="79"/>
        <v>0</v>
      </c>
      <c r="AL87" s="38">
        <f t="shared" si="80"/>
        <v>0</v>
      </c>
      <c r="AN87" s="38">
        <v>21</v>
      </c>
      <c r="AO87" s="38">
        <f>H87*0</f>
        <v>0</v>
      </c>
      <c r="AP87" s="38">
        <f>H87*(1-0)</f>
        <v>0</v>
      </c>
      <c r="AQ87" s="72" t="s">
        <v>132</v>
      </c>
      <c r="AV87" s="38">
        <f t="shared" si="81"/>
        <v>0</v>
      </c>
      <c r="AW87" s="38">
        <f t="shared" si="82"/>
        <v>0</v>
      </c>
      <c r="AX87" s="38">
        <f t="shared" si="83"/>
        <v>0</v>
      </c>
      <c r="AY87" s="72" t="s">
        <v>3130</v>
      </c>
      <c r="AZ87" s="72" t="s">
        <v>3013</v>
      </c>
      <c r="BA87" s="50" t="s">
        <v>3014</v>
      </c>
      <c r="BC87" s="38">
        <f t="shared" si="84"/>
        <v>0</v>
      </c>
      <c r="BD87" s="38">
        <f t="shared" si="85"/>
        <v>0</v>
      </c>
      <c r="BE87" s="38">
        <v>0</v>
      </c>
      <c r="BF87" s="38">
        <f t="shared" si="86"/>
        <v>0</v>
      </c>
      <c r="BH87" s="38">
        <f t="shared" si="87"/>
        <v>0</v>
      </c>
      <c r="BI87" s="38">
        <f t="shared" si="88"/>
        <v>0</v>
      </c>
      <c r="BJ87" s="38">
        <f t="shared" si="89"/>
        <v>0</v>
      </c>
      <c r="BK87" s="38"/>
      <c r="BL87" s="38"/>
      <c r="BW87" s="38">
        <v>21</v>
      </c>
    </row>
    <row r="88" spans="1:75" ht="13.5" customHeight="1">
      <c r="A88" s="78" t="s">
        <v>486</v>
      </c>
      <c r="B88" s="79" t="s">
        <v>95</v>
      </c>
      <c r="C88" s="79" t="s">
        <v>2666</v>
      </c>
      <c r="D88" s="198" t="s">
        <v>2667</v>
      </c>
      <c r="E88" s="199"/>
      <c r="F88" s="79" t="s">
        <v>2567</v>
      </c>
      <c r="G88" s="80">
        <f>'Stavební rozpočet'!G1617</f>
        <v>5</v>
      </c>
      <c r="H88" s="80">
        <f>'Stavební rozpočet'!H1617</f>
        <v>0</v>
      </c>
      <c r="I88" s="80">
        <f t="shared" si="68"/>
        <v>0</v>
      </c>
      <c r="J88" s="80">
        <f>'Stavební rozpočet'!J1617</f>
        <v>0</v>
      </c>
      <c r="K88" s="80">
        <f t="shared" si="69"/>
        <v>0</v>
      </c>
      <c r="L88" s="82" t="s">
        <v>207</v>
      </c>
      <c r="Z88" s="38">
        <f t="shared" si="70"/>
        <v>0</v>
      </c>
      <c r="AB88" s="38">
        <f t="shared" si="71"/>
        <v>0</v>
      </c>
      <c r="AC88" s="38">
        <f t="shared" si="72"/>
        <v>0</v>
      </c>
      <c r="AD88" s="38">
        <f t="shared" si="73"/>
        <v>0</v>
      </c>
      <c r="AE88" s="38">
        <f t="shared" si="74"/>
        <v>0</v>
      </c>
      <c r="AF88" s="38">
        <f t="shared" si="75"/>
        <v>0</v>
      </c>
      <c r="AG88" s="38">
        <f t="shared" si="76"/>
        <v>0</v>
      </c>
      <c r="AH88" s="38">
        <f t="shared" si="77"/>
        <v>0</v>
      </c>
      <c r="AI88" s="50" t="s">
        <v>95</v>
      </c>
      <c r="AJ88" s="80">
        <f t="shared" si="78"/>
        <v>0</v>
      </c>
      <c r="AK88" s="80">
        <f t="shared" si="79"/>
        <v>0</v>
      </c>
      <c r="AL88" s="80">
        <f t="shared" si="80"/>
        <v>0</v>
      </c>
      <c r="AN88" s="38">
        <v>21</v>
      </c>
      <c r="AO88" s="38">
        <f>H88*1</f>
        <v>0</v>
      </c>
      <c r="AP88" s="38">
        <f>H88*(1-1)</f>
        <v>0</v>
      </c>
      <c r="AQ88" s="83" t="s">
        <v>132</v>
      </c>
      <c r="AV88" s="38">
        <f t="shared" si="81"/>
        <v>0</v>
      </c>
      <c r="AW88" s="38">
        <f t="shared" si="82"/>
        <v>0</v>
      </c>
      <c r="AX88" s="38">
        <f t="shared" si="83"/>
        <v>0</v>
      </c>
      <c r="AY88" s="72" t="s">
        <v>3130</v>
      </c>
      <c r="AZ88" s="72" t="s">
        <v>3013</v>
      </c>
      <c r="BA88" s="50" t="s">
        <v>3014</v>
      </c>
      <c r="BC88" s="38">
        <f t="shared" si="84"/>
        <v>0</v>
      </c>
      <c r="BD88" s="38">
        <f t="shared" si="85"/>
        <v>0</v>
      </c>
      <c r="BE88" s="38">
        <v>0</v>
      </c>
      <c r="BF88" s="38">
        <f t="shared" si="86"/>
        <v>0</v>
      </c>
      <c r="BH88" s="80">
        <f t="shared" si="87"/>
        <v>0</v>
      </c>
      <c r="BI88" s="80">
        <f t="shared" si="88"/>
        <v>0</v>
      </c>
      <c r="BJ88" s="80">
        <f t="shared" si="89"/>
        <v>0</v>
      </c>
      <c r="BK88" s="80"/>
      <c r="BL88" s="38"/>
      <c r="BW88" s="38">
        <v>21</v>
      </c>
    </row>
    <row r="89" spans="1:75" ht="27" customHeight="1">
      <c r="A89" s="1" t="s">
        <v>491</v>
      </c>
      <c r="B89" s="2" t="s">
        <v>95</v>
      </c>
      <c r="C89" s="2" t="s">
        <v>2758</v>
      </c>
      <c r="D89" s="108" t="s">
        <v>2759</v>
      </c>
      <c r="E89" s="103"/>
      <c r="F89" s="2" t="s">
        <v>189</v>
      </c>
      <c r="G89" s="38">
        <f>'Stavební rozpočet'!G1618</f>
        <v>0.05</v>
      </c>
      <c r="H89" s="38">
        <f>'Stavební rozpočet'!H1618</f>
        <v>0</v>
      </c>
      <c r="I89" s="38">
        <f t="shared" si="68"/>
        <v>0</v>
      </c>
      <c r="J89" s="38">
        <f>'Stavební rozpočet'!J1618</f>
        <v>0</v>
      </c>
      <c r="K89" s="38">
        <f t="shared" si="69"/>
        <v>0</v>
      </c>
      <c r="L89" s="71" t="s">
        <v>207</v>
      </c>
      <c r="Z89" s="38">
        <f t="shared" si="70"/>
        <v>0</v>
      </c>
      <c r="AB89" s="38">
        <f t="shared" si="71"/>
        <v>0</v>
      </c>
      <c r="AC89" s="38">
        <f t="shared" si="72"/>
        <v>0</v>
      </c>
      <c r="AD89" s="38">
        <f t="shared" si="73"/>
        <v>0</v>
      </c>
      <c r="AE89" s="38">
        <f t="shared" si="74"/>
        <v>0</v>
      </c>
      <c r="AF89" s="38">
        <f t="shared" si="75"/>
        <v>0</v>
      </c>
      <c r="AG89" s="38">
        <f t="shared" si="76"/>
        <v>0</v>
      </c>
      <c r="AH89" s="38">
        <f t="shared" si="77"/>
        <v>0</v>
      </c>
      <c r="AI89" s="50" t="s">
        <v>95</v>
      </c>
      <c r="AJ89" s="38">
        <f t="shared" si="78"/>
        <v>0</v>
      </c>
      <c r="AK89" s="38">
        <f t="shared" si="79"/>
        <v>0</v>
      </c>
      <c r="AL89" s="38">
        <f t="shared" si="80"/>
        <v>0</v>
      </c>
      <c r="AN89" s="38">
        <v>21</v>
      </c>
      <c r="AO89" s="38">
        <f>H89*0</f>
        <v>0</v>
      </c>
      <c r="AP89" s="38">
        <f>H89*(1-0)</f>
        <v>0</v>
      </c>
      <c r="AQ89" s="72" t="s">
        <v>162</v>
      </c>
      <c r="AV89" s="38">
        <f t="shared" si="81"/>
        <v>0</v>
      </c>
      <c r="AW89" s="38">
        <f t="shared" si="82"/>
        <v>0</v>
      </c>
      <c r="AX89" s="38">
        <f t="shared" si="83"/>
        <v>0</v>
      </c>
      <c r="AY89" s="72" t="s">
        <v>3130</v>
      </c>
      <c r="AZ89" s="72" t="s">
        <v>3013</v>
      </c>
      <c r="BA89" s="50" t="s">
        <v>3014</v>
      </c>
      <c r="BC89" s="38">
        <f t="shared" si="84"/>
        <v>0</v>
      </c>
      <c r="BD89" s="38">
        <f t="shared" si="85"/>
        <v>0</v>
      </c>
      <c r="BE89" s="38">
        <v>0</v>
      </c>
      <c r="BF89" s="38">
        <f t="shared" si="86"/>
        <v>0</v>
      </c>
      <c r="BH89" s="38">
        <f t="shared" si="87"/>
        <v>0</v>
      </c>
      <c r="BI89" s="38">
        <f t="shared" si="88"/>
        <v>0</v>
      </c>
      <c r="BJ89" s="38">
        <f t="shared" si="89"/>
        <v>0</v>
      </c>
      <c r="BK89" s="38"/>
      <c r="BL89" s="38"/>
      <c r="BW89" s="38">
        <v>21</v>
      </c>
    </row>
    <row r="90" spans="1:75" ht="13.5" customHeight="1">
      <c r="A90" s="1" t="s">
        <v>496</v>
      </c>
      <c r="B90" s="2" t="s">
        <v>95</v>
      </c>
      <c r="C90" s="2" t="s">
        <v>3141</v>
      </c>
      <c r="D90" s="108" t="s">
        <v>3142</v>
      </c>
      <c r="E90" s="103"/>
      <c r="F90" s="2" t="s">
        <v>199</v>
      </c>
      <c r="G90" s="38">
        <f>'Stavební rozpočet'!G1619</f>
        <v>1</v>
      </c>
      <c r="H90" s="38">
        <f>'Stavební rozpočet'!H1619</f>
        <v>0</v>
      </c>
      <c r="I90" s="38">
        <f t="shared" si="68"/>
        <v>0</v>
      </c>
      <c r="J90" s="38">
        <f>'Stavební rozpočet'!J1619</f>
        <v>0</v>
      </c>
      <c r="K90" s="38">
        <f t="shared" si="69"/>
        <v>0</v>
      </c>
      <c r="L90" s="71" t="s">
        <v>207</v>
      </c>
      <c r="Z90" s="38">
        <f t="shared" si="70"/>
        <v>0</v>
      </c>
      <c r="AB90" s="38">
        <f t="shared" si="71"/>
        <v>0</v>
      </c>
      <c r="AC90" s="38">
        <f t="shared" si="72"/>
        <v>0</v>
      </c>
      <c r="AD90" s="38">
        <f t="shared" si="73"/>
        <v>0</v>
      </c>
      <c r="AE90" s="38">
        <f t="shared" si="74"/>
        <v>0</v>
      </c>
      <c r="AF90" s="38">
        <f t="shared" si="75"/>
        <v>0</v>
      </c>
      <c r="AG90" s="38">
        <f t="shared" si="76"/>
        <v>0</v>
      </c>
      <c r="AH90" s="38">
        <f t="shared" si="77"/>
        <v>0</v>
      </c>
      <c r="AI90" s="50" t="s">
        <v>95</v>
      </c>
      <c r="AJ90" s="38">
        <f t="shared" si="78"/>
        <v>0</v>
      </c>
      <c r="AK90" s="38">
        <f t="shared" si="79"/>
        <v>0</v>
      </c>
      <c r="AL90" s="38">
        <f t="shared" si="80"/>
        <v>0</v>
      </c>
      <c r="AN90" s="38">
        <v>21</v>
      </c>
      <c r="AO90" s="38">
        <f>H90*0</f>
        <v>0</v>
      </c>
      <c r="AP90" s="38">
        <f>H90*(1-0)</f>
        <v>0</v>
      </c>
      <c r="AQ90" s="72" t="s">
        <v>132</v>
      </c>
      <c r="AV90" s="38">
        <f t="shared" si="81"/>
        <v>0</v>
      </c>
      <c r="AW90" s="38">
        <f t="shared" si="82"/>
        <v>0</v>
      </c>
      <c r="AX90" s="38">
        <f t="shared" si="83"/>
        <v>0</v>
      </c>
      <c r="AY90" s="72" t="s">
        <v>3130</v>
      </c>
      <c r="AZ90" s="72" t="s">
        <v>3013</v>
      </c>
      <c r="BA90" s="50" t="s">
        <v>3014</v>
      </c>
      <c r="BC90" s="38">
        <f t="shared" si="84"/>
        <v>0</v>
      </c>
      <c r="BD90" s="38">
        <f t="shared" si="85"/>
        <v>0</v>
      </c>
      <c r="BE90" s="38">
        <v>0</v>
      </c>
      <c r="BF90" s="38">
        <f t="shared" si="86"/>
        <v>0</v>
      </c>
      <c r="BH90" s="38">
        <f t="shared" si="87"/>
        <v>0</v>
      </c>
      <c r="BI90" s="38">
        <f t="shared" si="88"/>
        <v>0</v>
      </c>
      <c r="BJ90" s="38">
        <f t="shared" si="89"/>
        <v>0</v>
      </c>
      <c r="BK90" s="38"/>
      <c r="BL90" s="38"/>
      <c r="BW90" s="38">
        <v>21</v>
      </c>
    </row>
    <row r="91" spans="1:75" ht="27" customHeight="1">
      <c r="A91" s="78" t="s">
        <v>499</v>
      </c>
      <c r="B91" s="79" t="s">
        <v>95</v>
      </c>
      <c r="C91" s="79" t="s">
        <v>3144</v>
      </c>
      <c r="D91" s="198" t="s">
        <v>3145</v>
      </c>
      <c r="E91" s="199"/>
      <c r="F91" s="79" t="s">
        <v>2567</v>
      </c>
      <c r="G91" s="80">
        <f>'Stavební rozpočet'!G1620</f>
        <v>1</v>
      </c>
      <c r="H91" s="80">
        <f>'Stavební rozpočet'!H1620</f>
        <v>0</v>
      </c>
      <c r="I91" s="80">
        <f t="shared" si="68"/>
        <v>0</v>
      </c>
      <c r="J91" s="80">
        <f>'Stavební rozpočet'!J1620</f>
        <v>0</v>
      </c>
      <c r="K91" s="80">
        <f t="shared" si="69"/>
        <v>0</v>
      </c>
      <c r="L91" s="82" t="s">
        <v>207</v>
      </c>
      <c r="Z91" s="38">
        <f t="shared" si="70"/>
        <v>0</v>
      </c>
      <c r="AB91" s="38">
        <f t="shared" si="71"/>
        <v>0</v>
      </c>
      <c r="AC91" s="38">
        <f t="shared" si="72"/>
        <v>0</v>
      </c>
      <c r="AD91" s="38">
        <f t="shared" si="73"/>
        <v>0</v>
      </c>
      <c r="AE91" s="38">
        <f t="shared" si="74"/>
        <v>0</v>
      </c>
      <c r="AF91" s="38">
        <f t="shared" si="75"/>
        <v>0</v>
      </c>
      <c r="AG91" s="38">
        <f t="shared" si="76"/>
        <v>0</v>
      </c>
      <c r="AH91" s="38">
        <f t="shared" si="77"/>
        <v>0</v>
      </c>
      <c r="AI91" s="50" t="s">
        <v>95</v>
      </c>
      <c r="AJ91" s="80">
        <f t="shared" si="78"/>
        <v>0</v>
      </c>
      <c r="AK91" s="80">
        <f t="shared" si="79"/>
        <v>0</v>
      </c>
      <c r="AL91" s="80">
        <f t="shared" si="80"/>
        <v>0</v>
      </c>
      <c r="AN91" s="38">
        <v>21</v>
      </c>
      <c r="AO91" s="38">
        <f>H91*1</f>
        <v>0</v>
      </c>
      <c r="AP91" s="38">
        <f>H91*(1-1)</f>
        <v>0</v>
      </c>
      <c r="AQ91" s="83" t="s">
        <v>132</v>
      </c>
      <c r="AV91" s="38">
        <f t="shared" si="81"/>
        <v>0</v>
      </c>
      <c r="AW91" s="38">
        <f t="shared" si="82"/>
        <v>0</v>
      </c>
      <c r="AX91" s="38">
        <f t="shared" si="83"/>
        <v>0</v>
      </c>
      <c r="AY91" s="72" t="s">
        <v>3130</v>
      </c>
      <c r="AZ91" s="72" t="s">
        <v>3013</v>
      </c>
      <c r="BA91" s="50" t="s">
        <v>3014</v>
      </c>
      <c r="BC91" s="38">
        <f t="shared" si="84"/>
        <v>0</v>
      </c>
      <c r="BD91" s="38">
        <f t="shared" si="85"/>
        <v>0</v>
      </c>
      <c r="BE91" s="38">
        <v>0</v>
      </c>
      <c r="BF91" s="38">
        <f t="shared" si="86"/>
        <v>0</v>
      </c>
      <c r="BH91" s="80">
        <f t="shared" si="87"/>
        <v>0</v>
      </c>
      <c r="BI91" s="80">
        <f t="shared" si="88"/>
        <v>0</v>
      </c>
      <c r="BJ91" s="80">
        <f t="shared" si="89"/>
        <v>0</v>
      </c>
      <c r="BK91" s="80"/>
      <c r="BL91" s="38"/>
      <c r="BW91" s="38">
        <v>21</v>
      </c>
    </row>
    <row r="92" spans="1:75" ht="13.5" customHeight="1">
      <c r="A92" s="1" t="s">
        <v>503</v>
      </c>
      <c r="B92" s="2" t="s">
        <v>95</v>
      </c>
      <c r="C92" s="2" t="s">
        <v>3146</v>
      </c>
      <c r="D92" s="108" t="s">
        <v>3147</v>
      </c>
      <c r="E92" s="103"/>
      <c r="F92" s="2" t="s">
        <v>199</v>
      </c>
      <c r="G92" s="38">
        <f>'Stavební rozpočet'!G1621</f>
        <v>5</v>
      </c>
      <c r="H92" s="38">
        <f>'Stavební rozpočet'!H1621</f>
        <v>0</v>
      </c>
      <c r="I92" s="38">
        <f t="shared" si="68"/>
        <v>0</v>
      </c>
      <c r="J92" s="38">
        <f>'Stavební rozpočet'!J1621</f>
        <v>0</v>
      </c>
      <c r="K92" s="38">
        <f t="shared" si="69"/>
        <v>0</v>
      </c>
      <c r="L92" s="71" t="s">
        <v>207</v>
      </c>
      <c r="Z92" s="38">
        <f t="shared" si="70"/>
        <v>0</v>
      </c>
      <c r="AB92" s="38">
        <f t="shared" si="71"/>
        <v>0</v>
      </c>
      <c r="AC92" s="38">
        <f t="shared" si="72"/>
        <v>0</v>
      </c>
      <c r="AD92" s="38">
        <f t="shared" si="73"/>
        <v>0</v>
      </c>
      <c r="AE92" s="38">
        <f t="shared" si="74"/>
        <v>0</v>
      </c>
      <c r="AF92" s="38">
        <f t="shared" si="75"/>
        <v>0</v>
      </c>
      <c r="AG92" s="38">
        <f t="shared" si="76"/>
        <v>0</v>
      </c>
      <c r="AH92" s="38">
        <f t="shared" si="77"/>
        <v>0</v>
      </c>
      <c r="AI92" s="50" t="s">
        <v>95</v>
      </c>
      <c r="AJ92" s="38">
        <f t="shared" si="78"/>
        <v>0</v>
      </c>
      <c r="AK92" s="38">
        <f t="shared" si="79"/>
        <v>0</v>
      </c>
      <c r="AL92" s="38">
        <f t="shared" si="80"/>
        <v>0</v>
      </c>
      <c r="AN92" s="38">
        <v>21</v>
      </c>
      <c r="AO92" s="38">
        <f>H92*0</f>
        <v>0</v>
      </c>
      <c r="AP92" s="38">
        <f>H92*(1-0)</f>
        <v>0</v>
      </c>
      <c r="AQ92" s="72" t="s">
        <v>143</v>
      </c>
      <c r="AV92" s="38">
        <f t="shared" si="81"/>
        <v>0</v>
      </c>
      <c r="AW92" s="38">
        <f t="shared" si="82"/>
        <v>0</v>
      </c>
      <c r="AX92" s="38">
        <f t="shared" si="83"/>
        <v>0</v>
      </c>
      <c r="AY92" s="72" t="s">
        <v>3130</v>
      </c>
      <c r="AZ92" s="72" t="s">
        <v>3013</v>
      </c>
      <c r="BA92" s="50" t="s">
        <v>3014</v>
      </c>
      <c r="BC92" s="38">
        <f t="shared" si="84"/>
        <v>0</v>
      </c>
      <c r="BD92" s="38">
        <f t="shared" si="85"/>
        <v>0</v>
      </c>
      <c r="BE92" s="38">
        <v>0</v>
      </c>
      <c r="BF92" s="38">
        <f t="shared" si="86"/>
        <v>0</v>
      </c>
      <c r="BH92" s="38">
        <f t="shared" si="87"/>
        <v>0</v>
      </c>
      <c r="BI92" s="38">
        <f t="shared" si="88"/>
        <v>0</v>
      </c>
      <c r="BJ92" s="38">
        <f t="shared" si="89"/>
        <v>0</v>
      </c>
      <c r="BK92" s="38"/>
      <c r="BL92" s="38"/>
      <c r="BW92" s="38">
        <v>21</v>
      </c>
    </row>
    <row r="93" spans="1:75" ht="13.5" customHeight="1">
      <c r="A93" s="78" t="s">
        <v>507</v>
      </c>
      <c r="B93" s="79" t="s">
        <v>95</v>
      </c>
      <c r="C93" s="79" t="s">
        <v>3149</v>
      </c>
      <c r="D93" s="198" t="s">
        <v>3150</v>
      </c>
      <c r="E93" s="199"/>
      <c r="F93" s="79" t="s">
        <v>2567</v>
      </c>
      <c r="G93" s="80">
        <f>'Stavební rozpočet'!G1622</f>
        <v>5</v>
      </c>
      <c r="H93" s="80">
        <f>'Stavební rozpočet'!H1622</f>
        <v>0</v>
      </c>
      <c r="I93" s="80">
        <f t="shared" si="68"/>
        <v>0</v>
      </c>
      <c r="J93" s="80">
        <f>'Stavební rozpočet'!J1622</f>
        <v>0</v>
      </c>
      <c r="K93" s="80">
        <f t="shared" si="69"/>
        <v>0</v>
      </c>
      <c r="L93" s="82" t="s">
        <v>207</v>
      </c>
      <c r="Z93" s="38">
        <f t="shared" si="70"/>
        <v>0</v>
      </c>
      <c r="AB93" s="38">
        <f t="shared" si="71"/>
        <v>0</v>
      </c>
      <c r="AC93" s="38">
        <f t="shared" si="72"/>
        <v>0</v>
      </c>
      <c r="AD93" s="38">
        <f t="shared" si="73"/>
        <v>0</v>
      </c>
      <c r="AE93" s="38">
        <f t="shared" si="74"/>
        <v>0</v>
      </c>
      <c r="AF93" s="38">
        <f t="shared" si="75"/>
        <v>0</v>
      </c>
      <c r="AG93" s="38">
        <f t="shared" si="76"/>
        <v>0</v>
      </c>
      <c r="AH93" s="38">
        <f t="shared" si="77"/>
        <v>0</v>
      </c>
      <c r="AI93" s="50" t="s">
        <v>95</v>
      </c>
      <c r="AJ93" s="80">
        <f t="shared" si="78"/>
        <v>0</v>
      </c>
      <c r="AK93" s="80">
        <f t="shared" si="79"/>
        <v>0</v>
      </c>
      <c r="AL93" s="80">
        <f t="shared" si="80"/>
        <v>0</v>
      </c>
      <c r="AN93" s="38">
        <v>21</v>
      </c>
      <c r="AO93" s="38">
        <f>H93*1</f>
        <v>0</v>
      </c>
      <c r="AP93" s="38">
        <f>H93*(1-1)</f>
        <v>0</v>
      </c>
      <c r="AQ93" s="83" t="s">
        <v>132</v>
      </c>
      <c r="AV93" s="38">
        <f t="shared" si="81"/>
        <v>0</v>
      </c>
      <c r="AW93" s="38">
        <f t="shared" si="82"/>
        <v>0</v>
      </c>
      <c r="AX93" s="38">
        <f t="shared" si="83"/>
        <v>0</v>
      </c>
      <c r="AY93" s="72" t="s">
        <v>3130</v>
      </c>
      <c r="AZ93" s="72" t="s">
        <v>3013</v>
      </c>
      <c r="BA93" s="50" t="s">
        <v>3014</v>
      </c>
      <c r="BC93" s="38">
        <f t="shared" si="84"/>
        <v>0</v>
      </c>
      <c r="BD93" s="38">
        <f t="shared" si="85"/>
        <v>0</v>
      </c>
      <c r="BE93" s="38">
        <v>0</v>
      </c>
      <c r="BF93" s="38">
        <f t="shared" si="86"/>
        <v>0</v>
      </c>
      <c r="BH93" s="80">
        <f t="shared" si="87"/>
        <v>0</v>
      </c>
      <c r="BI93" s="80">
        <f t="shared" si="88"/>
        <v>0</v>
      </c>
      <c r="BJ93" s="80">
        <f t="shared" si="89"/>
        <v>0</v>
      </c>
      <c r="BK93" s="80"/>
      <c r="BL93" s="38"/>
      <c r="BW93" s="38">
        <v>21</v>
      </c>
    </row>
    <row r="94" spans="1:75" ht="13.5" customHeight="1">
      <c r="A94" s="1" t="s">
        <v>526</v>
      </c>
      <c r="B94" s="2" t="s">
        <v>95</v>
      </c>
      <c r="C94" s="2" t="s">
        <v>2817</v>
      </c>
      <c r="D94" s="108" t="s">
        <v>2818</v>
      </c>
      <c r="E94" s="103"/>
      <c r="F94" s="2" t="s">
        <v>2286</v>
      </c>
      <c r="G94" s="38">
        <f>'Stavební rozpočet'!G1623</f>
        <v>3</v>
      </c>
      <c r="H94" s="38">
        <f>'Stavební rozpočet'!H1623</f>
        <v>0</v>
      </c>
      <c r="I94" s="38">
        <f t="shared" si="68"/>
        <v>0</v>
      </c>
      <c r="J94" s="38">
        <f>'Stavební rozpočet'!J1623</f>
        <v>0</v>
      </c>
      <c r="K94" s="38">
        <f t="shared" si="69"/>
        <v>0</v>
      </c>
      <c r="L94" s="71" t="s">
        <v>207</v>
      </c>
      <c r="Z94" s="38">
        <f t="shared" si="70"/>
        <v>0</v>
      </c>
      <c r="AB94" s="38">
        <f t="shared" si="71"/>
        <v>0</v>
      </c>
      <c r="AC94" s="38">
        <f t="shared" si="72"/>
        <v>0</v>
      </c>
      <c r="AD94" s="38">
        <f t="shared" si="73"/>
        <v>0</v>
      </c>
      <c r="AE94" s="38">
        <f t="shared" si="74"/>
        <v>0</v>
      </c>
      <c r="AF94" s="38">
        <f t="shared" si="75"/>
        <v>0</v>
      </c>
      <c r="AG94" s="38">
        <f t="shared" si="76"/>
        <v>0</v>
      </c>
      <c r="AH94" s="38">
        <f t="shared" si="77"/>
        <v>0</v>
      </c>
      <c r="AI94" s="50" t="s">
        <v>95</v>
      </c>
      <c r="AJ94" s="38">
        <f t="shared" si="78"/>
        <v>0</v>
      </c>
      <c r="AK94" s="38">
        <f t="shared" si="79"/>
        <v>0</v>
      </c>
      <c r="AL94" s="38">
        <f t="shared" si="80"/>
        <v>0</v>
      </c>
      <c r="AN94" s="38">
        <v>21</v>
      </c>
      <c r="AO94" s="38">
        <f>H94*0</f>
        <v>0</v>
      </c>
      <c r="AP94" s="38">
        <f>H94*(1-0)</f>
        <v>0</v>
      </c>
      <c r="AQ94" s="72" t="s">
        <v>132</v>
      </c>
      <c r="AV94" s="38">
        <f t="shared" si="81"/>
        <v>0</v>
      </c>
      <c r="AW94" s="38">
        <f t="shared" si="82"/>
        <v>0</v>
      </c>
      <c r="AX94" s="38">
        <f t="shared" si="83"/>
        <v>0</v>
      </c>
      <c r="AY94" s="72" t="s">
        <v>3130</v>
      </c>
      <c r="AZ94" s="72" t="s">
        <v>3013</v>
      </c>
      <c r="BA94" s="50" t="s">
        <v>3014</v>
      </c>
      <c r="BC94" s="38">
        <f t="shared" si="84"/>
        <v>0</v>
      </c>
      <c r="BD94" s="38">
        <f t="shared" si="85"/>
        <v>0</v>
      </c>
      <c r="BE94" s="38">
        <v>0</v>
      </c>
      <c r="BF94" s="38">
        <f t="shared" si="86"/>
        <v>0</v>
      </c>
      <c r="BH94" s="38">
        <f t="shared" si="87"/>
        <v>0</v>
      </c>
      <c r="BI94" s="38">
        <f t="shared" si="88"/>
        <v>0</v>
      </c>
      <c r="BJ94" s="38">
        <f t="shared" si="89"/>
        <v>0</v>
      </c>
      <c r="BK94" s="38"/>
      <c r="BL94" s="38"/>
      <c r="BW94" s="38">
        <v>21</v>
      </c>
    </row>
    <row r="95" spans="1:12" ht="13.5" customHeight="1">
      <c r="A95" s="74"/>
      <c r="D95" s="194" t="s">
        <v>2819</v>
      </c>
      <c r="E95" s="195"/>
      <c r="F95" s="195"/>
      <c r="G95" s="195"/>
      <c r="H95" s="195"/>
      <c r="I95" s="195"/>
      <c r="J95" s="195"/>
      <c r="K95" s="195"/>
      <c r="L95" s="197"/>
    </row>
    <row r="96" spans="1:75" ht="13.5" customHeight="1">
      <c r="A96" s="78" t="s">
        <v>531</v>
      </c>
      <c r="B96" s="79" t="s">
        <v>95</v>
      </c>
      <c r="C96" s="79" t="s">
        <v>3151</v>
      </c>
      <c r="D96" s="198" t="s">
        <v>2822</v>
      </c>
      <c r="E96" s="199"/>
      <c r="F96" s="79" t="s">
        <v>2823</v>
      </c>
      <c r="G96" s="80">
        <f>'Stavební rozpočet'!G1625</f>
        <v>1</v>
      </c>
      <c r="H96" s="80">
        <f>'Stavební rozpočet'!H1625</f>
        <v>0</v>
      </c>
      <c r="I96" s="80">
        <f>G96*H96</f>
        <v>0</v>
      </c>
      <c r="J96" s="80">
        <f>'Stavební rozpočet'!J1625</f>
        <v>0</v>
      </c>
      <c r="K96" s="80">
        <f>G96*J96</f>
        <v>0</v>
      </c>
      <c r="L96" s="82" t="s">
        <v>207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50" t="s">
        <v>95</v>
      </c>
      <c r="AJ96" s="80">
        <f>IF(AN96=0,I96,0)</f>
        <v>0</v>
      </c>
      <c r="AK96" s="80">
        <f>IF(AN96=12,I96,0)</f>
        <v>0</v>
      </c>
      <c r="AL96" s="80">
        <f>IF(AN96=21,I96,0)</f>
        <v>0</v>
      </c>
      <c r="AN96" s="38">
        <v>21</v>
      </c>
      <c r="AO96" s="38">
        <f>H96*1</f>
        <v>0</v>
      </c>
      <c r="AP96" s="38">
        <f>H96*(1-1)</f>
        <v>0</v>
      </c>
      <c r="AQ96" s="83" t="s">
        <v>132</v>
      </c>
      <c r="AV96" s="38">
        <f>AW96+AX96</f>
        <v>0</v>
      </c>
      <c r="AW96" s="38">
        <f>G96*AO96</f>
        <v>0</v>
      </c>
      <c r="AX96" s="38">
        <f>G96*AP96</f>
        <v>0</v>
      </c>
      <c r="AY96" s="72" t="s">
        <v>3130</v>
      </c>
      <c r="AZ96" s="72" t="s">
        <v>3013</v>
      </c>
      <c r="BA96" s="50" t="s">
        <v>3014</v>
      </c>
      <c r="BC96" s="38">
        <f>AW96+AX96</f>
        <v>0</v>
      </c>
      <c r="BD96" s="38">
        <f>H96/(100-BE96)*100</f>
        <v>0</v>
      </c>
      <c r="BE96" s="38">
        <v>0</v>
      </c>
      <c r="BF96" s="38">
        <f>K96</f>
        <v>0</v>
      </c>
      <c r="BH96" s="80">
        <f>G96*AO96</f>
        <v>0</v>
      </c>
      <c r="BI96" s="80">
        <f>G96*AP96</f>
        <v>0</v>
      </c>
      <c r="BJ96" s="80">
        <f>G96*H96</f>
        <v>0</v>
      </c>
      <c r="BK96" s="80"/>
      <c r="BL96" s="38"/>
      <c r="BW96" s="38">
        <v>21</v>
      </c>
    </row>
    <row r="97" spans="1:47" ht="15">
      <c r="A97" s="65" t="s">
        <v>4</v>
      </c>
      <c r="B97" s="66" t="s">
        <v>95</v>
      </c>
      <c r="C97" s="66" t="s">
        <v>3152</v>
      </c>
      <c r="D97" s="192" t="s">
        <v>3153</v>
      </c>
      <c r="E97" s="193"/>
      <c r="F97" s="67" t="s">
        <v>78</v>
      </c>
      <c r="G97" s="67" t="s">
        <v>78</v>
      </c>
      <c r="H97" s="67" t="s">
        <v>78</v>
      </c>
      <c r="I97" s="44">
        <f>SUM(I98:I121)</f>
        <v>0</v>
      </c>
      <c r="J97" s="50" t="s">
        <v>4</v>
      </c>
      <c r="K97" s="44">
        <f>SUM(K98:K121)</f>
        <v>0</v>
      </c>
      <c r="L97" s="69" t="s">
        <v>4</v>
      </c>
      <c r="AI97" s="50" t="s">
        <v>95</v>
      </c>
      <c r="AS97" s="44">
        <f>SUM(AJ98:AJ121)</f>
        <v>0</v>
      </c>
      <c r="AT97" s="44">
        <f>SUM(AK98:AK121)</f>
        <v>0</v>
      </c>
      <c r="AU97" s="44">
        <f>SUM(AL98:AL121)</f>
        <v>0</v>
      </c>
    </row>
    <row r="98" spans="1:75" ht="27" customHeight="1">
      <c r="A98" s="1" t="s">
        <v>534</v>
      </c>
      <c r="B98" s="2" t="s">
        <v>95</v>
      </c>
      <c r="C98" s="2" t="s">
        <v>2681</v>
      </c>
      <c r="D98" s="108" t="s">
        <v>2682</v>
      </c>
      <c r="E98" s="103"/>
      <c r="F98" s="2" t="s">
        <v>214</v>
      </c>
      <c r="G98" s="38">
        <f>'Stavební rozpočet'!G1627</f>
        <v>40</v>
      </c>
      <c r="H98" s="38">
        <f>'Stavební rozpočet'!H1627</f>
        <v>0</v>
      </c>
      <c r="I98" s="38">
        <f aca="true" t="shared" si="90" ref="I98:I107">G98*H98</f>
        <v>0</v>
      </c>
      <c r="J98" s="38">
        <f>'Stavební rozpočet'!J1627</f>
        <v>0</v>
      </c>
      <c r="K98" s="38">
        <f aca="true" t="shared" si="91" ref="K98:K107">G98*J98</f>
        <v>0</v>
      </c>
      <c r="L98" s="71" t="s">
        <v>207</v>
      </c>
      <c r="Z98" s="38">
        <f aca="true" t="shared" si="92" ref="Z98:Z107">IF(AQ98="5",BJ98,0)</f>
        <v>0</v>
      </c>
      <c r="AB98" s="38">
        <f aca="true" t="shared" si="93" ref="AB98:AB107">IF(AQ98="1",BH98,0)</f>
        <v>0</v>
      </c>
      <c r="AC98" s="38">
        <f aca="true" t="shared" si="94" ref="AC98:AC107">IF(AQ98="1",BI98,0)</f>
        <v>0</v>
      </c>
      <c r="AD98" s="38">
        <f aca="true" t="shared" si="95" ref="AD98:AD107">IF(AQ98="7",BH98,0)</f>
        <v>0</v>
      </c>
      <c r="AE98" s="38">
        <f aca="true" t="shared" si="96" ref="AE98:AE107">IF(AQ98="7",BI98,0)</f>
        <v>0</v>
      </c>
      <c r="AF98" s="38">
        <f aca="true" t="shared" si="97" ref="AF98:AF107">IF(AQ98="2",BH98,0)</f>
        <v>0</v>
      </c>
      <c r="AG98" s="38">
        <f aca="true" t="shared" si="98" ref="AG98:AG107">IF(AQ98="2",BI98,0)</f>
        <v>0</v>
      </c>
      <c r="AH98" s="38">
        <f aca="true" t="shared" si="99" ref="AH98:AH107">IF(AQ98="0",BJ98,0)</f>
        <v>0</v>
      </c>
      <c r="AI98" s="50" t="s">
        <v>95</v>
      </c>
      <c r="AJ98" s="38">
        <f aca="true" t="shared" si="100" ref="AJ98:AJ107">IF(AN98=0,I98,0)</f>
        <v>0</v>
      </c>
      <c r="AK98" s="38">
        <f aca="true" t="shared" si="101" ref="AK98:AK107">IF(AN98=12,I98,0)</f>
        <v>0</v>
      </c>
      <c r="AL98" s="38">
        <f aca="true" t="shared" si="102" ref="AL98:AL107">IF(AN98=21,I98,0)</f>
        <v>0</v>
      </c>
      <c r="AN98" s="38">
        <v>21</v>
      </c>
      <c r="AO98" s="38">
        <f>H98*0</f>
        <v>0</v>
      </c>
      <c r="AP98" s="38">
        <f>H98*(1-0)</f>
        <v>0</v>
      </c>
      <c r="AQ98" s="72" t="s">
        <v>132</v>
      </c>
      <c r="AV98" s="38">
        <f aca="true" t="shared" si="103" ref="AV98:AV107">AW98+AX98</f>
        <v>0</v>
      </c>
      <c r="AW98" s="38">
        <f aca="true" t="shared" si="104" ref="AW98:AW107">G98*AO98</f>
        <v>0</v>
      </c>
      <c r="AX98" s="38">
        <f aca="true" t="shared" si="105" ref="AX98:AX107">G98*AP98</f>
        <v>0</v>
      </c>
      <c r="AY98" s="72" t="s">
        <v>3155</v>
      </c>
      <c r="AZ98" s="72" t="s">
        <v>3013</v>
      </c>
      <c r="BA98" s="50" t="s">
        <v>3014</v>
      </c>
      <c r="BC98" s="38">
        <f aca="true" t="shared" si="106" ref="BC98:BC107">AW98+AX98</f>
        <v>0</v>
      </c>
      <c r="BD98" s="38">
        <f aca="true" t="shared" si="107" ref="BD98:BD107">H98/(100-BE98)*100</f>
        <v>0</v>
      </c>
      <c r="BE98" s="38">
        <v>0</v>
      </c>
      <c r="BF98" s="38">
        <f aca="true" t="shared" si="108" ref="BF98:BF107">K98</f>
        <v>0</v>
      </c>
      <c r="BH98" s="38">
        <f aca="true" t="shared" si="109" ref="BH98:BH107">G98*AO98</f>
        <v>0</v>
      </c>
      <c r="BI98" s="38">
        <f aca="true" t="shared" si="110" ref="BI98:BI107">G98*AP98</f>
        <v>0</v>
      </c>
      <c r="BJ98" s="38">
        <f aca="true" t="shared" si="111" ref="BJ98:BJ107">G98*H98</f>
        <v>0</v>
      </c>
      <c r="BK98" s="38"/>
      <c r="BL98" s="38"/>
      <c r="BW98" s="38">
        <v>21</v>
      </c>
    </row>
    <row r="99" spans="1:75" ht="13.5" customHeight="1">
      <c r="A99" s="78" t="s">
        <v>546</v>
      </c>
      <c r="B99" s="79" t="s">
        <v>95</v>
      </c>
      <c r="C99" s="79" t="s">
        <v>3132</v>
      </c>
      <c r="D99" s="198" t="s">
        <v>3133</v>
      </c>
      <c r="E99" s="199"/>
      <c r="F99" s="79" t="s">
        <v>2661</v>
      </c>
      <c r="G99" s="80">
        <f>'Stavební rozpočet'!G1628</f>
        <v>40</v>
      </c>
      <c r="H99" s="80">
        <f>'Stavební rozpočet'!H1628</f>
        <v>0</v>
      </c>
      <c r="I99" s="80">
        <f t="shared" si="90"/>
        <v>0</v>
      </c>
      <c r="J99" s="80">
        <f>'Stavební rozpočet'!J1628</f>
        <v>0</v>
      </c>
      <c r="K99" s="80">
        <f t="shared" si="91"/>
        <v>0</v>
      </c>
      <c r="L99" s="82" t="s">
        <v>207</v>
      </c>
      <c r="Z99" s="38">
        <f t="shared" si="92"/>
        <v>0</v>
      </c>
      <c r="AB99" s="38">
        <f t="shared" si="93"/>
        <v>0</v>
      </c>
      <c r="AC99" s="38">
        <f t="shared" si="94"/>
        <v>0</v>
      </c>
      <c r="AD99" s="38">
        <f t="shared" si="95"/>
        <v>0</v>
      </c>
      <c r="AE99" s="38">
        <f t="shared" si="96"/>
        <v>0</v>
      </c>
      <c r="AF99" s="38">
        <f t="shared" si="97"/>
        <v>0</v>
      </c>
      <c r="AG99" s="38">
        <f t="shared" si="98"/>
        <v>0</v>
      </c>
      <c r="AH99" s="38">
        <f t="shared" si="99"/>
        <v>0</v>
      </c>
      <c r="AI99" s="50" t="s">
        <v>95</v>
      </c>
      <c r="AJ99" s="80">
        <f t="shared" si="100"/>
        <v>0</v>
      </c>
      <c r="AK99" s="80">
        <f t="shared" si="101"/>
        <v>0</v>
      </c>
      <c r="AL99" s="80">
        <f t="shared" si="102"/>
        <v>0</v>
      </c>
      <c r="AN99" s="38">
        <v>21</v>
      </c>
      <c r="AO99" s="38">
        <f>H99*1</f>
        <v>0</v>
      </c>
      <c r="AP99" s="38">
        <f>H99*(1-1)</f>
        <v>0</v>
      </c>
      <c r="AQ99" s="83" t="s">
        <v>132</v>
      </c>
      <c r="AV99" s="38">
        <f t="shared" si="103"/>
        <v>0</v>
      </c>
      <c r="AW99" s="38">
        <f t="shared" si="104"/>
        <v>0</v>
      </c>
      <c r="AX99" s="38">
        <f t="shared" si="105"/>
        <v>0</v>
      </c>
      <c r="AY99" s="72" t="s">
        <v>3155</v>
      </c>
      <c r="AZ99" s="72" t="s">
        <v>3013</v>
      </c>
      <c r="BA99" s="50" t="s">
        <v>3014</v>
      </c>
      <c r="BC99" s="38">
        <f t="shared" si="106"/>
        <v>0</v>
      </c>
      <c r="BD99" s="38">
        <f t="shared" si="107"/>
        <v>0</v>
      </c>
      <c r="BE99" s="38">
        <v>0</v>
      </c>
      <c r="BF99" s="38">
        <f t="shared" si="108"/>
        <v>0</v>
      </c>
      <c r="BH99" s="80">
        <f t="shared" si="109"/>
        <v>0</v>
      </c>
      <c r="BI99" s="80">
        <f t="shared" si="110"/>
        <v>0</v>
      </c>
      <c r="BJ99" s="80">
        <f t="shared" si="111"/>
        <v>0</v>
      </c>
      <c r="BK99" s="80"/>
      <c r="BL99" s="38"/>
      <c r="BW99" s="38">
        <v>21</v>
      </c>
    </row>
    <row r="100" spans="1:75" ht="27" customHeight="1">
      <c r="A100" s="1" t="s">
        <v>553</v>
      </c>
      <c r="B100" s="2" t="s">
        <v>95</v>
      </c>
      <c r="C100" s="2" t="s">
        <v>3158</v>
      </c>
      <c r="D100" s="108" t="s">
        <v>3159</v>
      </c>
      <c r="E100" s="103"/>
      <c r="F100" s="2" t="s">
        <v>214</v>
      </c>
      <c r="G100" s="38">
        <f>'Stavební rozpočet'!G1629</f>
        <v>78</v>
      </c>
      <c r="H100" s="38">
        <f>'Stavební rozpočet'!H1629</f>
        <v>0</v>
      </c>
      <c r="I100" s="38">
        <f t="shared" si="90"/>
        <v>0</v>
      </c>
      <c r="J100" s="38">
        <f>'Stavební rozpočet'!J1629</f>
        <v>0</v>
      </c>
      <c r="K100" s="38">
        <f t="shared" si="91"/>
        <v>0</v>
      </c>
      <c r="L100" s="71" t="s">
        <v>207</v>
      </c>
      <c r="Z100" s="38">
        <f t="shared" si="92"/>
        <v>0</v>
      </c>
      <c r="AB100" s="38">
        <f t="shared" si="93"/>
        <v>0</v>
      </c>
      <c r="AC100" s="38">
        <f t="shared" si="94"/>
        <v>0</v>
      </c>
      <c r="AD100" s="38">
        <f t="shared" si="95"/>
        <v>0</v>
      </c>
      <c r="AE100" s="38">
        <f t="shared" si="96"/>
        <v>0</v>
      </c>
      <c r="AF100" s="38">
        <f t="shared" si="97"/>
        <v>0</v>
      </c>
      <c r="AG100" s="38">
        <f t="shared" si="98"/>
        <v>0</v>
      </c>
      <c r="AH100" s="38">
        <f t="shared" si="99"/>
        <v>0</v>
      </c>
      <c r="AI100" s="50" t="s">
        <v>95</v>
      </c>
      <c r="AJ100" s="38">
        <f t="shared" si="100"/>
        <v>0</v>
      </c>
      <c r="AK100" s="38">
        <f t="shared" si="101"/>
        <v>0</v>
      </c>
      <c r="AL100" s="38">
        <f t="shared" si="102"/>
        <v>0</v>
      </c>
      <c r="AN100" s="38">
        <v>21</v>
      </c>
      <c r="AO100" s="38">
        <f>H100*0</f>
        <v>0</v>
      </c>
      <c r="AP100" s="38">
        <f>H100*(1-0)</f>
        <v>0</v>
      </c>
      <c r="AQ100" s="72" t="s">
        <v>132</v>
      </c>
      <c r="AV100" s="38">
        <f t="shared" si="103"/>
        <v>0</v>
      </c>
      <c r="AW100" s="38">
        <f t="shared" si="104"/>
        <v>0</v>
      </c>
      <c r="AX100" s="38">
        <f t="shared" si="105"/>
        <v>0</v>
      </c>
      <c r="AY100" s="72" t="s">
        <v>3155</v>
      </c>
      <c r="AZ100" s="72" t="s">
        <v>3013</v>
      </c>
      <c r="BA100" s="50" t="s">
        <v>3014</v>
      </c>
      <c r="BC100" s="38">
        <f t="shared" si="106"/>
        <v>0</v>
      </c>
      <c r="BD100" s="38">
        <f t="shared" si="107"/>
        <v>0</v>
      </c>
      <c r="BE100" s="38">
        <v>0</v>
      </c>
      <c r="BF100" s="38">
        <f t="shared" si="108"/>
        <v>0</v>
      </c>
      <c r="BH100" s="38">
        <f t="shared" si="109"/>
        <v>0</v>
      </c>
      <c r="BI100" s="38">
        <f t="shared" si="110"/>
        <v>0</v>
      </c>
      <c r="BJ100" s="38">
        <f t="shared" si="111"/>
        <v>0</v>
      </c>
      <c r="BK100" s="38"/>
      <c r="BL100" s="38"/>
      <c r="BW100" s="38">
        <v>21</v>
      </c>
    </row>
    <row r="101" spans="1:75" ht="13.5" customHeight="1">
      <c r="A101" s="78" t="s">
        <v>561</v>
      </c>
      <c r="B101" s="79" t="s">
        <v>95</v>
      </c>
      <c r="C101" s="79" t="s">
        <v>3161</v>
      </c>
      <c r="D101" s="198" t="s">
        <v>3162</v>
      </c>
      <c r="E101" s="199"/>
      <c r="F101" s="79" t="s">
        <v>2661</v>
      </c>
      <c r="G101" s="80">
        <f>'Stavební rozpočet'!G1630</f>
        <v>78</v>
      </c>
      <c r="H101" s="80">
        <f>'Stavební rozpočet'!H1630</f>
        <v>0</v>
      </c>
      <c r="I101" s="80">
        <f t="shared" si="90"/>
        <v>0</v>
      </c>
      <c r="J101" s="80">
        <f>'Stavební rozpočet'!J1630</f>
        <v>0</v>
      </c>
      <c r="K101" s="80">
        <f t="shared" si="91"/>
        <v>0</v>
      </c>
      <c r="L101" s="82" t="s">
        <v>207</v>
      </c>
      <c r="Z101" s="38">
        <f t="shared" si="92"/>
        <v>0</v>
      </c>
      <c r="AB101" s="38">
        <f t="shared" si="93"/>
        <v>0</v>
      </c>
      <c r="AC101" s="38">
        <f t="shared" si="94"/>
        <v>0</v>
      </c>
      <c r="AD101" s="38">
        <f t="shared" si="95"/>
        <v>0</v>
      </c>
      <c r="AE101" s="38">
        <f t="shared" si="96"/>
        <v>0</v>
      </c>
      <c r="AF101" s="38">
        <f t="shared" si="97"/>
        <v>0</v>
      </c>
      <c r="AG101" s="38">
        <f t="shared" si="98"/>
        <v>0</v>
      </c>
      <c r="AH101" s="38">
        <f t="shared" si="99"/>
        <v>0</v>
      </c>
      <c r="AI101" s="50" t="s">
        <v>95</v>
      </c>
      <c r="AJ101" s="80">
        <f t="shared" si="100"/>
        <v>0</v>
      </c>
      <c r="AK101" s="80">
        <f t="shared" si="101"/>
        <v>0</v>
      </c>
      <c r="AL101" s="80">
        <f t="shared" si="102"/>
        <v>0</v>
      </c>
      <c r="AN101" s="38">
        <v>21</v>
      </c>
      <c r="AO101" s="38">
        <f>H101*1</f>
        <v>0</v>
      </c>
      <c r="AP101" s="38">
        <f>H101*(1-1)</f>
        <v>0</v>
      </c>
      <c r="AQ101" s="83" t="s">
        <v>132</v>
      </c>
      <c r="AV101" s="38">
        <f t="shared" si="103"/>
        <v>0</v>
      </c>
      <c r="AW101" s="38">
        <f t="shared" si="104"/>
        <v>0</v>
      </c>
      <c r="AX101" s="38">
        <f t="shared" si="105"/>
        <v>0</v>
      </c>
      <c r="AY101" s="72" t="s">
        <v>3155</v>
      </c>
      <c r="AZ101" s="72" t="s">
        <v>3013</v>
      </c>
      <c r="BA101" s="50" t="s">
        <v>3014</v>
      </c>
      <c r="BC101" s="38">
        <f t="shared" si="106"/>
        <v>0</v>
      </c>
      <c r="BD101" s="38">
        <f t="shared" si="107"/>
        <v>0</v>
      </c>
      <c r="BE101" s="38">
        <v>0</v>
      </c>
      <c r="BF101" s="38">
        <f t="shared" si="108"/>
        <v>0</v>
      </c>
      <c r="BH101" s="80">
        <f t="shared" si="109"/>
        <v>0</v>
      </c>
      <c r="BI101" s="80">
        <f t="shared" si="110"/>
        <v>0</v>
      </c>
      <c r="BJ101" s="80">
        <f t="shared" si="111"/>
        <v>0</v>
      </c>
      <c r="BK101" s="80"/>
      <c r="BL101" s="38"/>
      <c r="BW101" s="38">
        <v>21</v>
      </c>
    </row>
    <row r="102" spans="1:75" ht="13.5" customHeight="1">
      <c r="A102" s="1" t="s">
        <v>568</v>
      </c>
      <c r="B102" s="2" t="s">
        <v>95</v>
      </c>
      <c r="C102" s="2" t="s">
        <v>3019</v>
      </c>
      <c r="D102" s="108" t="s">
        <v>3020</v>
      </c>
      <c r="E102" s="103"/>
      <c r="F102" s="2" t="s">
        <v>199</v>
      </c>
      <c r="G102" s="38">
        <f>'Stavební rozpočet'!G1631</f>
        <v>1</v>
      </c>
      <c r="H102" s="38">
        <f>'Stavební rozpočet'!H1631</f>
        <v>0</v>
      </c>
      <c r="I102" s="38">
        <f t="shared" si="90"/>
        <v>0</v>
      </c>
      <c r="J102" s="38">
        <f>'Stavební rozpočet'!J1631</f>
        <v>0</v>
      </c>
      <c r="K102" s="38">
        <f t="shared" si="91"/>
        <v>0</v>
      </c>
      <c r="L102" s="71" t="s">
        <v>207</v>
      </c>
      <c r="Z102" s="38">
        <f t="shared" si="92"/>
        <v>0</v>
      </c>
      <c r="AB102" s="38">
        <f t="shared" si="93"/>
        <v>0</v>
      </c>
      <c r="AC102" s="38">
        <f t="shared" si="94"/>
        <v>0</v>
      </c>
      <c r="AD102" s="38">
        <f t="shared" si="95"/>
        <v>0</v>
      </c>
      <c r="AE102" s="38">
        <f t="shared" si="96"/>
        <v>0</v>
      </c>
      <c r="AF102" s="38">
        <f t="shared" si="97"/>
        <v>0</v>
      </c>
      <c r="AG102" s="38">
        <f t="shared" si="98"/>
        <v>0</v>
      </c>
      <c r="AH102" s="38">
        <f t="shared" si="99"/>
        <v>0</v>
      </c>
      <c r="AI102" s="50" t="s">
        <v>95</v>
      </c>
      <c r="AJ102" s="38">
        <f t="shared" si="100"/>
        <v>0</v>
      </c>
      <c r="AK102" s="38">
        <f t="shared" si="101"/>
        <v>0</v>
      </c>
      <c r="AL102" s="38">
        <f t="shared" si="102"/>
        <v>0</v>
      </c>
      <c r="AN102" s="38">
        <v>21</v>
      </c>
      <c r="AO102" s="38">
        <f>H102*0</f>
        <v>0</v>
      </c>
      <c r="AP102" s="38">
        <f>H102*(1-0)</f>
        <v>0</v>
      </c>
      <c r="AQ102" s="72" t="s">
        <v>143</v>
      </c>
      <c r="AV102" s="38">
        <f t="shared" si="103"/>
        <v>0</v>
      </c>
      <c r="AW102" s="38">
        <f t="shared" si="104"/>
        <v>0</v>
      </c>
      <c r="AX102" s="38">
        <f t="shared" si="105"/>
        <v>0</v>
      </c>
      <c r="AY102" s="72" t="s">
        <v>3155</v>
      </c>
      <c r="AZ102" s="72" t="s">
        <v>3013</v>
      </c>
      <c r="BA102" s="50" t="s">
        <v>3014</v>
      </c>
      <c r="BC102" s="38">
        <f t="shared" si="106"/>
        <v>0</v>
      </c>
      <c r="BD102" s="38">
        <f t="shared" si="107"/>
        <v>0</v>
      </c>
      <c r="BE102" s="38">
        <v>0</v>
      </c>
      <c r="BF102" s="38">
        <f t="shared" si="108"/>
        <v>0</v>
      </c>
      <c r="BH102" s="38">
        <f t="shared" si="109"/>
        <v>0</v>
      </c>
      <c r="BI102" s="38">
        <f t="shared" si="110"/>
        <v>0</v>
      </c>
      <c r="BJ102" s="38">
        <f t="shared" si="111"/>
        <v>0</v>
      </c>
      <c r="BK102" s="38"/>
      <c r="BL102" s="38"/>
      <c r="BW102" s="38">
        <v>21</v>
      </c>
    </row>
    <row r="103" spans="1:75" ht="27" customHeight="1">
      <c r="A103" s="1" t="s">
        <v>572</v>
      </c>
      <c r="B103" s="2" t="s">
        <v>95</v>
      </c>
      <c r="C103" s="2" t="s">
        <v>3023</v>
      </c>
      <c r="D103" s="108" t="s">
        <v>3165</v>
      </c>
      <c r="E103" s="103"/>
      <c r="F103" s="2" t="s">
        <v>263</v>
      </c>
      <c r="G103" s="38">
        <f>'Stavební rozpočet'!G1632</f>
        <v>0.01</v>
      </c>
      <c r="H103" s="38">
        <f>'Stavební rozpočet'!H1632</f>
        <v>0</v>
      </c>
      <c r="I103" s="38">
        <f t="shared" si="90"/>
        <v>0</v>
      </c>
      <c r="J103" s="38">
        <f>'Stavební rozpočet'!J1632</f>
        <v>0</v>
      </c>
      <c r="K103" s="38">
        <f t="shared" si="91"/>
        <v>0</v>
      </c>
      <c r="L103" s="71" t="s">
        <v>207</v>
      </c>
      <c r="Z103" s="38">
        <f t="shared" si="92"/>
        <v>0</v>
      </c>
      <c r="AB103" s="38">
        <f t="shared" si="93"/>
        <v>0</v>
      </c>
      <c r="AC103" s="38">
        <f t="shared" si="94"/>
        <v>0</v>
      </c>
      <c r="AD103" s="38">
        <f t="shared" si="95"/>
        <v>0</v>
      </c>
      <c r="AE103" s="38">
        <f t="shared" si="96"/>
        <v>0</v>
      </c>
      <c r="AF103" s="38">
        <f t="shared" si="97"/>
        <v>0</v>
      </c>
      <c r="AG103" s="38">
        <f t="shared" si="98"/>
        <v>0</v>
      </c>
      <c r="AH103" s="38">
        <f t="shared" si="99"/>
        <v>0</v>
      </c>
      <c r="AI103" s="50" t="s">
        <v>95</v>
      </c>
      <c r="AJ103" s="38">
        <f t="shared" si="100"/>
        <v>0</v>
      </c>
      <c r="AK103" s="38">
        <f t="shared" si="101"/>
        <v>0</v>
      </c>
      <c r="AL103" s="38">
        <f t="shared" si="102"/>
        <v>0</v>
      </c>
      <c r="AN103" s="38">
        <v>21</v>
      </c>
      <c r="AO103" s="38">
        <f>H103*0</f>
        <v>0</v>
      </c>
      <c r="AP103" s="38">
        <f>H103*(1-0)</f>
        <v>0</v>
      </c>
      <c r="AQ103" s="72" t="s">
        <v>132</v>
      </c>
      <c r="AV103" s="38">
        <f t="shared" si="103"/>
        <v>0</v>
      </c>
      <c r="AW103" s="38">
        <f t="shared" si="104"/>
        <v>0</v>
      </c>
      <c r="AX103" s="38">
        <f t="shared" si="105"/>
        <v>0</v>
      </c>
      <c r="AY103" s="72" t="s">
        <v>3155</v>
      </c>
      <c r="AZ103" s="72" t="s">
        <v>3013</v>
      </c>
      <c r="BA103" s="50" t="s">
        <v>3014</v>
      </c>
      <c r="BC103" s="38">
        <f t="shared" si="106"/>
        <v>0</v>
      </c>
      <c r="BD103" s="38">
        <f t="shared" si="107"/>
        <v>0</v>
      </c>
      <c r="BE103" s="38">
        <v>0</v>
      </c>
      <c r="BF103" s="38">
        <f t="shared" si="108"/>
        <v>0</v>
      </c>
      <c r="BH103" s="38">
        <f t="shared" si="109"/>
        <v>0</v>
      </c>
      <c r="BI103" s="38">
        <f t="shared" si="110"/>
        <v>0</v>
      </c>
      <c r="BJ103" s="38">
        <f t="shared" si="111"/>
        <v>0</v>
      </c>
      <c r="BK103" s="38"/>
      <c r="BL103" s="38"/>
      <c r="BW103" s="38">
        <v>21</v>
      </c>
    </row>
    <row r="104" spans="1:75" ht="13.5" customHeight="1">
      <c r="A104" s="78" t="s">
        <v>581</v>
      </c>
      <c r="B104" s="79" t="s">
        <v>95</v>
      </c>
      <c r="C104" s="79" t="s">
        <v>3027</v>
      </c>
      <c r="D104" s="198" t="s">
        <v>3028</v>
      </c>
      <c r="E104" s="199"/>
      <c r="F104" s="79" t="s">
        <v>199</v>
      </c>
      <c r="G104" s="80">
        <f>'Stavební rozpočet'!G1633</f>
        <v>1</v>
      </c>
      <c r="H104" s="80">
        <f>'Stavební rozpočet'!H1633</f>
        <v>0</v>
      </c>
      <c r="I104" s="80">
        <f t="shared" si="90"/>
        <v>0</v>
      </c>
      <c r="J104" s="80">
        <f>'Stavební rozpočet'!J1633</f>
        <v>0</v>
      </c>
      <c r="K104" s="80">
        <f t="shared" si="91"/>
        <v>0</v>
      </c>
      <c r="L104" s="82" t="s">
        <v>207</v>
      </c>
      <c r="Z104" s="38">
        <f t="shared" si="92"/>
        <v>0</v>
      </c>
      <c r="AB104" s="38">
        <f t="shared" si="93"/>
        <v>0</v>
      </c>
      <c r="AC104" s="38">
        <f t="shared" si="94"/>
        <v>0</v>
      </c>
      <c r="AD104" s="38">
        <f t="shared" si="95"/>
        <v>0</v>
      </c>
      <c r="AE104" s="38">
        <f t="shared" si="96"/>
        <v>0</v>
      </c>
      <c r="AF104" s="38">
        <f t="shared" si="97"/>
        <v>0</v>
      </c>
      <c r="AG104" s="38">
        <f t="shared" si="98"/>
        <v>0</v>
      </c>
      <c r="AH104" s="38">
        <f t="shared" si="99"/>
        <v>0</v>
      </c>
      <c r="AI104" s="50" t="s">
        <v>95</v>
      </c>
      <c r="AJ104" s="80">
        <f t="shared" si="100"/>
        <v>0</v>
      </c>
      <c r="AK104" s="80">
        <f t="shared" si="101"/>
        <v>0</v>
      </c>
      <c r="AL104" s="80">
        <f t="shared" si="102"/>
        <v>0</v>
      </c>
      <c r="AN104" s="38">
        <v>21</v>
      </c>
      <c r="AO104" s="38">
        <f>H104*1</f>
        <v>0</v>
      </c>
      <c r="AP104" s="38">
        <f>H104*(1-1)</f>
        <v>0</v>
      </c>
      <c r="AQ104" s="83" t="s">
        <v>132</v>
      </c>
      <c r="AV104" s="38">
        <f t="shared" si="103"/>
        <v>0</v>
      </c>
      <c r="AW104" s="38">
        <f t="shared" si="104"/>
        <v>0</v>
      </c>
      <c r="AX104" s="38">
        <f t="shared" si="105"/>
        <v>0</v>
      </c>
      <c r="AY104" s="72" t="s">
        <v>3155</v>
      </c>
      <c r="AZ104" s="72" t="s">
        <v>3013</v>
      </c>
      <c r="BA104" s="50" t="s">
        <v>3014</v>
      </c>
      <c r="BC104" s="38">
        <f t="shared" si="106"/>
        <v>0</v>
      </c>
      <c r="BD104" s="38">
        <f t="shared" si="107"/>
        <v>0</v>
      </c>
      <c r="BE104" s="38">
        <v>0</v>
      </c>
      <c r="BF104" s="38">
        <f t="shared" si="108"/>
        <v>0</v>
      </c>
      <c r="BH104" s="80">
        <f t="shared" si="109"/>
        <v>0</v>
      </c>
      <c r="BI104" s="80">
        <f t="shared" si="110"/>
        <v>0</v>
      </c>
      <c r="BJ104" s="80">
        <f t="shared" si="111"/>
        <v>0</v>
      </c>
      <c r="BK104" s="80"/>
      <c r="BL104" s="38"/>
      <c r="BW104" s="38">
        <v>21</v>
      </c>
    </row>
    <row r="105" spans="1:75" ht="27" customHeight="1">
      <c r="A105" s="1" t="s">
        <v>590</v>
      </c>
      <c r="B105" s="2" t="s">
        <v>95</v>
      </c>
      <c r="C105" s="2" t="s">
        <v>2669</v>
      </c>
      <c r="D105" s="108" t="s">
        <v>3029</v>
      </c>
      <c r="E105" s="103"/>
      <c r="F105" s="2" t="s">
        <v>199</v>
      </c>
      <c r="G105" s="38">
        <f>'Stavební rozpočet'!G1634</f>
        <v>5</v>
      </c>
      <c r="H105" s="38">
        <f>'Stavební rozpočet'!H1634</f>
        <v>0</v>
      </c>
      <c r="I105" s="38">
        <f t="shared" si="90"/>
        <v>0</v>
      </c>
      <c r="J105" s="38">
        <f>'Stavební rozpočet'!J1634</f>
        <v>0</v>
      </c>
      <c r="K105" s="38">
        <f t="shared" si="91"/>
        <v>0</v>
      </c>
      <c r="L105" s="71" t="s">
        <v>207</v>
      </c>
      <c r="Z105" s="38">
        <f t="shared" si="92"/>
        <v>0</v>
      </c>
      <c r="AB105" s="38">
        <f t="shared" si="93"/>
        <v>0</v>
      </c>
      <c r="AC105" s="38">
        <f t="shared" si="94"/>
        <v>0</v>
      </c>
      <c r="AD105" s="38">
        <f t="shared" si="95"/>
        <v>0</v>
      </c>
      <c r="AE105" s="38">
        <f t="shared" si="96"/>
        <v>0</v>
      </c>
      <c r="AF105" s="38">
        <f t="shared" si="97"/>
        <v>0</v>
      </c>
      <c r="AG105" s="38">
        <f t="shared" si="98"/>
        <v>0</v>
      </c>
      <c r="AH105" s="38">
        <f t="shared" si="99"/>
        <v>0</v>
      </c>
      <c r="AI105" s="50" t="s">
        <v>95</v>
      </c>
      <c r="AJ105" s="38">
        <f t="shared" si="100"/>
        <v>0</v>
      </c>
      <c r="AK105" s="38">
        <f t="shared" si="101"/>
        <v>0</v>
      </c>
      <c r="AL105" s="38">
        <f t="shared" si="102"/>
        <v>0</v>
      </c>
      <c r="AN105" s="38">
        <v>21</v>
      </c>
      <c r="AO105" s="38">
        <f>H105*0</f>
        <v>0</v>
      </c>
      <c r="AP105" s="38">
        <f>H105*(1-0)</f>
        <v>0</v>
      </c>
      <c r="AQ105" s="72" t="s">
        <v>132</v>
      </c>
      <c r="AV105" s="38">
        <f t="shared" si="103"/>
        <v>0</v>
      </c>
      <c r="AW105" s="38">
        <f t="shared" si="104"/>
        <v>0</v>
      </c>
      <c r="AX105" s="38">
        <f t="shared" si="105"/>
        <v>0</v>
      </c>
      <c r="AY105" s="72" t="s">
        <v>3155</v>
      </c>
      <c r="AZ105" s="72" t="s">
        <v>3013</v>
      </c>
      <c r="BA105" s="50" t="s">
        <v>3014</v>
      </c>
      <c r="BC105" s="38">
        <f t="shared" si="106"/>
        <v>0</v>
      </c>
      <c r="BD105" s="38">
        <f t="shared" si="107"/>
        <v>0</v>
      </c>
      <c r="BE105" s="38">
        <v>0</v>
      </c>
      <c r="BF105" s="38">
        <f t="shared" si="108"/>
        <v>0</v>
      </c>
      <c r="BH105" s="38">
        <f t="shared" si="109"/>
        <v>0</v>
      </c>
      <c r="BI105" s="38">
        <f t="shared" si="110"/>
        <v>0</v>
      </c>
      <c r="BJ105" s="38">
        <f t="shared" si="111"/>
        <v>0</v>
      </c>
      <c r="BK105" s="38"/>
      <c r="BL105" s="38"/>
      <c r="BW105" s="38">
        <v>21</v>
      </c>
    </row>
    <row r="106" spans="1:75" ht="27" customHeight="1">
      <c r="A106" s="78" t="s">
        <v>603</v>
      </c>
      <c r="B106" s="79" t="s">
        <v>95</v>
      </c>
      <c r="C106" s="79" t="s">
        <v>2672</v>
      </c>
      <c r="D106" s="198" t="s">
        <v>2673</v>
      </c>
      <c r="E106" s="199"/>
      <c r="F106" s="79" t="s">
        <v>2567</v>
      </c>
      <c r="G106" s="80">
        <f>'Stavební rozpočet'!G1635</f>
        <v>5</v>
      </c>
      <c r="H106" s="80">
        <f>'Stavební rozpočet'!H1635</f>
        <v>0</v>
      </c>
      <c r="I106" s="80">
        <f t="shared" si="90"/>
        <v>0</v>
      </c>
      <c r="J106" s="80">
        <f>'Stavební rozpočet'!J1635</f>
        <v>0</v>
      </c>
      <c r="K106" s="80">
        <f t="shared" si="91"/>
        <v>0</v>
      </c>
      <c r="L106" s="82" t="s">
        <v>207</v>
      </c>
      <c r="Z106" s="38">
        <f t="shared" si="92"/>
        <v>0</v>
      </c>
      <c r="AB106" s="38">
        <f t="shared" si="93"/>
        <v>0</v>
      </c>
      <c r="AC106" s="38">
        <f t="shared" si="94"/>
        <v>0</v>
      </c>
      <c r="AD106" s="38">
        <f t="shared" si="95"/>
        <v>0</v>
      </c>
      <c r="AE106" s="38">
        <f t="shared" si="96"/>
        <v>0</v>
      </c>
      <c r="AF106" s="38">
        <f t="shared" si="97"/>
        <v>0</v>
      </c>
      <c r="AG106" s="38">
        <f t="shared" si="98"/>
        <v>0</v>
      </c>
      <c r="AH106" s="38">
        <f t="shared" si="99"/>
        <v>0</v>
      </c>
      <c r="AI106" s="50" t="s">
        <v>95</v>
      </c>
      <c r="AJ106" s="80">
        <f t="shared" si="100"/>
        <v>0</v>
      </c>
      <c r="AK106" s="80">
        <f t="shared" si="101"/>
        <v>0</v>
      </c>
      <c r="AL106" s="80">
        <f t="shared" si="102"/>
        <v>0</v>
      </c>
      <c r="AN106" s="38">
        <v>21</v>
      </c>
      <c r="AO106" s="38">
        <f>H106*1</f>
        <v>0</v>
      </c>
      <c r="AP106" s="38">
        <f>H106*(1-1)</f>
        <v>0</v>
      </c>
      <c r="AQ106" s="83" t="s">
        <v>132</v>
      </c>
      <c r="AV106" s="38">
        <f t="shared" si="103"/>
        <v>0</v>
      </c>
      <c r="AW106" s="38">
        <f t="shared" si="104"/>
        <v>0</v>
      </c>
      <c r="AX106" s="38">
        <f t="shared" si="105"/>
        <v>0</v>
      </c>
      <c r="AY106" s="72" t="s">
        <v>3155</v>
      </c>
      <c r="AZ106" s="72" t="s">
        <v>3013</v>
      </c>
      <c r="BA106" s="50" t="s">
        <v>3014</v>
      </c>
      <c r="BC106" s="38">
        <f t="shared" si="106"/>
        <v>0</v>
      </c>
      <c r="BD106" s="38">
        <f t="shared" si="107"/>
        <v>0</v>
      </c>
      <c r="BE106" s="38">
        <v>0</v>
      </c>
      <c r="BF106" s="38">
        <f t="shared" si="108"/>
        <v>0</v>
      </c>
      <c r="BH106" s="80">
        <f t="shared" si="109"/>
        <v>0</v>
      </c>
      <c r="BI106" s="80">
        <f t="shared" si="110"/>
        <v>0</v>
      </c>
      <c r="BJ106" s="80">
        <f t="shared" si="111"/>
        <v>0</v>
      </c>
      <c r="BK106" s="80"/>
      <c r="BL106" s="38"/>
      <c r="BW106" s="38">
        <v>21</v>
      </c>
    </row>
    <row r="107" spans="1:75" ht="27" customHeight="1">
      <c r="A107" s="1" t="s">
        <v>625</v>
      </c>
      <c r="B107" s="2" t="s">
        <v>95</v>
      </c>
      <c r="C107" s="2" t="s">
        <v>2651</v>
      </c>
      <c r="D107" s="108" t="s">
        <v>3170</v>
      </c>
      <c r="E107" s="103"/>
      <c r="F107" s="2" t="s">
        <v>199</v>
      </c>
      <c r="G107" s="38">
        <f>'Stavební rozpočet'!G1636</f>
        <v>6</v>
      </c>
      <c r="H107" s="38">
        <f>'Stavební rozpočet'!H1636</f>
        <v>0</v>
      </c>
      <c r="I107" s="38">
        <f t="shared" si="90"/>
        <v>0</v>
      </c>
      <c r="J107" s="38">
        <f>'Stavební rozpočet'!J1636</f>
        <v>0</v>
      </c>
      <c r="K107" s="38">
        <f t="shared" si="91"/>
        <v>0</v>
      </c>
      <c r="L107" s="71" t="s">
        <v>207</v>
      </c>
      <c r="Z107" s="38">
        <f t="shared" si="92"/>
        <v>0</v>
      </c>
      <c r="AB107" s="38">
        <f t="shared" si="93"/>
        <v>0</v>
      </c>
      <c r="AC107" s="38">
        <f t="shared" si="94"/>
        <v>0</v>
      </c>
      <c r="AD107" s="38">
        <f t="shared" si="95"/>
        <v>0</v>
      </c>
      <c r="AE107" s="38">
        <f t="shared" si="96"/>
        <v>0</v>
      </c>
      <c r="AF107" s="38">
        <f t="shared" si="97"/>
        <v>0</v>
      </c>
      <c r="AG107" s="38">
        <f t="shared" si="98"/>
        <v>0</v>
      </c>
      <c r="AH107" s="38">
        <f t="shared" si="99"/>
        <v>0</v>
      </c>
      <c r="AI107" s="50" t="s">
        <v>95</v>
      </c>
      <c r="AJ107" s="38">
        <f t="shared" si="100"/>
        <v>0</v>
      </c>
      <c r="AK107" s="38">
        <f t="shared" si="101"/>
        <v>0</v>
      </c>
      <c r="AL107" s="38">
        <f t="shared" si="102"/>
        <v>0</v>
      </c>
      <c r="AN107" s="38">
        <v>21</v>
      </c>
      <c r="AO107" s="38">
        <f>H107*0</f>
        <v>0</v>
      </c>
      <c r="AP107" s="38">
        <f>H107*(1-0)</f>
        <v>0</v>
      </c>
      <c r="AQ107" s="72" t="s">
        <v>132</v>
      </c>
      <c r="AV107" s="38">
        <f t="shared" si="103"/>
        <v>0</v>
      </c>
      <c r="AW107" s="38">
        <f t="shared" si="104"/>
        <v>0</v>
      </c>
      <c r="AX107" s="38">
        <f t="shared" si="105"/>
        <v>0</v>
      </c>
      <c r="AY107" s="72" t="s">
        <v>3155</v>
      </c>
      <c r="AZ107" s="72" t="s">
        <v>3013</v>
      </c>
      <c r="BA107" s="50" t="s">
        <v>3014</v>
      </c>
      <c r="BC107" s="38">
        <f t="shared" si="106"/>
        <v>0</v>
      </c>
      <c r="BD107" s="38">
        <f t="shared" si="107"/>
        <v>0</v>
      </c>
      <c r="BE107" s="38">
        <v>0</v>
      </c>
      <c r="BF107" s="38">
        <f t="shared" si="108"/>
        <v>0</v>
      </c>
      <c r="BH107" s="38">
        <f t="shared" si="109"/>
        <v>0</v>
      </c>
      <c r="BI107" s="38">
        <f t="shared" si="110"/>
        <v>0</v>
      </c>
      <c r="BJ107" s="38">
        <f t="shared" si="111"/>
        <v>0</v>
      </c>
      <c r="BK107" s="38"/>
      <c r="BL107" s="38"/>
      <c r="BW107" s="38">
        <v>21</v>
      </c>
    </row>
    <row r="108" spans="1:12" ht="13.5" customHeight="1">
      <c r="A108" s="74"/>
      <c r="D108" s="194" t="s">
        <v>3171</v>
      </c>
      <c r="E108" s="195"/>
      <c r="F108" s="195"/>
      <c r="G108" s="195"/>
      <c r="H108" s="195"/>
      <c r="I108" s="195"/>
      <c r="J108" s="195"/>
      <c r="K108" s="195"/>
      <c r="L108" s="197"/>
    </row>
    <row r="109" spans="1:75" ht="13.5" customHeight="1">
      <c r="A109" s="78" t="s">
        <v>629</v>
      </c>
      <c r="B109" s="79" t="s">
        <v>95</v>
      </c>
      <c r="C109" s="79" t="s">
        <v>2653</v>
      </c>
      <c r="D109" s="198" t="s">
        <v>2654</v>
      </c>
      <c r="E109" s="199"/>
      <c r="F109" s="79" t="s">
        <v>2567</v>
      </c>
      <c r="G109" s="80">
        <f>'Stavební rozpočet'!G1638</f>
        <v>6</v>
      </c>
      <c r="H109" s="80">
        <f>'Stavební rozpočet'!H1638</f>
        <v>0</v>
      </c>
      <c r="I109" s="80">
        <f>G109*H109</f>
        <v>0</v>
      </c>
      <c r="J109" s="80">
        <f>'Stavební rozpočet'!J1638</f>
        <v>0</v>
      </c>
      <c r="K109" s="80">
        <f>G109*J109</f>
        <v>0</v>
      </c>
      <c r="L109" s="82" t="s">
        <v>207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95</v>
      </c>
      <c r="AJ109" s="80">
        <f>IF(AN109=0,I109,0)</f>
        <v>0</v>
      </c>
      <c r="AK109" s="80">
        <f>IF(AN109=12,I109,0)</f>
        <v>0</v>
      </c>
      <c r="AL109" s="80">
        <f>IF(AN109=21,I109,0)</f>
        <v>0</v>
      </c>
      <c r="AN109" s="38">
        <v>21</v>
      </c>
      <c r="AO109" s="38">
        <f>H109*1</f>
        <v>0</v>
      </c>
      <c r="AP109" s="38">
        <f>H109*(1-1)</f>
        <v>0</v>
      </c>
      <c r="AQ109" s="83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3155</v>
      </c>
      <c r="AZ109" s="72" t="s">
        <v>3013</v>
      </c>
      <c r="BA109" s="50" t="s">
        <v>3014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0</v>
      </c>
      <c r="BH109" s="80">
        <f>G109*AO109</f>
        <v>0</v>
      </c>
      <c r="BI109" s="80">
        <f>G109*AP109</f>
        <v>0</v>
      </c>
      <c r="BJ109" s="80">
        <f>G109*H109</f>
        <v>0</v>
      </c>
      <c r="BK109" s="80"/>
      <c r="BL109" s="38"/>
      <c r="BW109" s="38">
        <v>21</v>
      </c>
    </row>
    <row r="110" spans="1:75" ht="27" customHeight="1">
      <c r="A110" s="1" t="s">
        <v>638</v>
      </c>
      <c r="B110" s="2" t="s">
        <v>95</v>
      </c>
      <c r="C110" s="2" t="s">
        <v>2758</v>
      </c>
      <c r="D110" s="108" t="s">
        <v>2759</v>
      </c>
      <c r="E110" s="103"/>
      <c r="F110" s="2" t="s">
        <v>189</v>
      </c>
      <c r="G110" s="38">
        <f>'Stavební rozpočet'!G1639</f>
        <v>0.05</v>
      </c>
      <c r="H110" s="38">
        <f>'Stavební rozpočet'!H1639</f>
        <v>0</v>
      </c>
      <c r="I110" s="38">
        <f>G110*H110</f>
        <v>0</v>
      </c>
      <c r="J110" s="38">
        <f>'Stavební rozpočet'!J1639</f>
        <v>0</v>
      </c>
      <c r="K110" s="38">
        <f>G110*J110</f>
        <v>0</v>
      </c>
      <c r="L110" s="71" t="s">
        <v>207</v>
      </c>
      <c r="Z110" s="38">
        <f>IF(AQ110="5",BJ110,0)</f>
        <v>0</v>
      </c>
      <c r="AB110" s="38">
        <f>IF(AQ110="1",BH110,0)</f>
        <v>0</v>
      </c>
      <c r="AC110" s="38">
        <f>IF(AQ110="1",BI110,0)</f>
        <v>0</v>
      </c>
      <c r="AD110" s="38">
        <f>IF(AQ110="7",BH110,0)</f>
        <v>0</v>
      </c>
      <c r="AE110" s="38">
        <f>IF(AQ110="7",BI110,0)</f>
        <v>0</v>
      </c>
      <c r="AF110" s="38">
        <f>IF(AQ110="2",BH110,0)</f>
        <v>0</v>
      </c>
      <c r="AG110" s="38">
        <f>IF(AQ110="2",BI110,0)</f>
        <v>0</v>
      </c>
      <c r="AH110" s="38">
        <f>IF(AQ110="0",BJ110,0)</f>
        <v>0</v>
      </c>
      <c r="AI110" s="50" t="s">
        <v>95</v>
      </c>
      <c r="AJ110" s="38">
        <f>IF(AN110=0,I110,0)</f>
        <v>0</v>
      </c>
      <c r="AK110" s="38">
        <f>IF(AN110=12,I110,0)</f>
        <v>0</v>
      </c>
      <c r="AL110" s="38">
        <f>IF(AN110=21,I110,0)</f>
        <v>0</v>
      </c>
      <c r="AN110" s="38">
        <v>21</v>
      </c>
      <c r="AO110" s="38">
        <f>H110*0</f>
        <v>0</v>
      </c>
      <c r="AP110" s="38">
        <f>H110*(1-0)</f>
        <v>0</v>
      </c>
      <c r="AQ110" s="72" t="s">
        <v>162</v>
      </c>
      <c r="AV110" s="38">
        <f>AW110+AX110</f>
        <v>0</v>
      </c>
      <c r="AW110" s="38">
        <f>G110*AO110</f>
        <v>0</v>
      </c>
      <c r="AX110" s="38">
        <f>G110*AP110</f>
        <v>0</v>
      </c>
      <c r="AY110" s="72" t="s">
        <v>3155</v>
      </c>
      <c r="AZ110" s="72" t="s">
        <v>3013</v>
      </c>
      <c r="BA110" s="50" t="s">
        <v>3014</v>
      </c>
      <c r="BC110" s="38">
        <f>AW110+AX110</f>
        <v>0</v>
      </c>
      <c r="BD110" s="38">
        <f>H110/(100-BE110)*100</f>
        <v>0</v>
      </c>
      <c r="BE110" s="38">
        <v>0</v>
      </c>
      <c r="BF110" s="38">
        <f>K110</f>
        <v>0</v>
      </c>
      <c r="BH110" s="38">
        <f>G110*AO110</f>
        <v>0</v>
      </c>
      <c r="BI110" s="38">
        <f>G110*AP110</f>
        <v>0</v>
      </c>
      <c r="BJ110" s="38">
        <f>G110*H110</f>
        <v>0</v>
      </c>
      <c r="BK110" s="38"/>
      <c r="BL110" s="38"/>
      <c r="BW110" s="38">
        <v>21</v>
      </c>
    </row>
    <row r="111" spans="1:75" ht="27" customHeight="1">
      <c r="A111" s="1" t="s">
        <v>648</v>
      </c>
      <c r="B111" s="2" t="s">
        <v>95</v>
      </c>
      <c r="C111" s="2" t="s">
        <v>3175</v>
      </c>
      <c r="D111" s="108" t="s">
        <v>3176</v>
      </c>
      <c r="E111" s="103"/>
      <c r="F111" s="2" t="s">
        <v>199</v>
      </c>
      <c r="G111" s="38">
        <f>'Stavební rozpočet'!G1640</f>
        <v>5</v>
      </c>
      <c r="H111" s="38">
        <f>'Stavební rozpočet'!H1640</f>
        <v>0</v>
      </c>
      <c r="I111" s="38">
        <f>G111*H111</f>
        <v>0</v>
      </c>
      <c r="J111" s="38">
        <f>'Stavební rozpočet'!J1640</f>
        <v>0</v>
      </c>
      <c r="K111" s="38">
        <f>G111*J111</f>
        <v>0</v>
      </c>
      <c r="L111" s="71" t="s">
        <v>207</v>
      </c>
      <c r="Z111" s="38">
        <f>IF(AQ111="5",BJ111,0)</f>
        <v>0</v>
      </c>
      <c r="AB111" s="38">
        <f>IF(AQ111="1",BH111,0)</f>
        <v>0</v>
      </c>
      <c r="AC111" s="38">
        <f>IF(AQ111="1",BI111,0)</f>
        <v>0</v>
      </c>
      <c r="AD111" s="38">
        <f>IF(AQ111="7",BH111,0)</f>
        <v>0</v>
      </c>
      <c r="AE111" s="38">
        <f>IF(AQ111="7",BI111,0)</f>
        <v>0</v>
      </c>
      <c r="AF111" s="38">
        <f>IF(AQ111="2",BH111,0)</f>
        <v>0</v>
      </c>
      <c r="AG111" s="38">
        <f>IF(AQ111="2",BI111,0)</f>
        <v>0</v>
      </c>
      <c r="AH111" s="38">
        <f>IF(AQ111="0",BJ111,0)</f>
        <v>0</v>
      </c>
      <c r="AI111" s="50" t="s">
        <v>95</v>
      </c>
      <c r="AJ111" s="38">
        <f>IF(AN111=0,I111,0)</f>
        <v>0</v>
      </c>
      <c r="AK111" s="38">
        <f>IF(AN111=12,I111,0)</f>
        <v>0</v>
      </c>
      <c r="AL111" s="38">
        <f>IF(AN111=21,I111,0)</f>
        <v>0</v>
      </c>
      <c r="AN111" s="38">
        <v>21</v>
      </c>
      <c r="AO111" s="38">
        <f>H111*0</f>
        <v>0</v>
      </c>
      <c r="AP111" s="38">
        <f>H111*(1-0)</f>
        <v>0</v>
      </c>
      <c r="AQ111" s="72" t="s">
        <v>132</v>
      </c>
      <c r="AV111" s="38">
        <f>AW111+AX111</f>
        <v>0</v>
      </c>
      <c r="AW111" s="38">
        <f>G111*AO111</f>
        <v>0</v>
      </c>
      <c r="AX111" s="38">
        <f>G111*AP111</f>
        <v>0</v>
      </c>
      <c r="AY111" s="72" t="s">
        <v>3155</v>
      </c>
      <c r="AZ111" s="72" t="s">
        <v>3013</v>
      </c>
      <c r="BA111" s="50" t="s">
        <v>3014</v>
      </c>
      <c r="BC111" s="38">
        <f>AW111+AX111</f>
        <v>0</v>
      </c>
      <c r="BD111" s="38">
        <f>H111/(100-BE111)*100</f>
        <v>0</v>
      </c>
      <c r="BE111" s="38">
        <v>0</v>
      </c>
      <c r="BF111" s="38">
        <f>K111</f>
        <v>0</v>
      </c>
      <c r="BH111" s="38">
        <f>G111*AO111</f>
        <v>0</v>
      </c>
      <c r="BI111" s="38">
        <f>G111*AP111</f>
        <v>0</v>
      </c>
      <c r="BJ111" s="38">
        <f>G111*H111</f>
        <v>0</v>
      </c>
      <c r="BK111" s="38"/>
      <c r="BL111" s="38"/>
      <c r="BW111" s="38">
        <v>21</v>
      </c>
    </row>
    <row r="112" spans="1:12" ht="13.5" customHeight="1">
      <c r="A112" s="74"/>
      <c r="D112" s="194" t="s">
        <v>3177</v>
      </c>
      <c r="E112" s="195"/>
      <c r="F112" s="195"/>
      <c r="G112" s="195"/>
      <c r="H112" s="195"/>
      <c r="I112" s="195"/>
      <c r="J112" s="195"/>
      <c r="K112" s="195"/>
      <c r="L112" s="197"/>
    </row>
    <row r="113" spans="1:75" ht="27" customHeight="1">
      <c r="A113" s="1" t="s">
        <v>654</v>
      </c>
      <c r="B113" s="2" t="s">
        <v>95</v>
      </c>
      <c r="C113" s="2" t="s">
        <v>3033</v>
      </c>
      <c r="D113" s="108" t="s">
        <v>3034</v>
      </c>
      <c r="E113" s="103"/>
      <c r="F113" s="2" t="s">
        <v>199</v>
      </c>
      <c r="G113" s="38">
        <f>'Stavební rozpočet'!G1642</f>
        <v>5</v>
      </c>
      <c r="H113" s="38">
        <f>'Stavební rozpočet'!H1642</f>
        <v>0</v>
      </c>
      <c r="I113" s="38">
        <f>G113*H113</f>
        <v>0</v>
      </c>
      <c r="J113" s="38">
        <f>'Stavební rozpočet'!J1642</f>
        <v>0</v>
      </c>
      <c r="K113" s="38">
        <f>G113*J113</f>
        <v>0</v>
      </c>
      <c r="L113" s="71" t="s">
        <v>207</v>
      </c>
      <c r="Z113" s="38">
        <f>IF(AQ113="5",BJ113,0)</f>
        <v>0</v>
      </c>
      <c r="AB113" s="38">
        <f>IF(AQ113="1",BH113,0)</f>
        <v>0</v>
      </c>
      <c r="AC113" s="38">
        <f>IF(AQ113="1",BI113,0)</f>
        <v>0</v>
      </c>
      <c r="AD113" s="38">
        <f>IF(AQ113="7",BH113,0)</f>
        <v>0</v>
      </c>
      <c r="AE113" s="38">
        <f>IF(AQ113="7",BI113,0)</f>
        <v>0</v>
      </c>
      <c r="AF113" s="38">
        <f>IF(AQ113="2",BH113,0)</f>
        <v>0</v>
      </c>
      <c r="AG113" s="38">
        <f>IF(AQ113="2",BI113,0)</f>
        <v>0</v>
      </c>
      <c r="AH113" s="38">
        <f>IF(AQ113="0",BJ113,0)</f>
        <v>0</v>
      </c>
      <c r="AI113" s="50" t="s">
        <v>95</v>
      </c>
      <c r="AJ113" s="38">
        <f>IF(AN113=0,I113,0)</f>
        <v>0</v>
      </c>
      <c r="AK113" s="38">
        <f>IF(AN113=12,I113,0)</f>
        <v>0</v>
      </c>
      <c r="AL113" s="38">
        <f>IF(AN113=21,I113,0)</f>
        <v>0</v>
      </c>
      <c r="AN113" s="38">
        <v>21</v>
      </c>
      <c r="AO113" s="38">
        <f>H113*0</f>
        <v>0</v>
      </c>
      <c r="AP113" s="38">
        <f>H113*(1-0)</f>
        <v>0</v>
      </c>
      <c r="AQ113" s="72" t="s">
        <v>132</v>
      </c>
      <c r="AV113" s="38">
        <f>AW113+AX113</f>
        <v>0</v>
      </c>
      <c r="AW113" s="38">
        <f>G113*AO113</f>
        <v>0</v>
      </c>
      <c r="AX113" s="38">
        <f>G113*AP113</f>
        <v>0</v>
      </c>
      <c r="AY113" s="72" t="s">
        <v>3155</v>
      </c>
      <c r="AZ113" s="72" t="s">
        <v>3013</v>
      </c>
      <c r="BA113" s="50" t="s">
        <v>3014</v>
      </c>
      <c r="BC113" s="38">
        <f>AW113+AX113</f>
        <v>0</v>
      </c>
      <c r="BD113" s="38">
        <f>H113/(100-BE113)*100</f>
        <v>0</v>
      </c>
      <c r="BE113" s="38">
        <v>0</v>
      </c>
      <c r="BF113" s="38">
        <f>K113</f>
        <v>0</v>
      </c>
      <c r="BH113" s="38">
        <f>G113*AO113</f>
        <v>0</v>
      </c>
      <c r="BI113" s="38">
        <f>G113*AP113</f>
        <v>0</v>
      </c>
      <c r="BJ113" s="38">
        <f>G113*H113</f>
        <v>0</v>
      </c>
      <c r="BK113" s="38"/>
      <c r="BL113" s="38"/>
      <c r="BW113" s="38">
        <v>21</v>
      </c>
    </row>
    <row r="114" spans="1:75" ht="27" customHeight="1">
      <c r="A114" s="78" t="s">
        <v>659</v>
      </c>
      <c r="B114" s="79" t="s">
        <v>95</v>
      </c>
      <c r="C114" s="79" t="s">
        <v>3180</v>
      </c>
      <c r="D114" s="198" t="s">
        <v>3181</v>
      </c>
      <c r="E114" s="199"/>
      <c r="F114" s="79" t="s">
        <v>2567</v>
      </c>
      <c r="G114" s="80">
        <f>'Stavební rozpočet'!G1643</f>
        <v>5</v>
      </c>
      <c r="H114" s="80">
        <f>'Stavební rozpočet'!H1643</f>
        <v>0</v>
      </c>
      <c r="I114" s="80">
        <f>G114*H114</f>
        <v>0</v>
      </c>
      <c r="J114" s="80">
        <f>'Stavební rozpočet'!J1643</f>
        <v>0</v>
      </c>
      <c r="K114" s="80">
        <f>G114*J114</f>
        <v>0</v>
      </c>
      <c r="L114" s="82" t="s">
        <v>207</v>
      </c>
      <c r="Z114" s="38">
        <f>IF(AQ114="5",BJ114,0)</f>
        <v>0</v>
      </c>
      <c r="AB114" s="38">
        <f>IF(AQ114="1",BH114,0)</f>
        <v>0</v>
      </c>
      <c r="AC114" s="38">
        <f>IF(AQ114="1",BI114,0)</f>
        <v>0</v>
      </c>
      <c r="AD114" s="38">
        <f>IF(AQ114="7",BH114,0)</f>
        <v>0</v>
      </c>
      <c r="AE114" s="38">
        <f>IF(AQ114="7",BI114,0)</f>
        <v>0</v>
      </c>
      <c r="AF114" s="38">
        <f>IF(AQ114="2",BH114,0)</f>
        <v>0</v>
      </c>
      <c r="AG114" s="38">
        <f>IF(AQ114="2",BI114,0)</f>
        <v>0</v>
      </c>
      <c r="AH114" s="38">
        <f>IF(AQ114="0",BJ114,0)</f>
        <v>0</v>
      </c>
      <c r="AI114" s="50" t="s">
        <v>95</v>
      </c>
      <c r="AJ114" s="80">
        <f>IF(AN114=0,I114,0)</f>
        <v>0</v>
      </c>
      <c r="AK114" s="80">
        <f>IF(AN114=12,I114,0)</f>
        <v>0</v>
      </c>
      <c r="AL114" s="80">
        <f>IF(AN114=21,I114,0)</f>
        <v>0</v>
      </c>
      <c r="AN114" s="38">
        <v>21</v>
      </c>
      <c r="AO114" s="38">
        <f>H114*1</f>
        <v>0</v>
      </c>
      <c r="AP114" s="38">
        <f>H114*(1-1)</f>
        <v>0</v>
      </c>
      <c r="AQ114" s="83" t="s">
        <v>132</v>
      </c>
      <c r="AV114" s="38">
        <f>AW114+AX114</f>
        <v>0</v>
      </c>
      <c r="AW114" s="38">
        <f>G114*AO114</f>
        <v>0</v>
      </c>
      <c r="AX114" s="38">
        <f>G114*AP114</f>
        <v>0</v>
      </c>
      <c r="AY114" s="72" t="s">
        <v>3155</v>
      </c>
      <c r="AZ114" s="72" t="s">
        <v>3013</v>
      </c>
      <c r="BA114" s="50" t="s">
        <v>3014</v>
      </c>
      <c r="BC114" s="38">
        <f>AW114+AX114</f>
        <v>0</v>
      </c>
      <c r="BD114" s="38">
        <f>H114/(100-BE114)*100</f>
        <v>0</v>
      </c>
      <c r="BE114" s="38">
        <v>0</v>
      </c>
      <c r="BF114" s="38">
        <f>K114</f>
        <v>0</v>
      </c>
      <c r="BH114" s="80">
        <f>G114*AO114</f>
        <v>0</v>
      </c>
      <c r="BI114" s="80">
        <f>G114*AP114</f>
        <v>0</v>
      </c>
      <c r="BJ114" s="80">
        <f>G114*H114</f>
        <v>0</v>
      </c>
      <c r="BK114" s="80"/>
      <c r="BL114" s="38"/>
      <c r="BW114" s="38">
        <v>21</v>
      </c>
    </row>
    <row r="115" spans="1:75" ht="13.5" customHeight="1">
      <c r="A115" s="78" t="s">
        <v>663</v>
      </c>
      <c r="B115" s="79" t="s">
        <v>95</v>
      </c>
      <c r="C115" s="79" t="s">
        <v>2569</v>
      </c>
      <c r="D115" s="198" t="s">
        <v>2570</v>
      </c>
      <c r="E115" s="199"/>
      <c r="F115" s="79" t="s">
        <v>2567</v>
      </c>
      <c r="G115" s="80">
        <f>'Stavební rozpočet'!G1644</f>
        <v>5</v>
      </c>
      <c r="H115" s="80">
        <f>'Stavební rozpočet'!H1644</f>
        <v>0</v>
      </c>
      <c r="I115" s="80">
        <f>G115*H115</f>
        <v>0</v>
      </c>
      <c r="J115" s="80">
        <f>'Stavební rozpočet'!J1644</f>
        <v>0</v>
      </c>
      <c r="K115" s="80">
        <f>G115*J115</f>
        <v>0</v>
      </c>
      <c r="L115" s="82" t="s">
        <v>207</v>
      </c>
      <c r="Z115" s="38">
        <f>IF(AQ115="5",BJ115,0)</f>
        <v>0</v>
      </c>
      <c r="AB115" s="38">
        <f>IF(AQ115="1",BH115,0)</f>
        <v>0</v>
      </c>
      <c r="AC115" s="38">
        <f>IF(AQ115="1",BI115,0)</f>
        <v>0</v>
      </c>
      <c r="AD115" s="38">
        <f>IF(AQ115="7",BH115,0)</f>
        <v>0</v>
      </c>
      <c r="AE115" s="38">
        <f>IF(AQ115="7",BI115,0)</f>
        <v>0</v>
      </c>
      <c r="AF115" s="38">
        <f>IF(AQ115="2",BH115,0)</f>
        <v>0</v>
      </c>
      <c r="AG115" s="38">
        <f>IF(AQ115="2",BI115,0)</f>
        <v>0</v>
      </c>
      <c r="AH115" s="38">
        <f>IF(AQ115="0",BJ115,0)</f>
        <v>0</v>
      </c>
      <c r="AI115" s="50" t="s">
        <v>95</v>
      </c>
      <c r="AJ115" s="80">
        <f>IF(AN115=0,I115,0)</f>
        <v>0</v>
      </c>
      <c r="AK115" s="80">
        <f>IF(AN115=12,I115,0)</f>
        <v>0</v>
      </c>
      <c r="AL115" s="80">
        <f>IF(AN115=21,I115,0)</f>
        <v>0</v>
      </c>
      <c r="AN115" s="38">
        <v>21</v>
      </c>
      <c r="AO115" s="38">
        <f>H115*1</f>
        <v>0</v>
      </c>
      <c r="AP115" s="38">
        <f>H115*(1-1)</f>
        <v>0</v>
      </c>
      <c r="AQ115" s="83" t="s">
        <v>132</v>
      </c>
      <c r="AV115" s="38">
        <f>AW115+AX115</f>
        <v>0</v>
      </c>
      <c r="AW115" s="38">
        <f>G115*AO115</f>
        <v>0</v>
      </c>
      <c r="AX115" s="38">
        <f>G115*AP115</f>
        <v>0</v>
      </c>
      <c r="AY115" s="72" t="s">
        <v>3155</v>
      </c>
      <c r="AZ115" s="72" t="s">
        <v>3013</v>
      </c>
      <c r="BA115" s="50" t="s">
        <v>3014</v>
      </c>
      <c r="BC115" s="38">
        <f>AW115+AX115</f>
        <v>0</v>
      </c>
      <c r="BD115" s="38">
        <f>H115/(100-BE115)*100</f>
        <v>0</v>
      </c>
      <c r="BE115" s="38">
        <v>0</v>
      </c>
      <c r="BF115" s="38">
        <f>K115</f>
        <v>0</v>
      </c>
      <c r="BH115" s="80">
        <f>G115*AO115</f>
        <v>0</v>
      </c>
      <c r="BI115" s="80">
        <f>G115*AP115</f>
        <v>0</v>
      </c>
      <c r="BJ115" s="80">
        <f>G115*H115</f>
        <v>0</v>
      </c>
      <c r="BK115" s="80"/>
      <c r="BL115" s="38"/>
      <c r="BW115" s="38">
        <v>21</v>
      </c>
    </row>
    <row r="116" spans="1:75" ht="13.5" customHeight="1">
      <c r="A116" s="1" t="s">
        <v>670</v>
      </c>
      <c r="B116" s="2" t="s">
        <v>95</v>
      </c>
      <c r="C116" s="2" t="s">
        <v>3184</v>
      </c>
      <c r="D116" s="108" t="s">
        <v>3185</v>
      </c>
      <c r="E116" s="103"/>
      <c r="F116" s="2" t="s">
        <v>199</v>
      </c>
      <c r="G116" s="38">
        <f>'Stavební rozpočet'!G1645</f>
        <v>5</v>
      </c>
      <c r="H116" s="38">
        <f>'Stavební rozpočet'!H1645</f>
        <v>0</v>
      </c>
      <c r="I116" s="38">
        <f>G116*H116</f>
        <v>0</v>
      </c>
      <c r="J116" s="38">
        <f>'Stavební rozpočet'!J1645</f>
        <v>0</v>
      </c>
      <c r="K116" s="38">
        <f>G116*J116</f>
        <v>0</v>
      </c>
      <c r="L116" s="71" t="s">
        <v>207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50" t="s">
        <v>95</v>
      </c>
      <c r="AJ116" s="38">
        <f>IF(AN116=0,I116,0)</f>
        <v>0</v>
      </c>
      <c r="AK116" s="38">
        <f>IF(AN116=12,I116,0)</f>
        <v>0</v>
      </c>
      <c r="AL116" s="38">
        <f>IF(AN116=21,I116,0)</f>
        <v>0</v>
      </c>
      <c r="AN116" s="38">
        <v>21</v>
      </c>
      <c r="AO116" s="38">
        <f>H116*0</f>
        <v>0</v>
      </c>
      <c r="AP116" s="38">
        <f>H116*(1-0)</f>
        <v>0</v>
      </c>
      <c r="AQ116" s="72" t="s">
        <v>143</v>
      </c>
      <c r="AV116" s="38">
        <f>AW116+AX116</f>
        <v>0</v>
      </c>
      <c r="AW116" s="38">
        <f>G116*AO116</f>
        <v>0</v>
      </c>
      <c r="AX116" s="38">
        <f>G116*AP116</f>
        <v>0</v>
      </c>
      <c r="AY116" s="72" t="s">
        <v>3155</v>
      </c>
      <c r="AZ116" s="72" t="s">
        <v>3013</v>
      </c>
      <c r="BA116" s="50" t="s">
        <v>3014</v>
      </c>
      <c r="BC116" s="38">
        <f>AW116+AX116</f>
        <v>0</v>
      </c>
      <c r="BD116" s="38">
        <f>H116/(100-BE116)*100</f>
        <v>0</v>
      </c>
      <c r="BE116" s="38">
        <v>0</v>
      </c>
      <c r="BF116" s="38">
        <f>K116</f>
        <v>0</v>
      </c>
      <c r="BH116" s="38">
        <f>G116*AO116</f>
        <v>0</v>
      </c>
      <c r="BI116" s="38">
        <f>G116*AP116</f>
        <v>0</v>
      </c>
      <c r="BJ116" s="38">
        <f>G116*H116</f>
        <v>0</v>
      </c>
      <c r="BK116" s="38"/>
      <c r="BL116" s="38"/>
      <c r="BW116" s="38">
        <v>21</v>
      </c>
    </row>
    <row r="117" spans="1:12" ht="13.5" customHeight="1">
      <c r="A117" s="74"/>
      <c r="D117" s="194" t="s">
        <v>3186</v>
      </c>
      <c r="E117" s="195"/>
      <c r="F117" s="195"/>
      <c r="G117" s="195"/>
      <c r="H117" s="195"/>
      <c r="I117" s="195"/>
      <c r="J117" s="195"/>
      <c r="K117" s="195"/>
      <c r="L117" s="197"/>
    </row>
    <row r="118" spans="1:75" ht="27" customHeight="1">
      <c r="A118" s="78" t="s">
        <v>675</v>
      </c>
      <c r="B118" s="79" t="s">
        <v>95</v>
      </c>
      <c r="C118" s="79" t="s">
        <v>3188</v>
      </c>
      <c r="D118" s="198" t="s">
        <v>3189</v>
      </c>
      <c r="E118" s="199"/>
      <c r="F118" s="79" t="s">
        <v>2567</v>
      </c>
      <c r="G118" s="80">
        <f>'Stavební rozpočet'!G1647</f>
        <v>5</v>
      </c>
      <c r="H118" s="80">
        <f>'Stavební rozpočet'!H1647</f>
        <v>0</v>
      </c>
      <c r="I118" s="80">
        <f>G118*H118</f>
        <v>0</v>
      </c>
      <c r="J118" s="80">
        <f>'Stavební rozpočet'!J1647</f>
        <v>0</v>
      </c>
      <c r="K118" s="80">
        <f>G118*J118</f>
        <v>0</v>
      </c>
      <c r="L118" s="82" t="s">
        <v>207</v>
      </c>
      <c r="Z118" s="38">
        <f>IF(AQ118="5",BJ118,0)</f>
        <v>0</v>
      </c>
      <c r="AB118" s="38">
        <f>IF(AQ118="1",BH118,0)</f>
        <v>0</v>
      </c>
      <c r="AC118" s="38">
        <f>IF(AQ118="1",BI118,0)</f>
        <v>0</v>
      </c>
      <c r="AD118" s="38">
        <f>IF(AQ118="7",BH118,0)</f>
        <v>0</v>
      </c>
      <c r="AE118" s="38">
        <f>IF(AQ118="7",BI118,0)</f>
        <v>0</v>
      </c>
      <c r="AF118" s="38">
        <f>IF(AQ118="2",BH118,0)</f>
        <v>0</v>
      </c>
      <c r="AG118" s="38">
        <f>IF(AQ118="2",BI118,0)</f>
        <v>0</v>
      </c>
      <c r="AH118" s="38">
        <f>IF(AQ118="0",BJ118,0)</f>
        <v>0</v>
      </c>
      <c r="AI118" s="50" t="s">
        <v>95</v>
      </c>
      <c r="AJ118" s="80">
        <f>IF(AN118=0,I118,0)</f>
        <v>0</v>
      </c>
      <c r="AK118" s="80">
        <f>IF(AN118=12,I118,0)</f>
        <v>0</v>
      </c>
      <c r="AL118" s="80">
        <f>IF(AN118=21,I118,0)</f>
        <v>0</v>
      </c>
      <c r="AN118" s="38">
        <v>21</v>
      </c>
      <c r="AO118" s="38">
        <f>H118*1</f>
        <v>0</v>
      </c>
      <c r="AP118" s="38">
        <f>H118*(1-1)</f>
        <v>0</v>
      </c>
      <c r="AQ118" s="83" t="s">
        <v>132</v>
      </c>
      <c r="AV118" s="38">
        <f>AW118+AX118</f>
        <v>0</v>
      </c>
      <c r="AW118" s="38">
        <f>G118*AO118</f>
        <v>0</v>
      </c>
      <c r="AX118" s="38">
        <f>G118*AP118</f>
        <v>0</v>
      </c>
      <c r="AY118" s="72" t="s">
        <v>3155</v>
      </c>
      <c r="AZ118" s="72" t="s">
        <v>3013</v>
      </c>
      <c r="BA118" s="50" t="s">
        <v>3014</v>
      </c>
      <c r="BC118" s="38">
        <f>AW118+AX118</f>
        <v>0</v>
      </c>
      <c r="BD118" s="38">
        <f>H118/(100-BE118)*100</f>
        <v>0</v>
      </c>
      <c r="BE118" s="38">
        <v>0</v>
      </c>
      <c r="BF118" s="38">
        <f>K118</f>
        <v>0</v>
      </c>
      <c r="BH118" s="80">
        <f>G118*AO118</f>
        <v>0</v>
      </c>
      <c r="BI118" s="80">
        <f>G118*AP118</f>
        <v>0</v>
      </c>
      <c r="BJ118" s="80">
        <f>G118*H118</f>
        <v>0</v>
      </c>
      <c r="BK118" s="80"/>
      <c r="BL118" s="38"/>
      <c r="BW118" s="38">
        <v>21</v>
      </c>
    </row>
    <row r="119" spans="1:75" ht="13.5" customHeight="1">
      <c r="A119" s="1" t="s">
        <v>680</v>
      </c>
      <c r="B119" s="2" t="s">
        <v>95</v>
      </c>
      <c r="C119" s="2" t="s">
        <v>2817</v>
      </c>
      <c r="D119" s="108" t="s">
        <v>2818</v>
      </c>
      <c r="E119" s="103"/>
      <c r="F119" s="2" t="s">
        <v>2286</v>
      </c>
      <c r="G119" s="38">
        <f>'Stavební rozpočet'!G1648</f>
        <v>3</v>
      </c>
      <c r="H119" s="38">
        <f>'Stavební rozpočet'!H1648</f>
        <v>0</v>
      </c>
      <c r="I119" s="38">
        <f>G119*H119</f>
        <v>0</v>
      </c>
      <c r="J119" s="38">
        <f>'Stavební rozpočet'!J1648</f>
        <v>0</v>
      </c>
      <c r="K119" s="38">
        <f>G119*J119</f>
        <v>0</v>
      </c>
      <c r="L119" s="71" t="s">
        <v>207</v>
      </c>
      <c r="Z119" s="38">
        <f>IF(AQ119="5",BJ119,0)</f>
        <v>0</v>
      </c>
      <c r="AB119" s="38">
        <f>IF(AQ119="1",BH119,0)</f>
        <v>0</v>
      </c>
      <c r="AC119" s="38">
        <f>IF(AQ119="1",BI119,0)</f>
        <v>0</v>
      </c>
      <c r="AD119" s="38">
        <f>IF(AQ119="7",BH119,0)</f>
        <v>0</v>
      </c>
      <c r="AE119" s="38">
        <f>IF(AQ119="7",BI119,0)</f>
        <v>0</v>
      </c>
      <c r="AF119" s="38">
        <f>IF(AQ119="2",BH119,0)</f>
        <v>0</v>
      </c>
      <c r="AG119" s="38">
        <f>IF(AQ119="2",BI119,0)</f>
        <v>0</v>
      </c>
      <c r="AH119" s="38">
        <f>IF(AQ119="0",BJ119,0)</f>
        <v>0</v>
      </c>
      <c r="AI119" s="50" t="s">
        <v>95</v>
      </c>
      <c r="AJ119" s="38">
        <f>IF(AN119=0,I119,0)</f>
        <v>0</v>
      </c>
      <c r="AK119" s="38">
        <f>IF(AN119=12,I119,0)</f>
        <v>0</v>
      </c>
      <c r="AL119" s="38">
        <f>IF(AN119=21,I119,0)</f>
        <v>0</v>
      </c>
      <c r="AN119" s="38">
        <v>21</v>
      </c>
      <c r="AO119" s="38">
        <f>H119*0</f>
        <v>0</v>
      </c>
      <c r="AP119" s="38">
        <f>H119*(1-0)</f>
        <v>0</v>
      </c>
      <c r="AQ119" s="72" t="s">
        <v>132</v>
      </c>
      <c r="AV119" s="38">
        <f>AW119+AX119</f>
        <v>0</v>
      </c>
      <c r="AW119" s="38">
        <f>G119*AO119</f>
        <v>0</v>
      </c>
      <c r="AX119" s="38">
        <f>G119*AP119</f>
        <v>0</v>
      </c>
      <c r="AY119" s="72" t="s">
        <v>3155</v>
      </c>
      <c r="AZ119" s="72" t="s">
        <v>3013</v>
      </c>
      <c r="BA119" s="50" t="s">
        <v>3014</v>
      </c>
      <c r="BC119" s="38">
        <f>AW119+AX119</f>
        <v>0</v>
      </c>
      <c r="BD119" s="38">
        <f>H119/(100-BE119)*100</f>
        <v>0</v>
      </c>
      <c r="BE119" s="38">
        <v>0</v>
      </c>
      <c r="BF119" s="38">
        <f>K119</f>
        <v>0</v>
      </c>
      <c r="BH119" s="38">
        <f>G119*AO119</f>
        <v>0</v>
      </c>
      <c r="BI119" s="38">
        <f>G119*AP119</f>
        <v>0</v>
      </c>
      <c r="BJ119" s="38">
        <f>G119*H119</f>
        <v>0</v>
      </c>
      <c r="BK119" s="38"/>
      <c r="BL119" s="38"/>
      <c r="BW119" s="38">
        <v>21</v>
      </c>
    </row>
    <row r="120" spans="1:12" ht="13.5" customHeight="1">
      <c r="A120" s="74"/>
      <c r="D120" s="194" t="s">
        <v>2819</v>
      </c>
      <c r="E120" s="195"/>
      <c r="F120" s="195"/>
      <c r="G120" s="195"/>
      <c r="H120" s="195"/>
      <c r="I120" s="195"/>
      <c r="J120" s="195"/>
      <c r="K120" s="195"/>
      <c r="L120" s="197"/>
    </row>
    <row r="121" spans="1:75" ht="13.5" customHeight="1">
      <c r="A121" s="78" t="s">
        <v>691</v>
      </c>
      <c r="B121" s="79" t="s">
        <v>95</v>
      </c>
      <c r="C121" s="79" t="s">
        <v>3049</v>
      </c>
      <c r="D121" s="198" t="s">
        <v>2822</v>
      </c>
      <c r="E121" s="199"/>
      <c r="F121" s="79" t="s">
        <v>2823</v>
      </c>
      <c r="G121" s="80">
        <f>'Stavební rozpočet'!G1650</f>
        <v>1</v>
      </c>
      <c r="H121" s="80">
        <f>'Stavební rozpočet'!H1650</f>
        <v>0</v>
      </c>
      <c r="I121" s="80">
        <f>G121*H121</f>
        <v>0</v>
      </c>
      <c r="J121" s="80">
        <f>'Stavební rozpočet'!J1650</f>
        <v>0</v>
      </c>
      <c r="K121" s="80">
        <f>G121*J121</f>
        <v>0</v>
      </c>
      <c r="L121" s="82" t="s">
        <v>207</v>
      </c>
      <c r="Z121" s="38">
        <f>IF(AQ121="5",BJ121,0)</f>
        <v>0</v>
      </c>
      <c r="AB121" s="38">
        <f>IF(AQ121="1",BH121,0)</f>
        <v>0</v>
      </c>
      <c r="AC121" s="38">
        <f>IF(AQ121="1",BI121,0)</f>
        <v>0</v>
      </c>
      <c r="AD121" s="38">
        <f>IF(AQ121="7",BH121,0)</f>
        <v>0</v>
      </c>
      <c r="AE121" s="38">
        <f>IF(AQ121="7",BI121,0)</f>
        <v>0</v>
      </c>
      <c r="AF121" s="38">
        <f>IF(AQ121="2",BH121,0)</f>
        <v>0</v>
      </c>
      <c r="AG121" s="38">
        <f>IF(AQ121="2",BI121,0)</f>
        <v>0</v>
      </c>
      <c r="AH121" s="38">
        <f>IF(AQ121="0",BJ121,0)</f>
        <v>0</v>
      </c>
      <c r="AI121" s="50" t="s">
        <v>95</v>
      </c>
      <c r="AJ121" s="80">
        <f>IF(AN121=0,I121,0)</f>
        <v>0</v>
      </c>
      <c r="AK121" s="80">
        <f>IF(AN121=12,I121,0)</f>
        <v>0</v>
      </c>
      <c r="AL121" s="80">
        <f>IF(AN121=21,I121,0)</f>
        <v>0</v>
      </c>
      <c r="AN121" s="38">
        <v>21</v>
      </c>
      <c r="AO121" s="38">
        <f>H121*1</f>
        <v>0</v>
      </c>
      <c r="AP121" s="38">
        <f>H121*(1-1)</f>
        <v>0</v>
      </c>
      <c r="AQ121" s="83" t="s">
        <v>132</v>
      </c>
      <c r="AV121" s="38">
        <f>AW121+AX121</f>
        <v>0</v>
      </c>
      <c r="AW121" s="38">
        <f>G121*AO121</f>
        <v>0</v>
      </c>
      <c r="AX121" s="38">
        <f>G121*AP121</f>
        <v>0</v>
      </c>
      <c r="AY121" s="72" t="s">
        <v>3155</v>
      </c>
      <c r="AZ121" s="72" t="s">
        <v>3013</v>
      </c>
      <c r="BA121" s="50" t="s">
        <v>3014</v>
      </c>
      <c r="BC121" s="38">
        <f>AW121+AX121</f>
        <v>0</v>
      </c>
      <c r="BD121" s="38">
        <f>H121/(100-BE121)*100</f>
        <v>0</v>
      </c>
      <c r="BE121" s="38">
        <v>0</v>
      </c>
      <c r="BF121" s="38">
        <f>K121</f>
        <v>0</v>
      </c>
      <c r="BH121" s="80">
        <f>G121*AO121</f>
        <v>0</v>
      </c>
      <c r="BI121" s="80">
        <f>G121*AP121</f>
        <v>0</v>
      </c>
      <c r="BJ121" s="80">
        <f>G121*H121</f>
        <v>0</v>
      </c>
      <c r="BK121" s="80"/>
      <c r="BL121" s="38"/>
      <c r="BW121" s="38">
        <v>21</v>
      </c>
    </row>
    <row r="122" spans="1:47" ht="15">
      <c r="A122" s="65" t="s">
        <v>4</v>
      </c>
      <c r="B122" s="66" t="s">
        <v>95</v>
      </c>
      <c r="C122" s="66" t="s">
        <v>2661</v>
      </c>
      <c r="D122" s="192" t="s">
        <v>2989</v>
      </c>
      <c r="E122" s="193"/>
      <c r="F122" s="67" t="s">
        <v>78</v>
      </c>
      <c r="G122" s="67" t="s">
        <v>78</v>
      </c>
      <c r="H122" s="67" t="s">
        <v>78</v>
      </c>
      <c r="I122" s="44">
        <f>SUM(I123:I129)</f>
        <v>0</v>
      </c>
      <c r="J122" s="50" t="s">
        <v>4</v>
      </c>
      <c r="K122" s="44">
        <f>SUM(K123:K129)</f>
        <v>0</v>
      </c>
      <c r="L122" s="69" t="s">
        <v>4</v>
      </c>
      <c r="AI122" s="50" t="s">
        <v>95</v>
      </c>
      <c r="AS122" s="44">
        <f>SUM(AJ123:AJ129)</f>
        <v>0</v>
      </c>
      <c r="AT122" s="44">
        <f>SUM(AK123:AK129)</f>
        <v>0</v>
      </c>
      <c r="AU122" s="44">
        <f>SUM(AL123:AL129)</f>
        <v>0</v>
      </c>
    </row>
    <row r="123" spans="1:75" ht="27" customHeight="1">
      <c r="A123" s="1" t="s">
        <v>696</v>
      </c>
      <c r="B123" s="2" t="s">
        <v>95</v>
      </c>
      <c r="C123" s="2" t="s">
        <v>2995</v>
      </c>
      <c r="D123" s="108" t="s">
        <v>2996</v>
      </c>
      <c r="E123" s="103"/>
      <c r="F123" s="2" t="s">
        <v>199</v>
      </c>
      <c r="G123" s="38">
        <f>'Stavební rozpočet'!G1652</f>
        <v>39</v>
      </c>
      <c r="H123" s="38">
        <f>'Stavební rozpočet'!H1652</f>
        <v>0</v>
      </c>
      <c r="I123" s="38">
        <f>G123*H123</f>
        <v>0</v>
      </c>
      <c r="J123" s="38">
        <f>'Stavební rozpočet'!J1652</f>
        <v>0</v>
      </c>
      <c r="K123" s="38">
        <f>G123*J123</f>
        <v>0</v>
      </c>
      <c r="L123" s="71" t="s">
        <v>207</v>
      </c>
      <c r="Z123" s="38">
        <f>IF(AQ123="5",BJ123,0)</f>
        <v>0</v>
      </c>
      <c r="AB123" s="38">
        <f>IF(AQ123="1",BH123,0)</f>
        <v>0</v>
      </c>
      <c r="AC123" s="38">
        <f>IF(AQ123="1",BI123,0)</f>
        <v>0</v>
      </c>
      <c r="AD123" s="38">
        <f>IF(AQ123="7",BH123,0)</f>
        <v>0</v>
      </c>
      <c r="AE123" s="38">
        <f>IF(AQ123="7",BI123,0)</f>
        <v>0</v>
      </c>
      <c r="AF123" s="38">
        <f>IF(AQ123="2",BH123,0)</f>
        <v>0</v>
      </c>
      <c r="AG123" s="38">
        <f>IF(AQ123="2",BI123,0)</f>
        <v>0</v>
      </c>
      <c r="AH123" s="38">
        <f>IF(AQ123="0",BJ123,0)</f>
        <v>0</v>
      </c>
      <c r="AI123" s="50" t="s">
        <v>95</v>
      </c>
      <c r="AJ123" s="38">
        <f>IF(AN123=0,I123,0)</f>
        <v>0</v>
      </c>
      <c r="AK123" s="38">
        <f>IF(AN123=12,I123,0)</f>
        <v>0</v>
      </c>
      <c r="AL123" s="38">
        <f>IF(AN123=21,I123,0)</f>
        <v>0</v>
      </c>
      <c r="AN123" s="38">
        <v>21</v>
      </c>
      <c r="AO123" s="38">
        <f>H123*0</f>
        <v>0</v>
      </c>
      <c r="AP123" s="38">
        <f>H123*(1-0)</f>
        <v>0</v>
      </c>
      <c r="AQ123" s="72" t="s">
        <v>143</v>
      </c>
      <c r="AV123" s="38">
        <f>AW123+AX123</f>
        <v>0</v>
      </c>
      <c r="AW123" s="38">
        <f>G123*AO123</f>
        <v>0</v>
      </c>
      <c r="AX123" s="38">
        <f>G123*AP123</f>
        <v>0</v>
      </c>
      <c r="AY123" s="72" t="s">
        <v>2993</v>
      </c>
      <c r="AZ123" s="72" t="s">
        <v>3013</v>
      </c>
      <c r="BA123" s="50" t="s">
        <v>3014</v>
      </c>
      <c r="BC123" s="38">
        <f>AW123+AX123</f>
        <v>0</v>
      </c>
      <c r="BD123" s="38">
        <f>H123/(100-BE123)*100</f>
        <v>0</v>
      </c>
      <c r="BE123" s="38">
        <v>0</v>
      </c>
      <c r="BF123" s="38">
        <f>K123</f>
        <v>0</v>
      </c>
      <c r="BH123" s="38">
        <f>G123*AO123</f>
        <v>0</v>
      </c>
      <c r="BI123" s="38">
        <f>G123*AP123</f>
        <v>0</v>
      </c>
      <c r="BJ123" s="38">
        <f>G123*H123</f>
        <v>0</v>
      </c>
      <c r="BK123" s="38"/>
      <c r="BL123" s="38"/>
      <c r="BW123" s="38">
        <v>21</v>
      </c>
    </row>
    <row r="124" spans="1:12" ht="13.5" customHeight="1">
      <c r="A124" s="74"/>
      <c r="D124" s="194" t="s">
        <v>3193</v>
      </c>
      <c r="E124" s="195"/>
      <c r="F124" s="195"/>
      <c r="G124" s="195"/>
      <c r="H124" s="195"/>
      <c r="I124" s="195"/>
      <c r="J124" s="195"/>
      <c r="K124" s="195"/>
      <c r="L124" s="197"/>
    </row>
    <row r="125" spans="1:12" ht="15">
      <c r="A125" s="74"/>
      <c r="D125" s="75" t="s">
        <v>191</v>
      </c>
      <c r="E125" s="75" t="s">
        <v>3194</v>
      </c>
      <c r="G125" s="76">
        <v>11</v>
      </c>
      <c r="L125" s="77"/>
    </row>
    <row r="126" spans="1:12" ht="15">
      <c r="A126" s="74"/>
      <c r="D126" s="75" t="s">
        <v>166</v>
      </c>
      <c r="E126" s="75" t="s">
        <v>3195</v>
      </c>
      <c r="G126" s="76">
        <v>6</v>
      </c>
      <c r="L126" s="77"/>
    </row>
    <row r="127" spans="1:12" ht="15">
      <c r="A127" s="74"/>
      <c r="D127" s="75" t="s">
        <v>191</v>
      </c>
      <c r="E127" s="75" t="s">
        <v>3196</v>
      </c>
      <c r="G127" s="76">
        <v>11</v>
      </c>
      <c r="L127" s="77"/>
    </row>
    <row r="128" spans="1:12" ht="15">
      <c r="A128" s="74"/>
      <c r="D128" s="75" t="s">
        <v>191</v>
      </c>
      <c r="E128" s="75" t="s">
        <v>3197</v>
      </c>
      <c r="G128" s="76">
        <v>11</v>
      </c>
      <c r="L128" s="77"/>
    </row>
    <row r="129" spans="1:75" ht="27" customHeight="1">
      <c r="A129" s="1" t="s">
        <v>701</v>
      </c>
      <c r="B129" s="2" t="s">
        <v>95</v>
      </c>
      <c r="C129" s="2" t="s">
        <v>2991</v>
      </c>
      <c r="D129" s="108" t="s">
        <v>2992</v>
      </c>
      <c r="E129" s="103"/>
      <c r="F129" s="2" t="s">
        <v>214</v>
      </c>
      <c r="G129" s="38">
        <f>'Stavební rozpočet'!G1658</f>
        <v>460</v>
      </c>
      <c r="H129" s="38">
        <f>'Stavební rozpočet'!H1658</f>
        <v>0</v>
      </c>
      <c r="I129" s="38">
        <f>G129*H129</f>
        <v>0</v>
      </c>
      <c r="J129" s="38">
        <f>'Stavební rozpočet'!J1658</f>
        <v>0</v>
      </c>
      <c r="K129" s="38">
        <f>G129*J129</f>
        <v>0</v>
      </c>
      <c r="L129" s="71" t="s">
        <v>207</v>
      </c>
      <c r="Z129" s="38">
        <f>IF(AQ129="5",BJ129,0)</f>
        <v>0</v>
      </c>
      <c r="AB129" s="38">
        <f>IF(AQ129="1",BH129,0)</f>
        <v>0</v>
      </c>
      <c r="AC129" s="38">
        <f>IF(AQ129="1",BI129,0)</f>
        <v>0</v>
      </c>
      <c r="AD129" s="38">
        <f>IF(AQ129="7",BH129,0)</f>
        <v>0</v>
      </c>
      <c r="AE129" s="38">
        <f>IF(AQ129="7",BI129,0)</f>
        <v>0</v>
      </c>
      <c r="AF129" s="38">
        <f>IF(AQ129="2",BH129,0)</f>
        <v>0</v>
      </c>
      <c r="AG129" s="38">
        <f>IF(AQ129="2",BI129,0)</f>
        <v>0</v>
      </c>
      <c r="AH129" s="38">
        <f>IF(AQ129="0",BJ129,0)</f>
        <v>0</v>
      </c>
      <c r="AI129" s="50" t="s">
        <v>95</v>
      </c>
      <c r="AJ129" s="38">
        <f>IF(AN129=0,I129,0)</f>
        <v>0</v>
      </c>
      <c r="AK129" s="38">
        <f>IF(AN129=12,I129,0)</f>
        <v>0</v>
      </c>
      <c r="AL129" s="38">
        <f>IF(AN129=21,I129,0)</f>
        <v>0</v>
      </c>
      <c r="AN129" s="38">
        <v>21</v>
      </c>
      <c r="AO129" s="38">
        <f>H129*0</f>
        <v>0</v>
      </c>
      <c r="AP129" s="38">
        <f>H129*(1-0)</f>
        <v>0</v>
      </c>
      <c r="AQ129" s="72" t="s">
        <v>143</v>
      </c>
      <c r="AV129" s="38">
        <f>AW129+AX129</f>
        <v>0</v>
      </c>
      <c r="AW129" s="38">
        <f>G129*AO129</f>
        <v>0</v>
      </c>
      <c r="AX129" s="38">
        <f>G129*AP129</f>
        <v>0</v>
      </c>
      <c r="AY129" s="72" t="s">
        <v>2993</v>
      </c>
      <c r="AZ129" s="72" t="s">
        <v>3013</v>
      </c>
      <c r="BA129" s="50" t="s">
        <v>3014</v>
      </c>
      <c r="BC129" s="38">
        <f>AW129+AX129</f>
        <v>0</v>
      </c>
      <c r="BD129" s="38">
        <f>H129/(100-BE129)*100</f>
        <v>0</v>
      </c>
      <c r="BE129" s="38">
        <v>0</v>
      </c>
      <c r="BF129" s="38">
        <f>K129</f>
        <v>0</v>
      </c>
      <c r="BH129" s="38">
        <f>G129*AO129</f>
        <v>0</v>
      </c>
      <c r="BI129" s="38">
        <f>G129*AP129</f>
        <v>0</v>
      </c>
      <c r="BJ129" s="38">
        <f>G129*H129</f>
        <v>0</v>
      </c>
      <c r="BK129" s="38"/>
      <c r="BL129" s="38"/>
      <c r="BW129" s="38">
        <v>21</v>
      </c>
    </row>
    <row r="130" spans="1:12" ht="13.5" customHeight="1">
      <c r="A130" s="74"/>
      <c r="D130" s="194" t="s">
        <v>3193</v>
      </c>
      <c r="E130" s="195"/>
      <c r="F130" s="195"/>
      <c r="G130" s="195"/>
      <c r="H130" s="195"/>
      <c r="I130" s="195"/>
      <c r="J130" s="195"/>
      <c r="K130" s="195"/>
      <c r="L130" s="197"/>
    </row>
    <row r="131" spans="1:12" ht="15">
      <c r="A131" s="74"/>
      <c r="D131" s="75" t="s">
        <v>1246</v>
      </c>
      <c r="E131" s="75" t="s">
        <v>3194</v>
      </c>
      <c r="G131" s="76">
        <v>212</v>
      </c>
      <c r="L131" s="77"/>
    </row>
    <row r="132" spans="1:12" ht="15">
      <c r="A132" s="74"/>
      <c r="D132" s="75" t="s">
        <v>280</v>
      </c>
      <c r="E132" s="75" t="s">
        <v>3195</v>
      </c>
      <c r="G132" s="76">
        <v>25</v>
      </c>
      <c r="L132" s="77"/>
    </row>
    <row r="133" spans="1:12" ht="15">
      <c r="A133" s="74"/>
      <c r="D133" s="75" t="s">
        <v>762</v>
      </c>
      <c r="E133" s="75" t="s">
        <v>3196</v>
      </c>
      <c r="G133" s="76">
        <v>103</v>
      </c>
      <c r="L133" s="77"/>
    </row>
    <row r="134" spans="1:12" ht="15">
      <c r="A134" s="74"/>
      <c r="D134" s="75" t="s">
        <v>831</v>
      </c>
      <c r="E134" s="75" t="s">
        <v>3197</v>
      </c>
      <c r="G134" s="76">
        <v>120</v>
      </c>
      <c r="L134" s="77"/>
    </row>
    <row r="135" spans="1:47" ht="15">
      <c r="A135" s="65" t="s">
        <v>4</v>
      </c>
      <c r="B135" s="66" t="s">
        <v>95</v>
      </c>
      <c r="C135" s="66" t="s">
        <v>696</v>
      </c>
      <c r="D135" s="192" t="s">
        <v>1959</v>
      </c>
      <c r="E135" s="193"/>
      <c r="F135" s="67" t="s">
        <v>78</v>
      </c>
      <c r="G135" s="67" t="s">
        <v>78</v>
      </c>
      <c r="H135" s="67" t="s">
        <v>78</v>
      </c>
      <c r="I135" s="44">
        <f>SUM(I136:I154)</f>
        <v>0</v>
      </c>
      <c r="J135" s="50" t="s">
        <v>4</v>
      </c>
      <c r="K135" s="44">
        <f>SUM(K136:K154)</f>
        <v>0</v>
      </c>
      <c r="L135" s="69" t="s">
        <v>4</v>
      </c>
      <c r="AI135" s="50" t="s">
        <v>95</v>
      </c>
      <c r="AS135" s="44">
        <f>SUM(AJ136:AJ154)</f>
        <v>0</v>
      </c>
      <c r="AT135" s="44">
        <f>SUM(AK136:AK154)</f>
        <v>0</v>
      </c>
      <c r="AU135" s="44">
        <f>SUM(AL136:AL154)</f>
        <v>0</v>
      </c>
    </row>
    <row r="136" spans="1:75" ht="27" customHeight="1">
      <c r="A136" s="1" t="s">
        <v>705</v>
      </c>
      <c r="B136" s="2" t="s">
        <v>95</v>
      </c>
      <c r="C136" s="2" t="s">
        <v>2998</v>
      </c>
      <c r="D136" s="108" t="s">
        <v>2999</v>
      </c>
      <c r="E136" s="103"/>
      <c r="F136" s="2" t="s">
        <v>2286</v>
      </c>
      <c r="G136" s="38">
        <f>'Stavební rozpočet'!G1665</f>
        <v>20</v>
      </c>
      <c r="H136" s="38">
        <f>'Stavební rozpočet'!H1665</f>
        <v>0</v>
      </c>
      <c r="I136" s="38">
        <f>G136*H136</f>
        <v>0</v>
      </c>
      <c r="J136" s="38">
        <f>'Stavební rozpočet'!J1665</f>
        <v>0</v>
      </c>
      <c r="K136" s="38">
        <f>G136*J136</f>
        <v>0</v>
      </c>
      <c r="L136" s="71" t="s">
        <v>207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50" t="s">
        <v>95</v>
      </c>
      <c r="AJ136" s="38">
        <f>IF(AN136=0,I136,0)</f>
        <v>0</v>
      </c>
      <c r="AK136" s="38">
        <f>IF(AN136=12,I136,0)</f>
        <v>0</v>
      </c>
      <c r="AL136" s="38">
        <f>IF(AN136=21,I136,0)</f>
        <v>0</v>
      </c>
      <c r="AN136" s="38">
        <v>21</v>
      </c>
      <c r="AO136" s="38">
        <f>H136*0</f>
        <v>0</v>
      </c>
      <c r="AP136" s="38">
        <f>H136*(1-0)</f>
        <v>0</v>
      </c>
      <c r="AQ136" s="72" t="s">
        <v>132</v>
      </c>
      <c r="AV136" s="38">
        <f>AW136+AX136</f>
        <v>0</v>
      </c>
      <c r="AW136" s="38">
        <f>G136*AO136</f>
        <v>0</v>
      </c>
      <c r="AX136" s="38">
        <f>G136*AP136</f>
        <v>0</v>
      </c>
      <c r="AY136" s="72" t="s">
        <v>1964</v>
      </c>
      <c r="AZ136" s="72" t="s">
        <v>3013</v>
      </c>
      <c r="BA136" s="50" t="s">
        <v>3014</v>
      </c>
      <c r="BC136" s="38">
        <f>AW136+AX136</f>
        <v>0</v>
      </c>
      <c r="BD136" s="38">
        <f>H136/(100-BE136)*100</f>
        <v>0</v>
      </c>
      <c r="BE136" s="38">
        <v>0</v>
      </c>
      <c r="BF136" s="38">
        <f>K136</f>
        <v>0</v>
      </c>
      <c r="BH136" s="38">
        <f>G136*AO136</f>
        <v>0</v>
      </c>
      <c r="BI136" s="38">
        <f>G136*AP136</f>
        <v>0</v>
      </c>
      <c r="BJ136" s="38">
        <f>G136*H136</f>
        <v>0</v>
      </c>
      <c r="BK136" s="38"/>
      <c r="BL136" s="38">
        <v>90</v>
      </c>
      <c r="BW136" s="38">
        <v>21</v>
      </c>
    </row>
    <row r="137" spans="1:12" ht="13.5" customHeight="1">
      <c r="A137" s="74"/>
      <c r="D137" s="194" t="s">
        <v>3200</v>
      </c>
      <c r="E137" s="195"/>
      <c r="F137" s="195"/>
      <c r="G137" s="195"/>
      <c r="H137" s="195"/>
      <c r="I137" s="195"/>
      <c r="J137" s="195"/>
      <c r="K137" s="195"/>
      <c r="L137" s="197"/>
    </row>
    <row r="138" spans="1:12" ht="15">
      <c r="A138" s="74"/>
      <c r="D138" s="75" t="s">
        <v>186</v>
      </c>
      <c r="E138" s="75" t="s">
        <v>3194</v>
      </c>
      <c r="G138" s="76">
        <v>10</v>
      </c>
      <c r="L138" s="77"/>
    </row>
    <row r="139" spans="1:12" ht="15">
      <c r="A139" s="74"/>
      <c r="D139" s="75" t="s">
        <v>143</v>
      </c>
      <c r="E139" s="75" t="s">
        <v>3195</v>
      </c>
      <c r="G139" s="76">
        <v>2</v>
      </c>
      <c r="L139" s="77"/>
    </row>
    <row r="140" spans="1:12" ht="15">
      <c r="A140" s="74"/>
      <c r="D140" s="75" t="s">
        <v>157</v>
      </c>
      <c r="E140" s="75" t="s">
        <v>3196</v>
      </c>
      <c r="G140" s="76">
        <v>4</v>
      </c>
      <c r="L140" s="77"/>
    </row>
    <row r="141" spans="1:12" ht="15">
      <c r="A141" s="74"/>
      <c r="D141" s="75" t="s">
        <v>157</v>
      </c>
      <c r="E141" s="75" t="s">
        <v>3197</v>
      </c>
      <c r="G141" s="76">
        <v>4</v>
      </c>
      <c r="L141" s="77"/>
    </row>
    <row r="142" spans="1:75" ht="27" customHeight="1">
      <c r="A142" s="1" t="s">
        <v>710</v>
      </c>
      <c r="B142" s="2" t="s">
        <v>95</v>
      </c>
      <c r="C142" s="2" t="s">
        <v>2998</v>
      </c>
      <c r="D142" s="108" t="s">
        <v>2999</v>
      </c>
      <c r="E142" s="103"/>
      <c r="F142" s="2" t="s">
        <v>2286</v>
      </c>
      <c r="G142" s="38">
        <f>'Stavební rozpočet'!G1671</f>
        <v>20</v>
      </c>
      <c r="H142" s="38">
        <f>'Stavební rozpočet'!H1671</f>
        <v>0</v>
      </c>
      <c r="I142" s="38">
        <f>G142*H142</f>
        <v>0</v>
      </c>
      <c r="J142" s="38">
        <f>'Stavební rozpočet'!J1671</f>
        <v>0</v>
      </c>
      <c r="K142" s="38">
        <f>G142*J142</f>
        <v>0</v>
      </c>
      <c r="L142" s="71" t="s">
        <v>207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50" t="s">
        <v>95</v>
      </c>
      <c r="AJ142" s="38">
        <f>IF(AN142=0,I142,0)</f>
        <v>0</v>
      </c>
      <c r="AK142" s="38">
        <f>IF(AN142=12,I142,0)</f>
        <v>0</v>
      </c>
      <c r="AL142" s="38">
        <f>IF(AN142=21,I142,0)</f>
        <v>0</v>
      </c>
      <c r="AN142" s="38">
        <v>21</v>
      </c>
      <c r="AO142" s="38">
        <f>H142*0</f>
        <v>0</v>
      </c>
      <c r="AP142" s="38">
        <f>H142*(1-0)</f>
        <v>0</v>
      </c>
      <c r="AQ142" s="72" t="s">
        <v>132</v>
      </c>
      <c r="AV142" s="38">
        <f>AW142+AX142</f>
        <v>0</v>
      </c>
      <c r="AW142" s="38">
        <f>G142*AO142</f>
        <v>0</v>
      </c>
      <c r="AX142" s="38">
        <f>G142*AP142</f>
        <v>0</v>
      </c>
      <c r="AY142" s="72" t="s">
        <v>1964</v>
      </c>
      <c r="AZ142" s="72" t="s">
        <v>3013</v>
      </c>
      <c r="BA142" s="50" t="s">
        <v>3014</v>
      </c>
      <c r="BC142" s="38">
        <f>AW142+AX142</f>
        <v>0</v>
      </c>
      <c r="BD142" s="38">
        <f>H142/(100-BE142)*100</f>
        <v>0</v>
      </c>
      <c r="BE142" s="38">
        <v>0</v>
      </c>
      <c r="BF142" s="38">
        <f>K142</f>
        <v>0</v>
      </c>
      <c r="BH142" s="38">
        <f>G142*AO142</f>
        <v>0</v>
      </c>
      <c r="BI142" s="38">
        <f>G142*AP142</f>
        <v>0</v>
      </c>
      <c r="BJ142" s="38">
        <f>G142*H142</f>
        <v>0</v>
      </c>
      <c r="BK142" s="38"/>
      <c r="BL142" s="38">
        <v>90</v>
      </c>
      <c r="BW142" s="38">
        <v>21</v>
      </c>
    </row>
    <row r="143" spans="1:12" ht="13.5" customHeight="1">
      <c r="A143" s="74"/>
      <c r="D143" s="194" t="s">
        <v>3202</v>
      </c>
      <c r="E143" s="195"/>
      <c r="F143" s="195"/>
      <c r="G143" s="195"/>
      <c r="H143" s="195"/>
      <c r="I143" s="195"/>
      <c r="J143" s="195"/>
      <c r="K143" s="195"/>
      <c r="L143" s="197"/>
    </row>
    <row r="144" spans="1:12" ht="15">
      <c r="A144" s="74"/>
      <c r="D144" s="75" t="s">
        <v>186</v>
      </c>
      <c r="E144" s="75" t="s">
        <v>3194</v>
      </c>
      <c r="G144" s="76">
        <v>10</v>
      </c>
      <c r="L144" s="77"/>
    </row>
    <row r="145" spans="1:12" ht="15">
      <c r="A145" s="74"/>
      <c r="D145" s="75" t="s">
        <v>143</v>
      </c>
      <c r="E145" s="75" t="s">
        <v>3195</v>
      </c>
      <c r="G145" s="76">
        <v>2</v>
      </c>
      <c r="L145" s="77"/>
    </row>
    <row r="146" spans="1:12" ht="15">
      <c r="A146" s="74"/>
      <c r="D146" s="75" t="s">
        <v>157</v>
      </c>
      <c r="E146" s="75" t="s">
        <v>3196</v>
      </c>
      <c r="G146" s="76">
        <v>4</v>
      </c>
      <c r="L146" s="77"/>
    </row>
    <row r="147" spans="1:12" ht="15">
      <c r="A147" s="74"/>
      <c r="D147" s="75" t="s">
        <v>157</v>
      </c>
      <c r="E147" s="75" t="s">
        <v>3197</v>
      </c>
      <c r="G147" s="76">
        <v>4</v>
      </c>
      <c r="L147" s="77"/>
    </row>
    <row r="148" spans="1:75" ht="13.5" customHeight="1">
      <c r="A148" s="1" t="s">
        <v>715</v>
      </c>
      <c r="B148" s="2" t="s">
        <v>95</v>
      </c>
      <c r="C148" s="2" t="s">
        <v>3004</v>
      </c>
      <c r="D148" s="108" t="s">
        <v>3005</v>
      </c>
      <c r="E148" s="103"/>
      <c r="F148" s="2" t="s">
        <v>2286</v>
      </c>
      <c r="G148" s="38">
        <f>'Stavební rozpočet'!G1677</f>
        <v>20</v>
      </c>
      <c r="H148" s="38">
        <f>'Stavební rozpočet'!H1677</f>
        <v>0</v>
      </c>
      <c r="I148" s="38">
        <f>G148*H148</f>
        <v>0</v>
      </c>
      <c r="J148" s="38">
        <f>'Stavební rozpočet'!J1677</f>
        <v>0</v>
      </c>
      <c r="K148" s="38">
        <f>G148*J148</f>
        <v>0</v>
      </c>
      <c r="L148" s="71" t="s">
        <v>207</v>
      </c>
      <c r="Z148" s="38">
        <f>IF(AQ148="5",BJ148,0)</f>
        <v>0</v>
      </c>
      <c r="AB148" s="38">
        <f>IF(AQ148="1",BH148,0)</f>
        <v>0</v>
      </c>
      <c r="AC148" s="38">
        <f>IF(AQ148="1",BI148,0)</f>
        <v>0</v>
      </c>
      <c r="AD148" s="38">
        <f>IF(AQ148="7",BH148,0)</f>
        <v>0</v>
      </c>
      <c r="AE148" s="38">
        <f>IF(AQ148="7",BI148,0)</f>
        <v>0</v>
      </c>
      <c r="AF148" s="38">
        <f>IF(AQ148="2",BH148,0)</f>
        <v>0</v>
      </c>
      <c r="AG148" s="38">
        <f>IF(AQ148="2",BI148,0)</f>
        <v>0</v>
      </c>
      <c r="AH148" s="38">
        <f>IF(AQ148="0",BJ148,0)</f>
        <v>0</v>
      </c>
      <c r="AI148" s="50" t="s">
        <v>95</v>
      </c>
      <c r="AJ148" s="38">
        <f>IF(AN148=0,I148,0)</f>
        <v>0</v>
      </c>
      <c r="AK148" s="38">
        <f>IF(AN148=12,I148,0)</f>
        <v>0</v>
      </c>
      <c r="AL148" s="38">
        <f>IF(AN148=21,I148,0)</f>
        <v>0</v>
      </c>
      <c r="AN148" s="38">
        <v>21</v>
      </c>
      <c r="AO148" s="38">
        <f>H148*0</f>
        <v>0</v>
      </c>
      <c r="AP148" s="38">
        <f>H148*(1-0)</f>
        <v>0</v>
      </c>
      <c r="AQ148" s="72" t="s">
        <v>132</v>
      </c>
      <c r="AV148" s="38">
        <f>AW148+AX148</f>
        <v>0</v>
      </c>
      <c r="AW148" s="38">
        <f>G148*AO148</f>
        <v>0</v>
      </c>
      <c r="AX148" s="38">
        <f>G148*AP148</f>
        <v>0</v>
      </c>
      <c r="AY148" s="72" t="s">
        <v>1964</v>
      </c>
      <c r="AZ148" s="72" t="s">
        <v>3013</v>
      </c>
      <c r="BA148" s="50" t="s">
        <v>3014</v>
      </c>
      <c r="BC148" s="38">
        <f>AW148+AX148</f>
        <v>0</v>
      </c>
      <c r="BD148" s="38">
        <f>H148/(100-BE148)*100</f>
        <v>0</v>
      </c>
      <c r="BE148" s="38">
        <v>0</v>
      </c>
      <c r="BF148" s="38">
        <f>K148</f>
        <v>0</v>
      </c>
      <c r="BH148" s="38">
        <f>G148*AO148</f>
        <v>0</v>
      </c>
      <c r="BI148" s="38">
        <f>G148*AP148</f>
        <v>0</v>
      </c>
      <c r="BJ148" s="38">
        <f>G148*H148</f>
        <v>0</v>
      </c>
      <c r="BK148" s="38"/>
      <c r="BL148" s="38">
        <v>90</v>
      </c>
      <c r="BW148" s="38">
        <v>21</v>
      </c>
    </row>
    <row r="149" spans="1:12" ht="13.5" customHeight="1">
      <c r="A149" s="74"/>
      <c r="D149" s="194" t="s">
        <v>3204</v>
      </c>
      <c r="E149" s="195"/>
      <c r="F149" s="195"/>
      <c r="G149" s="195"/>
      <c r="H149" s="195"/>
      <c r="I149" s="195"/>
      <c r="J149" s="195"/>
      <c r="K149" s="195"/>
      <c r="L149" s="197"/>
    </row>
    <row r="150" spans="1:12" ht="15">
      <c r="A150" s="74"/>
      <c r="D150" s="75" t="s">
        <v>186</v>
      </c>
      <c r="E150" s="75" t="s">
        <v>3194</v>
      </c>
      <c r="G150" s="76">
        <v>10</v>
      </c>
      <c r="L150" s="77"/>
    </row>
    <row r="151" spans="1:12" ht="15">
      <c r="A151" s="74"/>
      <c r="D151" s="75" t="s">
        <v>143</v>
      </c>
      <c r="E151" s="75" t="s">
        <v>3195</v>
      </c>
      <c r="G151" s="76">
        <v>2</v>
      </c>
      <c r="L151" s="77"/>
    </row>
    <row r="152" spans="1:12" ht="15">
      <c r="A152" s="74"/>
      <c r="D152" s="75" t="s">
        <v>157</v>
      </c>
      <c r="E152" s="75" t="s">
        <v>3196</v>
      </c>
      <c r="G152" s="76">
        <v>4</v>
      </c>
      <c r="L152" s="77"/>
    </row>
    <row r="153" spans="1:12" ht="15">
      <c r="A153" s="74"/>
      <c r="D153" s="75" t="s">
        <v>157</v>
      </c>
      <c r="E153" s="75" t="s">
        <v>3197</v>
      </c>
      <c r="G153" s="76">
        <v>4</v>
      </c>
      <c r="L153" s="77"/>
    </row>
    <row r="154" spans="1:75" ht="13.5" customHeight="1">
      <c r="A154" s="1" t="s">
        <v>720</v>
      </c>
      <c r="B154" s="2" t="s">
        <v>95</v>
      </c>
      <c r="C154" s="2" t="s">
        <v>2289</v>
      </c>
      <c r="D154" s="108" t="s">
        <v>3008</v>
      </c>
      <c r="E154" s="103"/>
      <c r="F154" s="2" t="s">
        <v>2286</v>
      </c>
      <c r="G154" s="38">
        <f>'Stavební rozpočet'!G1683</f>
        <v>22</v>
      </c>
      <c r="H154" s="38">
        <f>'Stavební rozpočet'!H1683</f>
        <v>0</v>
      </c>
      <c r="I154" s="38">
        <f>G154*H154</f>
        <v>0</v>
      </c>
      <c r="J154" s="38">
        <f>'Stavební rozpočet'!J1683</f>
        <v>0</v>
      </c>
      <c r="K154" s="38">
        <f>G154*J154</f>
        <v>0</v>
      </c>
      <c r="L154" s="71" t="s">
        <v>207</v>
      </c>
      <c r="Z154" s="38">
        <f>IF(AQ154="5",BJ154,0)</f>
        <v>0</v>
      </c>
      <c r="AB154" s="38">
        <f>IF(AQ154="1",BH154,0)</f>
        <v>0</v>
      </c>
      <c r="AC154" s="38">
        <f>IF(AQ154="1",BI154,0)</f>
        <v>0</v>
      </c>
      <c r="AD154" s="38">
        <f>IF(AQ154="7",BH154,0)</f>
        <v>0</v>
      </c>
      <c r="AE154" s="38">
        <f>IF(AQ154="7",BI154,0)</f>
        <v>0</v>
      </c>
      <c r="AF154" s="38">
        <f>IF(AQ154="2",BH154,0)</f>
        <v>0</v>
      </c>
      <c r="AG154" s="38">
        <f>IF(AQ154="2",BI154,0)</f>
        <v>0</v>
      </c>
      <c r="AH154" s="38">
        <f>IF(AQ154="0",BJ154,0)</f>
        <v>0</v>
      </c>
      <c r="AI154" s="50" t="s">
        <v>95</v>
      </c>
      <c r="AJ154" s="38">
        <f>IF(AN154=0,I154,0)</f>
        <v>0</v>
      </c>
      <c r="AK154" s="38">
        <f>IF(AN154=12,I154,0)</f>
        <v>0</v>
      </c>
      <c r="AL154" s="38">
        <f>IF(AN154=21,I154,0)</f>
        <v>0</v>
      </c>
      <c r="AN154" s="38">
        <v>21</v>
      </c>
      <c r="AO154" s="38">
        <f>H154*0</f>
        <v>0</v>
      </c>
      <c r="AP154" s="38">
        <f>H154*(1-0)</f>
        <v>0</v>
      </c>
      <c r="AQ154" s="72" t="s">
        <v>132</v>
      </c>
      <c r="AV154" s="38">
        <f>AW154+AX154</f>
        <v>0</v>
      </c>
      <c r="AW154" s="38">
        <f>G154*AO154</f>
        <v>0</v>
      </c>
      <c r="AX154" s="38">
        <f>G154*AP154</f>
        <v>0</v>
      </c>
      <c r="AY154" s="72" t="s">
        <v>1964</v>
      </c>
      <c r="AZ154" s="72" t="s">
        <v>3013</v>
      </c>
      <c r="BA154" s="50" t="s">
        <v>3014</v>
      </c>
      <c r="BC154" s="38">
        <f>AW154+AX154</f>
        <v>0</v>
      </c>
      <c r="BD154" s="38">
        <f>H154/(100-BE154)*100</f>
        <v>0</v>
      </c>
      <c r="BE154" s="38">
        <v>0</v>
      </c>
      <c r="BF154" s="38">
        <f>K154</f>
        <v>0</v>
      </c>
      <c r="BH154" s="38">
        <f>G154*AO154</f>
        <v>0</v>
      </c>
      <c r="BI154" s="38">
        <f>G154*AP154</f>
        <v>0</v>
      </c>
      <c r="BJ154" s="38">
        <f>G154*H154</f>
        <v>0</v>
      </c>
      <c r="BK154" s="38"/>
      <c r="BL154" s="38">
        <v>90</v>
      </c>
      <c r="BW154" s="38">
        <v>21</v>
      </c>
    </row>
    <row r="155" spans="1:12" ht="13.5" customHeight="1">
      <c r="A155" s="74"/>
      <c r="D155" s="194" t="s">
        <v>3206</v>
      </c>
      <c r="E155" s="195"/>
      <c r="F155" s="195"/>
      <c r="G155" s="195"/>
      <c r="H155" s="195"/>
      <c r="I155" s="195"/>
      <c r="J155" s="195"/>
      <c r="K155" s="195"/>
      <c r="L155" s="197"/>
    </row>
    <row r="156" spans="1:12" ht="15">
      <c r="A156" s="74"/>
      <c r="D156" s="75" t="s">
        <v>186</v>
      </c>
      <c r="E156" s="75" t="s">
        <v>3194</v>
      </c>
      <c r="G156" s="76">
        <v>10</v>
      </c>
      <c r="L156" s="77"/>
    </row>
    <row r="157" spans="1:12" ht="15">
      <c r="A157" s="74"/>
      <c r="D157" s="75" t="s">
        <v>143</v>
      </c>
      <c r="E157" s="75" t="s">
        <v>3195</v>
      </c>
      <c r="G157" s="76">
        <v>2</v>
      </c>
      <c r="L157" s="77"/>
    </row>
    <row r="158" spans="1:12" ht="15">
      <c r="A158" s="74"/>
      <c r="D158" s="75" t="s">
        <v>162</v>
      </c>
      <c r="E158" s="75" t="s">
        <v>3196</v>
      </c>
      <c r="G158" s="76">
        <v>5</v>
      </c>
      <c r="L158" s="77"/>
    </row>
    <row r="159" spans="1:12" ht="15">
      <c r="A159" s="84"/>
      <c r="B159" s="85"/>
      <c r="C159" s="85"/>
      <c r="D159" s="86" t="s">
        <v>162</v>
      </c>
      <c r="E159" s="86" t="s">
        <v>3197</v>
      </c>
      <c r="F159" s="85"/>
      <c r="G159" s="87">
        <v>5</v>
      </c>
      <c r="H159" s="85"/>
      <c r="I159" s="85"/>
      <c r="J159" s="85"/>
      <c r="K159" s="85"/>
      <c r="L159" s="89"/>
    </row>
    <row r="160" ht="15">
      <c r="I160" s="42">
        <f>ROUND(I13+I48+I78+I97+I122+I135,0)</f>
        <v>0</v>
      </c>
    </row>
    <row r="161" ht="15">
      <c r="A161" s="43" t="s">
        <v>56</v>
      </c>
    </row>
    <row r="162" spans="1:12" ht="12.75" customHeight="1">
      <c r="A162" s="108" t="s">
        <v>4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</sheetData>
  <sheetProtection password="F483" sheet="1"/>
  <mergeCells count="153">
    <mergeCell ref="D155:L155"/>
    <mergeCell ref="A162:L162"/>
    <mergeCell ref="D142:E142"/>
    <mergeCell ref="D143:L143"/>
    <mergeCell ref="D148:E148"/>
    <mergeCell ref="D149:L149"/>
    <mergeCell ref="D154:E154"/>
    <mergeCell ref="D129:E129"/>
    <mergeCell ref="D130:L130"/>
    <mergeCell ref="D135:E135"/>
    <mergeCell ref="D136:E136"/>
    <mergeCell ref="D137:L137"/>
    <mergeCell ref="D120:L120"/>
    <mergeCell ref="D121:E121"/>
    <mergeCell ref="D122:E122"/>
    <mergeCell ref="D123:E123"/>
    <mergeCell ref="D124:L124"/>
    <mergeCell ref="D115:E115"/>
    <mergeCell ref="D116:E116"/>
    <mergeCell ref="D117:L117"/>
    <mergeCell ref="D118:E118"/>
    <mergeCell ref="D119:E119"/>
    <mergeCell ref="D110:E110"/>
    <mergeCell ref="D111:E111"/>
    <mergeCell ref="D112:L112"/>
    <mergeCell ref="D113:E113"/>
    <mergeCell ref="D114:E114"/>
    <mergeCell ref="D105:E105"/>
    <mergeCell ref="D106:E106"/>
    <mergeCell ref="D107:E107"/>
    <mergeCell ref="D108:L108"/>
    <mergeCell ref="D109:E109"/>
    <mergeCell ref="D100:E100"/>
    <mergeCell ref="D101:E101"/>
    <mergeCell ref="D102:E102"/>
    <mergeCell ref="D103:E103"/>
    <mergeCell ref="D104:E104"/>
    <mergeCell ref="D95:L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L83"/>
    <mergeCell ref="D84:E84"/>
    <mergeCell ref="D75:E75"/>
    <mergeCell ref="D76:L76"/>
    <mergeCell ref="D77:E77"/>
    <mergeCell ref="D78:E78"/>
    <mergeCell ref="D79:E79"/>
    <mergeCell ref="D70:L70"/>
    <mergeCell ref="D71:E71"/>
    <mergeCell ref="D72:E72"/>
    <mergeCell ref="D73:L73"/>
    <mergeCell ref="D74:E74"/>
    <mergeCell ref="D65:E65"/>
    <mergeCell ref="D66:E66"/>
    <mergeCell ref="D67:L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L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L35"/>
    <mergeCell ref="D36:E36"/>
    <mergeCell ref="D37:E37"/>
    <mergeCell ref="D38:L38"/>
    <mergeCell ref="D39:E39"/>
    <mergeCell ref="D30:E30"/>
    <mergeCell ref="D31:E31"/>
    <mergeCell ref="D32:L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L17"/>
    <mergeCell ref="D18:E18"/>
    <mergeCell ref="D19:L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1"/>
  <sheetViews>
    <sheetView workbookViewId="0" topLeftCell="A1">
      <pane ySplit="11" topLeftCell="A12" activePane="bottomLeft" state="frozen"/>
      <selection pane="bottomLeft" activeCell="A31" sqref="A31:M31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2.421875" style="0" customWidth="1"/>
    <col min="5" max="5" width="35.7109375" style="0" customWidth="1"/>
    <col min="6" max="6" width="7.4218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3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10"/>
      <c r="H2" s="101" t="s">
        <v>76</v>
      </c>
      <c r="I2" s="101"/>
      <c r="J2" s="107" t="str">
        <f>'Stavební rozpočet'!H2</f>
        <v xml:space="preserve"> </v>
      </c>
      <c r="K2" s="107" t="s">
        <v>2</v>
      </c>
      <c r="L2" s="107" t="str">
        <f>'Stavební rozpočet'!J2</f>
        <v>Město šumperk</v>
      </c>
      <c r="M2" s="112"/>
    </row>
    <row r="3" spans="1:13" ht="15">
      <c r="A3" s="102"/>
      <c r="B3" s="103"/>
      <c r="C3" s="103"/>
      <c r="D3" s="111"/>
      <c r="E3" s="111"/>
      <c r="F3" s="111"/>
      <c r="G3" s="111"/>
      <c r="H3" s="103"/>
      <c r="I3" s="103"/>
      <c r="J3" s="103"/>
      <c r="K3" s="103"/>
      <c r="L3" s="103"/>
      <c r="M3" s="113"/>
    </row>
    <row r="4" spans="1:13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3"/>
      <c r="H4" s="103" t="s">
        <v>9</v>
      </c>
      <c r="I4" s="103"/>
      <c r="J4" s="108">
        <f>'Stavební rozpočet'!H4</f>
        <v>0</v>
      </c>
      <c r="K4" s="108" t="s">
        <v>6</v>
      </c>
      <c r="L4" s="108" t="str">
        <f>'Stavební rozpočet'!J4</f>
        <v>Ing.Ladislav Trčka - PROINK</v>
      </c>
      <c r="M4" s="113"/>
    </row>
    <row r="5" spans="1:13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13"/>
    </row>
    <row r="6" spans="1:13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3"/>
      <c r="H6" s="103" t="s">
        <v>10</v>
      </c>
      <c r="I6" s="103"/>
      <c r="J6" s="108" t="str">
        <f>'Stavební rozpočet'!H6</f>
        <v xml:space="preserve"> </v>
      </c>
      <c r="K6" s="108" t="s">
        <v>8</v>
      </c>
      <c r="L6" s="108">
        <f>'Stavební rozpočet'!J6</f>
        <v>0</v>
      </c>
      <c r="M6" s="113"/>
    </row>
    <row r="7" spans="1:13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13"/>
    </row>
    <row r="8" spans="1:13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3"/>
      <c r="H8" s="103" t="s">
        <v>77</v>
      </c>
      <c r="I8" s="103"/>
      <c r="J8" s="108">
        <f>'Stavební rozpočet'!H8</f>
        <v>0</v>
      </c>
      <c r="K8" s="108" t="s">
        <v>13</v>
      </c>
      <c r="L8" s="108">
        <f>'Stavební rozpočet'!J8</f>
        <v>0</v>
      </c>
      <c r="M8" s="113"/>
    </row>
    <row r="9" spans="1:13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16"/>
    </row>
    <row r="10" spans="1:75" ht="15">
      <c r="A10" s="45" t="s">
        <v>105</v>
      </c>
      <c r="B10" s="46" t="s">
        <v>81</v>
      </c>
      <c r="C10" s="46" t="s">
        <v>106</v>
      </c>
      <c r="D10" s="186" t="s">
        <v>82</v>
      </c>
      <c r="E10" s="187"/>
      <c r="F10" s="46" t="s">
        <v>107</v>
      </c>
      <c r="G10" s="47" t="s">
        <v>108</v>
      </c>
      <c r="H10" s="92" t="s">
        <v>109</v>
      </c>
      <c r="I10" s="28" t="s">
        <v>79</v>
      </c>
      <c r="J10" s="188" t="s">
        <v>80</v>
      </c>
      <c r="K10" s="189"/>
      <c r="L10" s="28" t="s">
        <v>110</v>
      </c>
      <c r="M10" s="95"/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96" t="s">
        <v>117</v>
      </c>
      <c r="M11" s="97"/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3" ht="15">
      <c r="A12" s="58" t="s">
        <v>4</v>
      </c>
      <c r="B12" s="59" t="s">
        <v>97</v>
      </c>
      <c r="C12" s="59" t="s">
        <v>4</v>
      </c>
      <c r="D12" s="190" t="s">
        <v>57</v>
      </c>
      <c r="E12" s="191"/>
      <c r="F12" s="60" t="s">
        <v>78</v>
      </c>
      <c r="G12" s="60" t="s">
        <v>78</v>
      </c>
      <c r="H12" s="60" t="s">
        <v>78</v>
      </c>
      <c r="I12" s="62">
        <f>I14+I18+I22</f>
        <v>0</v>
      </c>
      <c r="J12" s="63" t="s">
        <v>4</v>
      </c>
      <c r="K12" s="62">
        <f>K14+K18+K22</f>
        <v>0</v>
      </c>
      <c r="L12" s="63" t="s">
        <v>4</v>
      </c>
      <c r="M12" s="77"/>
    </row>
    <row r="13" spans="1:35" ht="15">
      <c r="A13" s="65" t="s">
        <v>4</v>
      </c>
      <c r="B13" s="66" t="s">
        <v>97</v>
      </c>
      <c r="C13" s="66" t="s">
        <v>4</v>
      </c>
      <c r="D13" s="192" t="s">
        <v>3207</v>
      </c>
      <c r="E13" s="193"/>
      <c r="F13" s="67" t="s">
        <v>78</v>
      </c>
      <c r="G13" s="67" t="s">
        <v>78</v>
      </c>
      <c r="H13" s="67" t="s">
        <v>78</v>
      </c>
      <c r="I13" s="44">
        <f>I14+I18+I22</f>
        <v>0</v>
      </c>
      <c r="J13" s="50" t="s">
        <v>4</v>
      </c>
      <c r="K13" s="44">
        <f>K14+K18+K22</f>
        <v>0</v>
      </c>
      <c r="L13" s="50" t="s">
        <v>4</v>
      </c>
      <c r="M13" s="77"/>
      <c r="AI13" s="50" t="s">
        <v>97</v>
      </c>
    </row>
    <row r="14" spans="1:47" ht="15">
      <c r="A14" s="65" t="s">
        <v>4</v>
      </c>
      <c r="B14" s="66" t="s">
        <v>97</v>
      </c>
      <c r="C14" s="66" t="s">
        <v>3208</v>
      </c>
      <c r="D14" s="192" t="s">
        <v>25</v>
      </c>
      <c r="E14" s="193"/>
      <c r="F14" s="67" t="s">
        <v>78</v>
      </c>
      <c r="G14" s="67" t="s">
        <v>78</v>
      </c>
      <c r="H14" s="67" t="s">
        <v>78</v>
      </c>
      <c r="I14" s="44">
        <f>SUM(I15:I15)</f>
        <v>0</v>
      </c>
      <c r="J14" s="50" t="s">
        <v>4</v>
      </c>
      <c r="K14" s="44">
        <f>SUM(K15:K15)</f>
        <v>0</v>
      </c>
      <c r="L14" s="50" t="s">
        <v>4</v>
      </c>
      <c r="M14" s="77"/>
      <c r="AI14" s="50" t="s">
        <v>97</v>
      </c>
      <c r="AS14" s="44">
        <f>SUM(AJ15:AJ15)</f>
        <v>0</v>
      </c>
      <c r="AT14" s="44">
        <f>SUM(AK15:AK15)</f>
        <v>0</v>
      </c>
      <c r="AU14" s="44">
        <f>SUM(AL15:AL15)</f>
        <v>0</v>
      </c>
    </row>
    <row r="15" spans="1:75" ht="13.5" customHeight="1">
      <c r="A15" s="1" t="s">
        <v>132</v>
      </c>
      <c r="B15" s="2" t="s">
        <v>97</v>
      </c>
      <c r="C15" s="2" t="s">
        <v>3210</v>
      </c>
      <c r="D15" s="108" t="s">
        <v>25</v>
      </c>
      <c r="E15" s="103"/>
      <c r="F15" s="2" t="s">
        <v>3211</v>
      </c>
      <c r="G15" s="38">
        <f>'Stavební rozpočet'!G1692</f>
        <v>1</v>
      </c>
      <c r="H15" s="38">
        <f>'Stavební rozpočet'!H1692</f>
        <v>0</v>
      </c>
      <c r="I15" s="38">
        <f>G15*H15</f>
        <v>0</v>
      </c>
      <c r="J15" s="38">
        <f>'Stavební rozpočet'!J1692</f>
        <v>0</v>
      </c>
      <c r="K15" s="38">
        <f>G15*J15</f>
        <v>0</v>
      </c>
      <c r="L15" s="72" t="s">
        <v>207</v>
      </c>
      <c r="M15" s="77"/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50" t="s">
        <v>97</v>
      </c>
      <c r="AJ15" s="38">
        <f>IF(AN15=0,I15,0)</f>
        <v>0</v>
      </c>
      <c r="AK15" s="38">
        <f>IF(AN15=12,I15,0)</f>
        <v>0</v>
      </c>
      <c r="AL15" s="38">
        <f>IF(AN15=21,I15,0)</f>
        <v>0</v>
      </c>
      <c r="AN15" s="38">
        <v>21</v>
      </c>
      <c r="AO15" s="38">
        <f>H15*0</f>
        <v>0</v>
      </c>
      <c r="AP15" s="38">
        <f>H15*(1-0)</f>
        <v>0</v>
      </c>
      <c r="AQ15" s="72" t="s">
        <v>747</v>
      </c>
      <c r="AV15" s="38">
        <f>AW15+AX15</f>
        <v>0</v>
      </c>
      <c r="AW15" s="38">
        <f>G15*AO15</f>
        <v>0</v>
      </c>
      <c r="AX15" s="38">
        <f>G15*AP15</f>
        <v>0</v>
      </c>
      <c r="AY15" s="72" t="s">
        <v>3212</v>
      </c>
      <c r="AZ15" s="72" t="s">
        <v>3213</v>
      </c>
      <c r="BA15" s="50" t="s">
        <v>3214</v>
      </c>
      <c r="BC15" s="38">
        <f>AW15+AX15</f>
        <v>0</v>
      </c>
      <c r="BD15" s="38">
        <f>H15/(100-BE15)*100</f>
        <v>0</v>
      </c>
      <c r="BE15" s="38">
        <v>0</v>
      </c>
      <c r="BF15" s="38">
        <f>K15</f>
        <v>0</v>
      </c>
      <c r="BH15" s="38">
        <f>G15*AO15</f>
        <v>0</v>
      </c>
      <c r="BI15" s="38">
        <f>G15*AP15</f>
        <v>0</v>
      </c>
      <c r="BJ15" s="38">
        <f>G15*H15</f>
        <v>0</v>
      </c>
      <c r="BK15" s="38"/>
      <c r="BL15" s="38"/>
      <c r="BO15" s="38">
        <f>G15*H15</f>
        <v>0</v>
      </c>
      <c r="BW15" s="38">
        <v>21</v>
      </c>
    </row>
    <row r="16" spans="1:13" ht="27" customHeight="1">
      <c r="A16" s="74"/>
      <c r="D16" s="194" t="s">
        <v>3215</v>
      </c>
      <c r="E16" s="195"/>
      <c r="F16" s="195"/>
      <c r="G16" s="195"/>
      <c r="H16" s="195"/>
      <c r="I16" s="195"/>
      <c r="J16" s="195"/>
      <c r="K16" s="195"/>
      <c r="L16" s="195"/>
      <c r="M16" s="197"/>
    </row>
    <row r="17" spans="1:13" ht="15">
      <c r="A17" s="74"/>
      <c r="D17" s="75" t="s">
        <v>132</v>
      </c>
      <c r="E17" s="75" t="s">
        <v>4</v>
      </c>
      <c r="G17" s="76">
        <v>1</v>
      </c>
      <c r="M17" s="77"/>
    </row>
    <row r="18" spans="1:47" ht="15">
      <c r="A18" s="65" t="s">
        <v>4</v>
      </c>
      <c r="B18" s="66" t="s">
        <v>97</v>
      </c>
      <c r="C18" s="66" t="s">
        <v>3216</v>
      </c>
      <c r="D18" s="192" t="s">
        <v>32</v>
      </c>
      <c r="E18" s="193"/>
      <c r="F18" s="67" t="s">
        <v>78</v>
      </c>
      <c r="G18" s="67" t="s">
        <v>78</v>
      </c>
      <c r="H18" s="67" t="s">
        <v>78</v>
      </c>
      <c r="I18" s="44">
        <f>SUM(I19:I19)</f>
        <v>0</v>
      </c>
      <c r="J18" s="50" t="s">
        <v>4</v>
      </c>
      <c r="K18" s="44">
        <f>SUM(K19:K19)</f>
        <v>0</v>
      </c>
      <c r="L18" s="50" t="s">
        <v>4</v>
      </c>
      <c r="M18" s="77"/>
      <c r="AI18" s="50" t="s">
        <v>97</v>
      </c>
      <c r="AS18" s="44">
        <f>SUM(AJ19:AJ19)</f>
        <v>0</v>
      </c>
      <c r="AT18" s="44">
        <f>SUM(AK19:AK19)</f>
        <v>0</v>
      </c>
      <c r="AU18" s="44">
        <f>SUM(AL19:AL19)</f>
        <v>0</v>
      </c>
    </row>
    <row r="19" spans="1:75" ht="13.5" customHeight="1">
      <c r="A19" s="1" t="s">
        <v>143</v>
      </c>
      <c r="B19" s="2" t="s">
        <v>97</v>
      </c>
      <c r="C19" s="2" t="s">
        <v>3218</v>
      </c>
      <c r="D19" s="108" t="s">
        <v>32</v>
      </c>
      <c r="E19" s="103"/>
      <c r="F19" s="2" t="s">
        <v>3211</v>
      </c>
      <c r="G19" s="38">
        <f>'Stavební rozpočet'!G1696</f>
        <v>1</v>
      </c>
      <c r="H19" s="38">
        <f>'Stavební rozpočet'!H1696</f>
        <v>0</v>
      </c>
      <c r="I19" s="38">
        <f>G19*H19</f>
        <v>0</v>
      </c>
      <c r="J19" s="38">
        <f>'Stavební rozpočet'!J1696</f>
        <v>0</v>
      </c>
      <c r="K19" s="38">
        <f>G19*J19</f>
        <v>0</v>
      </c>
      <c r="L19" s="72" t="s">
        <v>207</v>
      </c>
      <c r="M19" s="77"/>
      <c r="Z19" s="38">
        <f>IF(AQ19="5",BJ19,0)</f>
        <v>0</v>
      </c>
      <c r="AB19" s="38">
        <f>IF(AQ19="1",BH19,0)</f>
        <v>0</v>
      </c>
      <c r="AC19" s="38">
        <f>IF(AQ19="1",BI19,0)</f>
        <v>0</v>
      </c>
      <c r="AD19" s="38">
        <f>IF(AQ19="7",BH19,0)</f>
        <v>0</v>
      </c>
      <c r="AE19" s="38">
        <f>IF(AQ19="7",BI19,0)</f>
        <v>0</v>
      </c>
      <c r="AF19" s="38">
        <f>IF(AQ19="2",BH19,0)</f>
        <v>0</v>
      </c>
      <c r="AG19" s="38">
        <f>IF(AQ19="2",BI19,0)</f>
        <v>0</v>
      </c>
      <c r="AH19" s="38">
        <f>IF(AQ19="0",BJ19,0)</f>
        <v>0</v>
      </c>
      <c r="AI19" s="50" t="s">
        <v>97</v>
      </c>
      <c r="AJ19" s="38">
        <f>IF(AN19=0,I19,0)</f>
        <v>0</v>
      </c>
      <c r="AK19" s="38">
        <f>IF(AN19=12,I19,0)</f>
        <v>0</v>
      </c>
      <c r="AL19" s="38">
        <f>IF(AN19=21,I19,0)</f>
        <v>0</v>
      </c>
      <c r="AN19" s="38">
        <v>21</v>
      </c>
      <c r="AO19" s="38">
        <f>H19*0</f>
        <v>0</v>
      </c>
      <c r="AP19" s="38">
        <f>H19*(1-0)</f>
        <v>0</v>
      </c>
      <c r="AQ19" s="72" t="s">
        <v>747</v>
      </c>
      <c r="AV19" s="38">
        <f>AW19+AX19</f>
        <v>0</v>
      </c>
      <c r="AW19" s="38">
        <f>G19*AO19</f>
        <v>0</v>
      </c>
      <c r="AX19" s="38">
        <f>G19*AP19</f>
        <v>0</v>
      </c>
      <c r="AY19" s="72" t="s">
        <v>3219</v>
      </c>
      <c r="AZ19" s="72" t="s">
        <v>3213</v>
      </c>
      <c r="BA19" s="50" t="s">
        <v>3214</v>
      </c>
      <c r="BC19" s="38">
        <f>AW19+AX19</f>
        <v>0</v>
      </c>
      <c r="BD19" s="38">
        <f>H19/(100-BE19)*100</f>
        <v>0</v>
      </c>
      <c r="BE19" s="38">
        <v>0</v>
      </c>
      <c r="BF19" s="38">
        <f>K19</f>
        <v>0</v>
      </c>
      <c r="BH19" s="38">
        <f>G19*AO19</f>
        <v>0</v>
      </c>
      <c r="BI19" s="38">
        <f>G19*AP19</f>
        <v>0</v>
      </c>
      <c r="BJ19" s="38">
        <f>G19*H19</f>
        <v>0</v>
      </c>
      <c r="BK19" s="38"/>
      <c r="BL19" s="38"/>
      <c r="BS19" s="38">
        <f>G19*H19</f>
        <v>0</v>
      </c>
      <c r="BW19" s="38">
        <v>21</v>
      </c>
    </row>
    <row r="20" spans="1:13" ht="13.5" customHeight="1">
      <c r="A20" s="74"/>
      <c r="D20" s="194" t="s">
        <v>3220</v>
      </c>
      <c r="E20" s="195"/>
      <c r="F20" s="195"/>
      <c r="G20" s="195"/>
      <c r="H20" s="195"/>
      <c r="I20" s="195"/>
      <c r="J20" s="195"/>
      <c r="K20" s="195"/>
      <c r="L20" s="195"/>
      <c r="M20" s="197"/>
    </row>
    <row r="21" spans="1:13" ht="15">
      <c r="A21" s="74"/>
      <c r="D21" s="75" t="s">
        <v>132</v>
      </c>
      <c r="E21" s="75" t="s">
        <v>4</v>
      </c>
      <c r="G21" s="76">
        <v>1</v>
      </c>
      <c r="M21" s="77"/>
    </row>
    <row r="22" spans="1:47" ht="15">
      <c r="A22" s="65" t="s">
        <v>4</v>
      </c>
      <c r="B22" s="66" t="s">
        <v>97</v>
      </c>
      <c r="C22" s="66" t="s">
        <v>3221</v>
      </c>
      <c r="D22" s="192" t="s">
        <v>73</v>
      </c>
      <c r="E22" s="193"/>
      <c r="F22" s="67" t="s">
        <v>78</v>
      </c>
      <c r="G22" s="67" t="s">
        <v>78</v>
      </c>
      <c r="H22" s="67" t="s">
        <v>78</v>
      </c>
      <c r="I22" s="44">
        <f>SUM(I23:I27)</f>
        <v>0</v>
      </c>
      <c r="J22" s="50" t="s">
        <v>4</v>
      </c>
      <c r="K22" s="44">
        <f>SUM(K23:K27)</f>
        <v>0</v>
      </c>
      <c r="L22" s="50" t="s">
        <v>4</v>
      </c>
      <c r="M22" s="77"/>
      <c r="AI22" s="50" t="s">
        <v>97</v>
      </c>
      <c r="AS22" s="44">
        <f>SUM(AJ23:AJ27)</f>
        <v>0</v>
      </c>
      <c r="AT22" s="44">
        <f>SUM(AK23:AK27)</f>
        <v>0</v>
      </c>
      <c r="AU22" s="44">
        <f>SUM(AL23:AL27)</f>
        <v>0</v>
      </c>
    </row>
    <row r="23" spans="1:75" ht="27" customHeight="1">
      <c r="A23" s="1" t="s">
        <v>149</v>
      </c>
      <c r="B23" s="2" t="s">
        <v>97</v>
      </c>
      <c r="C23" s="2" t="s">
        <v>3223</v>
      </c>
      <c r="D23" s="108" t="s">
        <v>3224</v>
      </c>
      <c r="E23" s="103"/>
      <c r="F23" s="2" t="s">
        <v>3211</v>
      </c>
      <c r="G23" s="38">
        <f>'Stavební rozpočet'!G1700</f>
        <v>1</v>
      </c>
      <c r="H23" s="38">
        <f>'Stavební rozpočet'!H1700</f>
        <v>0</v>
      </c>
      <c r="I23" s="38">
        <f>G23*H23</f>
        <v>0</v>
      </c>
      <c r="J23" s="38">
        <f>'Stavební rozpočet'!J1700</f>
        <v>0</v>
      </c>
      <c r="K23" s="38">
        <f>G23*J23</f>
        <v>0</v>
      </c>
      <c r="L23" s="72" t="s">
        <v>207</v>
      </c>
      <c r="M23" s="77"/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50" t="s">
        <v>97</v>
      </c>
      <c r="AJ23" s="38">
        <f>IF(AN23=0,I23,0)</f>
        <v>0</v>
      </c>
      <c r="AK23" s="38">
        <f>IF(AN23=12,I23,0)</f>
        <v>0</v>
      </c>
      <c r="AL23" s="38">
        <f>IF(AN23=21,I23,0)</f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747</v>
      </c>
      <c r="AV23" s="38">
        <f>AW23+AX23</f>
        <v>0</v>
      </c>
      <c r="AW23" s="38">
        <f>G23*AO23</f>
        <v>0</v>
      </c>
      <c r="AX23" s="38">
        <f>G23*AP23</f>
        <v>0</v>
      </c>
      <c r="AY23" s="72" t="s">
        <v>3225</v>
      </c>
      <c r="AZ23" s="72" t="s">
        <v>3213</v>
      </c>
      <c r="BA23" s="50" t="s">
        <v>3214</v>
      </c>
      <c r="BC23" s="38">
        <f>AW23+AX23</f>
        <v>0</v>
      </c>
      <c r="BD23" s="38">
        <f>H23/(100-BE23)*100</f>
        <v>0</v>
      </c>
      <c r="BE23" s="38">
        <v>0</v>
      </c>
      <c r="BF23" s="38">
        <f>K23</f>
        <v>0</v>
      </c>
      <c r="BH23" s="38">
        <f>G23*AO23</f>
        <v>0</v>
      </c>
      <c r="BI23" s="38">
        <f>G23*AP23</f>
        <v>0</v>
      </c>
      <c r="BJ23" s="38">
        <f>G23*H23</f>
        <v>0</v>
      </c>
      <c r="BK23" s="38"/>
      <c r="BL23" s="38"/>
      <c r="BU23" s="38">
        <f>G23*H23</f>
        <v>0</v>
      </c>
      <c r="BW23" s="38">
        <v>21</v>
      </c>
    </row>
    <row r="24" spans="1:13" ht="15">
      <c r="A24" s="74"/>
      <c r="D24" s="75" t="s">
        <v>132</v>
      </c>
      <c r="E24" s="75" t="s">
        <v>4</v>
      </c>
      <c r="G24" s="76">
        <v>1</v>
      </c>
      <c r="M24" s="77"/>
    </row>
    <row r="25" spans="1:75" ht="13.5" customHeight="1">
      <c r="A25" s="1" t="s">
        <v>157</v>
      </c>
      <c r="B25" s="2" t="s">
        <v>97</v>
      </c>
      <c r="C25" s="2" t="s">
        <v>3227</v>
      </c>
      <c r="D25" s="108" t="s">
        <v>3228</v>
      </c>
      <c r="E25" s="103"/>
      <c r="F25" s="2" t="s">
        <v>3211</v>
      </c>
      <c r="G25" s="38">
        <f>'Stavební rozpočet'!G1702</f>
        <v>1</v>
      </c>
      <c r="H25" s="38">
        <f>'Stavební rozpočet'!H1702</f>
        <v>0</v>
      </c>
      <c r="I25" s="38">
        <f>G25*H25</f>
        <v>0</v>
      </c>
      <c r="J25" s="38">
        <f>'Stavební rozpočet'!J1702</f>
        <v>0</v>
      </c>
      <c r="K25" s="38">
        <f>G25*J25</f>
        <v>0</v>
      </c>
      <c r="L25" s="72" t="s">
        <v>207</v>
      </c>
      <c r="M25" s="77"/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50" t="s">
        <v>97</v>
      </c>
      <c r="AJ25" s="38">
        <f>IF(AN25=0,I25,0)</f>
        <v>0</v>
      </c>
      <c r="AK25" s="38">
        <f>IF(AN25=12,I25,0)</f>
        <v>0</v>
      </c>
      <c r="AL25" s="38">
        <f>IF(AN25=21,I25,0)</f>
        <v>0</v>
      </c>
      <c r="AN25" s="38">
        <v>21</v>
      </c>
      <c r="AO25" s="38">
        <f>H25*0</f>
        <v>0</v>
      </c>
      <c r="AP25" s="38">
        <f>H25*(1-0)</f>
        <v>0</v>
      </c>
      <c r="AQ25" s="72" t="s">
        <v>747</v>
      </c>
      <c r="AV25" s="38">
        <f>AW25+AX25</f>
        <v>0</v>
      </c>
      <c r="AW25" s="38">
        <f>G25*AO25</f>
        <v>0</v>
      </c>
      <c r="AX25" s="38">
        <f>G25*AP25</f>
        <v>0</v>
      </c>
      <c r="AY25" s="72" t="s">
        <v>3225</v>
      </c>
      <c r="AZ25" s="72" t="s">
        <v>3213</v>
      </c>
      <c r="BA25" s="50" t="s">
        <v>3214</v>
      </c>
      <c r="BC25" s="38">
        <f>AW25+AX25</f>
        <v>0</v>
      </c>
      <c r="BD25" s="38">
        <f>H25/(100-BE25)*100</f>
        <v>0</v>
      </c>
      <c r="BE25" s="38">
        <v>0</v>
      </c>
      <c r="BF25" s="38">
        <f>K25</f>
        <v>0</v>
      </c>
      <c r="BH25" s="38">
        <f>G25*AO25</f>
        <v>0</v>
      </c>
      <c r="BI25" s="38">
        <f>G25*AP25</f>
        <v>0</v>
      </c>
      <c r="BJ25" s="38">
        <f>G25*H25</f>
        <v>0</v>
      </c>
      <c r="BK25" s="38"/>
      <c r="BL25" s="38"/>
      <c r="BU25" s="38">
        <f>G25*H25</f>
        <v>0</v>
      </c>
      <c r="BW25" s="38">
        <v>21</v>
      </c>
    </row>
    <row r="26" spans="1:13" ht="15">
      <c r="A26" s="74"/>
      <c r="D26" s="75" t="s">
        <v>132</v>
      </c>
      <c r="E26" s="75" t="s">
        <v>4</v>
      </c>
      <c r="G26" s="76">
        <v>1</v>
      </c>
      <c r="M26" s="77"/>
    </row>
    <row r="27" spans="1:75" ht="13.5" customHeight="1">
      <c r="A27" s="1" t="s">
        <v>162</v>
      </c>
      <c r="B27" s="2" t="s">
        <v>97</v>
      </c>
      <c r="C27" s="2" t="s">
        <v>3230</v>
      </c>
      <c r="D27" s="108" t="s">
        <v>3231</v>
      </c>
      <c r="E27" s="103"/>
      <c r="F27" s="2" t="s">
        <v>3211</v>
      </c>
      <c r="G27" s="38">
        <f>'Stavební rozpočet'!G1704</f>
        <v>1</v>
      </c>
      <c r="H27" s="38">
        <f>'Stavební rozpočet'!H1704</f>
        <v>0</v>
      </c>
      <c r="I27" s="38">
        <f>G27*H27</f>
        <v>0</v>
      </c>
      <c r="J27" s="38">
        <f>'Stavební rozpočet'!J1704</f>
        <v>0</v>
      </c>
      <c r="K27" s="38">
        <f>G27*J27</f>
        <v>0</v>
      </c>
      <c r="L27" s="72" t="s">
        <v>207</v>
      </c>
      <c r="M27" s="77"/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50" t="s">
        <v>97</v>
      </c>
      <c r="AJ27" s="38">
        <f>IF(AN27=0,I27,0)</f>
        <v>0</v>
      </c>
      <c r="AK27" s="38">
        <f>IF(AN27=12,I27,0)</f>
        <v>0</v>
      </c>
      <c r="AL27" s="38">
        <f>IF(AN27=21,I27,0)</f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747</v>
      </c>
      <c r="AV27" s="38">
        <f>AW27+AX27</f>
        <v>0</v>
      </c>
      <c r="AW27" s="38">
        <f>G27*AO27</f>
        <v>0</v>
      </c>
      <c r="AX27" s="38">
        <f>G27*AP27</f>
        <v>0</v>
      </c>
      <c r="AY27" s="72" t="s">
        <v>3225</v>
      </c>
      <c r="AZ27" s="72" t="s">
        <v>3213</v>
      </c>
      <c r="BA27" s="50" t="s">
        <v>3214</v>
      </c>
      <c r="BC27" s="38">
        <f>AW27+AX27</f>
        <v>0</v>
      </c>
      <c r="BD27" s="38">
        <f>H27/(100-BE27)*100</f>
        <v>0</v>
      </c>
      <c r="BE27" s="38">
        <v>0</v>
      </c>
      <c r="BF27" s="38">
        <f>K27</f>
        <v>0</v>
      </c>
      <c r="BH27" s="38">
        <f>G27*AO27</f>
        <v>0</v>
      </c>
      <c r="BI27" s="38">
        <f>G27*AP27</f>
        <v>0</v>
      </c>
      <c r="BJ27" s="38">
        <f>G27*H27</f>
        <v>0</v>
      </c>
      <c r="BK27" s="38"/>
      <c r="BL27" s="38"/>
      <c r="BU27" s="38">
        <f>G27*H27</f>
        <v>0</v>
      </c>
      <c r="BW27" s="38">
        <v>21</v>
      </c>
    </row>
    <row r="28" spans="1:13" ht="15">
      <c r="A28" s="84"/>
      <c r="B28" s="85"/>
      <c r="C28" s="85"/>
      <c r="D28" s="86" t="s">
        <v>132</v>
      </c>
      <c r="E28" s="86" t="s">
        <v>4</v>
      </c>
      <c r="F28" s="85"/>
      <c r="G28" s="87">
        <v>1</v>
      </c>
      <c r="H28" s="85"/>
      <c r="I28" s="85"/>
      <c r="J28" s="85"/>
      <c r="K28" s="85"/>
      <c r="L28" s="85"/>
      <c r="M28" s="89"/>
    </row>
    <row r="29" ht="15">
      <c r="I29" s="42">
        <f>ROUND(I14+I18+I22,0)</f>
        <v>0</v>
      </c>
    </row>
    <row r="30" ht="15">
      <c r="A30" s="43" t="s">
        <v>56</v>
      </c>
    </row>
    <row r="31" spans="1:13" ht="12.75" customHeight="1">
      <c r="A31" s="108" t="s">
        <v>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</sheetData>
  <sheetProtection password="F483" sheet="1"/>
  <mergeCells count="41">
    <mergeCell ref="D22:E22"/>
    <mergeCell ref="D23:E23"/>
    <mergeCell ref="D25:E25"/>
    <mergeCell ref="D27:E27"/>
    <mergeCell ref="A31:M31"/>
    <mergeCell ref="D15:E15"/>
    <mergeCell ref="D16:M16"/>
    <mergeCell ref="D18:E18"/>
    <mergeCell ref="D19:E19"/>
    <mergeCell ref="D20:M20"/>
    <mergeCell ref="D11:E11"/>
    <mergeCell ref="J10:K10"/>
    <mergeCell ref="D12:E12"/>
    <mergeCell ref="D13:E13"/>
    <mergeCell ref="D14:E14"/>
    <mergeCell ref="L2:M3"/>
    <mergeCell ref="L4:M5"/>
    <mergeCell ref="L6:M7"/>
    <mergeCell ref="L8:M9"/>
    <mergeCell ref="D10:E10"/>
    <mergeCell ref="D8:G9"/>
    <mergeCell ref="J2:J3"/>
    <mergeCell ref="J4:J5"/>
    <mergeCell ref="J6:J7"/>
    <mergeCell ref="J8:J9"/>
    <mergeCell ref="A1:M1"/>
    <mergeCell ref="A2:C3"/>
    <mergeCell ref="A4:C5"/>
    <mergeCell ref="A6:C7"/>
    <mergeCell ref="A8:C9"/>
    <mergeCell ref="H2:I3"/>
    <mergeCell ref="H4:I5"/>
    <mergeCell ref="H6:I7"/>
    <mergeCell ref="H8:I9"/>
    <mergeCell ref="K2:K3"/>
    <mergeCell ref="K4:K5"/>
    <mergeCell ref="K6:K7"/>
    <mergeCell ref="K8:K9"/>
    <mergeCell ref="D2:G3"/>
    <mergeCell ref="D4:G5"/>
    <mergeCell ref="D6:G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A45" sqref="A45:E45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54.75" customHeight="1">
      <c r="A1" s="98" t="s">
        <v>57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100" t="s">
        <v>1</v>
      </c>
      <c r="B2" s="101"/>
      <c r="C2" s="109" t="str">
        <f>'Stavební rozpočet'!D2</f>
        <v>III ZŠ Šumperk stavební úpravy suterénu a 1NP</v>
      </c>
      <c r="D2" s="110"/>
      <c r="E2" s="107" t="s">
        <v>2</v>
      </c>
      <c r="F2" s="107" t="str">
        <f>'Stavební rozpočet'!J2</f>
        <v>Město šumperk</v>
      </c>
      <c r="G2" s="101"/>
      <c r="H2" s="107" t="s">
        <v>3</v>
      </c>
      <c r="I2" s="112" t="s">
        <v>4</v>
      </c>
    </row>
    <row r="3" spans="1:9" ht="15" customHeight="1">
      <c r="A3" s="102"/>
      <c r="B3" s="103"/>
      <c r="C3" s="111"/>
      <c r="D3" s="111"/>
      <c r="E3" s="103"/>
      <c r="F3" s="103"/>
      <c r="G3" s="103"/>
      <c r="H3" s="103"/>
      <c r="I3" s="113"/>
    </row>
    <row r="4" spans="1:9" ht="15">
      <c r="A4" s="104" t="s">
        <v>5</v>
      </c>
      <c r="B4" s="103"/>
      <c r="C4" s="108" t="str">
        <f>'Stavební rozpočet'!D4</f>
        <v>Stavební úpravy se změnou v užívání</v>
      </c>
      <c r="D4" s="103"/>
      <c r="E4" s="108" t="s">
        <v>6</v>
      </c>
      <c r="F4" s="108" t="str">
        <f>'Stavební rozpočet'!J4</f>
        <v>Ing.Ladislav Trčka - PROINK</v>
      </c>
      <c r="G4" s="103"/>
      <c r="H4" s="108" t="s">
        <v>3</v>
      </c>
      <c r="I4" s="113" t="s">
        <v>4</v>
      </c>
    </row>
    <row r="5" spans="1:9" ht="15" customHeight="1">
      <c r="A5" s="102"/>
      <c r="B5" s="103"/>
      <c r="C5" s="103"/>
      <c r="D5" s="103"/>
      <c r="E5" s="103"/>
      <c r="F5" s="103"/>
      <c r="G5" s="103"/>
      <c r="H5" s="103"/>
      <c r="I5" s="113"/>
    </row>
    <row r="6" spans="1:9" ht="15">
      <c r="A6" s="104" t="s">
        <v>7</v>
      </c>
      <c r="B6" s="103"/>
      <c r="C6" s="108" t="str">
        <f>'Stavební rozpočet'!D6</f>
        <v>Šumperk</v>
      </c>
      <c r="D6" s="103"/>
      <c r="E6" s="108" t="s">
        <v>8</v>
      </c>
      <c r="F6" s="108">
        <f>'Stavební rozpočet'!J6</f>
        <v>0</v>
      </c>
      <c r="G6" s="103"/>
      <c r="H6" s="108" t="s">
        <v>3</v>
      </c>
      <c r="I6" s="113" t="s">
        <v>4</v>
      </c>
    </row>
    <row r="7" spans="1:9" ht="15" customHeight="1">
      <c r="A7" s="102"/>
      <c r="B7" s="103"/>
      <c r="C7" s="103"/>
      <c r="D7" s="103"/>
      <c r="E7" s="103"/>
      <c r="F7" s="103"/>
      <c r="G7" s="103"/>
      <c r="H7" s="103"/>
      <c r="I7" s="113"/>
    </row>
    <row r="8" spans="1:9" ht="15">
      <c r="A8" s="104" t="s">
        <v>9</v>
      </c>
      <c r="B8" s="103"/>
      <c r="C8" s="108">
        <f>'Stavební rozpočet'!H4</f>
        <v>0</v>
      </c>
      <c r="D8" s="103"/>
      <c r="E8" s="108" t="s">
        <v>10</v>
      </c>
      <c r="F8" s="108" t="str">
        <f>'Stavební rozpočet'!H6</f>
        <v xml:space="preserve"> </v>
      </c>
      <c r="G8" s="103"/>
      <c r="H8" s="103" t="s">
        <v>11</v>
      </c>
      <c r="I8" s="114">
        <v>815</v>
      </c>
    </row>
    <row r="9" spans="1:9" ht="15">
      <c r="A9" s="102"/>
      <c r="B9" s="103"/>
      <c r="C9" s="103"/>
      <c r="D9" s="103"/>
      <c r="E9" s="103"/>
      <c r="F9" s="103"/>
      <c r="G9" s="103"/>
      <c r="H9" s="103"/>
      <c r="I9" s="113"/>
    </row>
    <row r="10" spans="1:9" ht="15">
      <c r="A10" s="104" t="s">
        <v>12</v>
      </c>
      <c r="B10" s="103"/>
      <c r="C10" s="108" t="str">
        <f>'Stavební rozpočet'!D8</f>
        <v xml:space="preserve"> </v>
      </c>
      <c r="D10" s="103"/>
      <c r="E10" s="108" t="s">
        <v>13</v>
      </c>
      <c r="F10" s="108">
        <f>'Stavební rozpočet'!J8</f>
        <v>0</v>
      </c>
      <c r="G10" s="103"/>
      <c r="H10" s="103" t="s">
        <v>14</v>
      </c>
      <c r="I10" s="115">
        <f>'Stavební rozpočet'!H8</f>
        <v>0</v>
      </c>
    </row>
    <row r="11" spans="1:9" ht="15">
      <c r="A11" s="105"/>
      <c r="B11" s="106"/>
      <c r="C11" s="106"/>
      <c r="D11" s="106"/>
      <c r="E11" s="106"/>
      <c r="F11" s="106"/>
      <c r="G11" s="106"/>
      <c r="H11" s="106"/>
      <c r="I11" s="116"/>
    </row>
    <row r="13" spans="1:5" ht="15.75">
      <c r="A13" s="150" t="s">
        <v>58</v>
      </c>
      <c r="B13" s="150"/>
      <c r="C13" s="150"/>
      <c r="D13" s="150"/>
      <c r="E13" s="150"/>
    </row>
    <row r="14" spans="1:9" ht="15">
      <c r="A14" s="151" t="s">
        <v>59</v>
      </c>
      <c r="B14" s="152"/>
      <c r="C14" s="152"/>
      <c r="D14" s="152"/>
      <c r="E14" s="153"/>
      <c r="F14" s="19" t="s">
        <v>60</v>
      </c>
      <c r="G14" s="19" t="s">
        <v>61</v>
      </c>
      <c r="H14" s="19" t="s">
        <v>62</v>
      </c>
      <c r="I14" s="19" t="s">
        <v>60</v>
      </c>
    </row>
    <row r="15" spans="1:9" ht="15">
      <c r="A15" s="154" t="s">
        <v>24</v>
      </c>
      <c r="B15" s="155"/>
      <c r="C15" s="155"/>
      <c r="D15" s="155"/>
      <c r="E15" s="156"/>
      <c r="F15" s="20">
        <v>0</v>
      </c>
      <c r="G15" s="21" t="s">
        <v>4</v>
      </c>
      <c r="H15" s="21" t="s">
        <v>4</v>
      </c>
      <c r="I15" s="20">
        <f>F15</f>
        <v>0</v>
      </c>
    </row>
    <row r="16" spans="1:9" ht="15">
      <c r="A16" s="154" t="s">
        <v>27</v>
      </c>
      <c r="B16" s="155"/>
      <c r="C16" s="155"/>
      <c r="D16" s="155"/>
      <c r="E16" s="156"/>
      <c r="F16" s="20">
        <v>0</v>
      </c>
      <c r="G16" s="21" t="s">
        <v>4</v>
      </c>
      <c r="H16" s="21" t="s">
        <v>4</v>
      </c>
      <c r="I16" s="20">
        <f>F16</f>
        <v>0</v>
      </c>
    </row>
    <row r="17" spans="1:9" ht="15">
      <c r="A17" s="157" t="s">
        <v>30</v>
      </c>
      <c r="B17" s="158"/>
      <c r="C17" s="158"/>
      <c r="D17" s="158"/>
      <c r="E17" s="159"/>
      <c r="F17" s="22">
        <v>0</v>
      </c>
      <c r="G17" s="23" t="s">
        <v>4</v>
      </c>
      <c r="H17" s="23" t="s">
        <v>4</v>
      </c>
      <c r="I17" s="22">
        <f>F17</f>
        <v>0</v>
      </c>
    </row>
    <row r="18" spans="1:9" ht="15">
      <c r="A18" s="160" t="s">
        <v>63</v>
      </c>
      <c r="B18" s="161"/>
      <c r="C18" s="161"/>
      <c r="D18" s="161"/>
      <c r="E18" s="162"/>
      <c r="F18" s="24" t="s">
        <v>4</v>
      </c>
      <c r="G18" s="25" t="s">
        <v>4</v>
      </c>
      <c r="H18" s="25" t="s">
        <v>4</v>
      </c>
      <c r="I18" s="26">
        <f>SUM(I15:I17)</f>
        <v>0</v>
      </c>
    </row>
    <row r="20" spans="1:9" ht="15">
      <c r="A20" s="151" t="s">
        <v>21</v>
      </c>
      <c r="B20" s="152"/>
      <c r="C20" s="152"/>
      <c r="D20" s="152"/>
      <c r="E20" s="153"/>
      <c r="F20" s="19" t="s">
        <v>60</v>
      </c>
      <c r="G20" s="19" t="s">
        <v>61</v>
      </c>
      <c r="H20" s="19" t="s">
        <v>62</v>
      </c>
      <c r="I20" s="19" t="s">
        <v>60</v>
      </c>
    </row>
    <row r="21" spans="1:9" ht="15">
      <c r="A21" s="154" t="s">
        <v>25</v>
      </c>
      <c r="B21" s="155"/>
      <c r="C21" s="155"/>
      <c r="D21" s="155"/>
      <c r="E21" s="156"/>
      <c r="F21" s="20">
        <v>0</v>
      </c>
      <c r="G21" s="21" t="s">
        <v>4</v>
      </c>
      <c r="H21" s="21" t="s">
        <v>4</v>
      </c>
      <c r="I21" s="20">
        <f aca="true" t="shared" si="0" ref="I21:I26">F21</f>
        <v>0</v>
      </c>
    </row>
    <row r="22" spans="1:9" ht="15">
      <c r="A22" s="154" t="s">
        <v>28</v>
      </c>
      <c r="B22" s="155"/>
      <c r="C22" s="155"/>
      <c r="D22" s="155"/>
      <c r="E22" s="156"/>
      <c r="F22" s="20">
        <v>0</v>
      </c>
      <c r="G22" s="21" t="s">
        <v>4</v>
      </c>
      <c r="H22" s="21" t="s">
        <v>4</v>
      </c>
      <c r="I22" s="20">
        <f t="shared" si="0"/>
        <v>0</v>
      </c>
    </row>
    <row r="23" spans="1:9" ht="15">
      <c r="A23" s="154" t="s">
        <v>31</v>
      </c>
      <c r="B23" s="155"/>
      <c r="C23" s="155"/>
      <c r="D23" s="155"/>
      <c r="E23" s="156"/>
      <c r="F23" s="20">
        <v>0</v>
      </c>
      <c r="G23" s="21" t="s">
        <v>4</v>
      </c>
      <c r="H23" s="21" t="s">
        <v>4</v>
      </c>
      <c r="I23" s="20">
        <f t="shared" si="0"/>
        <v>0</v>
      </c>
    </row>
    <row r="24" spans="1:9" ht="15">
      <c r="A24" s="154" t="s">
        <v>32</v>
      </c>
      <c r="B24" s="155"/>
      <c r="C24" s="155"/>
      <c r="D24" s="155"/>
      <c r="E24" s="156"/>
      <c r="F24" s="20">
        <v>0</v>
      </c>
      <c r="G24" s="21" t="s">
        <v>4</v>
      </c>
      <c r="H24" s="21" t="s">
        <v>4</v>
      </c>
      <c r="I24" s="20">
        <f t="shared" si="0"/>
        <v>0</v>
      </c>
    </row>
    <row r="25" spans="1:9" ht="15">
      <c r="A25" s="154" t="s">
        <v>34</v>
      </c>
      <c r="B25" s="155"/>
      <c r="C25" s="155"/>
      <c r="D25" s="155"/>
      <c r="E25" s="156"/>
      <c r="F25" s="20">
        <v>0</v>
      </c>
      <c r="G25" s="21" t="s">
        <v>4</v>
      </c>
      <c r="H25" s="21" t="s">
        <v>4</v>
      </c>
      <c r="I25" s="20">
        <f t="shared" si="0"/>
        <v>0</v>
      </c>
    </row>
    <row r="26" spans="1:9" ht="15">
      <c r="A26" s="157" t="s">
        <v>35</v>
      </c>
      <c r="B26" s="158"/>
      <c r="C26" s="158"/>
      <c r="D26" s="158"/>
      <c r="E26" s="159"/>
      <c r="F26" s="22">
        <v>0</v>
      </c>
      <c r="G26" s="23" t="s">
        <v>4</v>
      </c>
      <c r="H26" s="23" t="s">
        <v>4</v>
      </c>
      <c r="I26" s="22">
        <f t="shared" si="0"/>
        <v>0</v>
      </c>
    </row>
    <row r="27" spans="1:9" ht="15">
      <c r="A27" s="160" t="s">
        <v>64</v>
      </c>
      <c r="B27" s="161"/>
      <c r="C27" s="161"/>
      <c r="D27" s="161"/>
      <c r="E27" s="162"/>
      <c r="F27" s="24" t="s">
        <v>4</v>
      </c>
      <c r="G27" s="25" t="s">
        <v>4</v>
      </c>
      <c r="H27" s="25" t="s">
        <v>4</v>
      </c>
      <c r="I27" s="26">
        <f>SUM(I21:I26)</f>
        <v>0</v>
      </c>
    </row>
    <row r="29" spans="1:9" ht="15.75">
      <c r="A29" s="163" t="s">
        <v>65</v>
      </c>
      <c r="B29" s="164"/>
      <c r="C29" s="164"/>
      <c r="D29" s="164"/>
      <c r="E29" s="165"/>
      <c r="F29" s="166">
        <f>I18+I27</f>
        <v>0</v>
      </c>
      <c r="G29" s="167"/>
      <c r="H29" s="167"/>
      <c r="I29" s="168"/>
    </row>
    <row r="33" spans="1:5" ht="15.75">
      <c r="A33" s="150" t="s">
        <v>66</v>
      </c>
      <c r="B33" s="150"/>
      <c r="C33" s="150"/>
      <c r="D33" s="150"/>
      <c r="E33" s="150"/>
    </row>
    <row r="34" spans="1:9" ht="15">
      <c r="A34" s="151" t="s">
        <v>67</v>
      </c>
      <c r="B34" s="152"/>
      <c r="C34" s="152"/>
      <c r="D34" s="152"/>
      <c r="E34" s="153"/>
      <c r="F34" s="19" t="s">
        <v>60</v>
      </c>
      <c r="G34" s="19" t="s">
        <v>61</v>
      </c>
      <c r="H34" s="19" t="s">
        <v>62</v>
      </c>
      <c r="I34" s="19" t="s">
        <v>60</v>
      </c>
    </row>
    <row r="35" spans="1:9" ht="15">
      <c r="A35" s="154" t="s">
        <v>68</v>
      </c>
      <c r="B35" s="155"/>
      <c r="C35" s="155"/>
      <c r="D35" s="155"/>
      <c r="E35" s="156"/>
      <c r="F35" s="20">
        <f>SUM('Stavební rozpočet'!BM12:BM1705)</f>
        <v>0</v>
      </c>
      <c r="G35" s="21" t="s">
        <v>4</v>
      </c>
      <c r="H35" s="21" t="s">
        <v>4</v>
      </c>
      <c r="I35" s="20">
        <f aca="true" t="shared" si="1" ref="I35:I44">F35</f>
        <v>0</v>
      </c>
    </row>
    <row r="36" spans="1:9" ht="15">
      <c r="A36" s="154" t="s">
        <v>69</v>
      </c>
      <c r="B36" s="155"/>
      <c r="C36" s="155"/>
      <c r="D36" s="155"/>
      <c r="E36" s="156"/>
      <c r="F36" s="20">
        <f>SUM('Stavební rozpočet'!BN12:BN1705)</f>
        <v>0</v>
      </c>
      <c r="G36" s="21" t="s">
        <v>4</v>
      </c>
      <c r="H36" s="21" t="s">
        <v>4</v>
      </c>
      <c r="I36" s="20">
        <f t="shared" si="1"/>
        <v>0</v>
      </c>
    </row>
    <row r="37" spans="1:9" ht="15">
      <c r="A37" s="154" t="s">
        <v>25</v>
      </c>
      <c r="B37" s="155"/>
      <c r="C37" s="155"/>
      <c r="D37" s="155"/>
      <c r="E37" s="156"/>
      <c r="F37" s="20">
        <f>SUM('Stavební rozpočet'!BO12:BO1705)</f>
        <v>0</v>
      </c>
      <c r="G37" s="21" t="s">
        <v>4</v>
      </c>
      <c r="H37" s="21" t="s">
        <v>4</v>
      </c>
      <c r="I37" s="20">
        <f t="shared" si="1"/>
        <v>0</v>
      </c>
    </row>
    <row r="38" spans="1:9" ht="15">
      <c r="A38" s="154" t="s">
        <v>70</v>
      </c>
      <c r="B38" s="155"/>
      <c r="C38" s="155"/>
      <c r="D38" s="155"/>
      <c r="E38" s="156"/>
      <c r="F38" s="20">
        <f>SUM('Stavební rozpočet'!BP12:BP1705)</f>
        <v>0</v>
      </c>
      <c r="G38" s="21" t="s">
        <v>4</v>
      </c>
      <c r="H38" s="21" t="s">
        <v>4</v>
      </c>
      <c r="I38" s="20">
        <f t="shared" si="1"/>
        <v>0</v>
      </c>
    </row>
    <row r="39" spans="1:9" ht="15">
      <c r="A39" s="154" t="s">
        <v>71</v>
      </c>
      <c r="B39" s="155"/>
      <c r="C39" s="155"/>
      <c r="D39" s="155"/>
      <c r="E39" s="156"/>
      <c r="F39" s="20">
        <f>SUM('Stavební rozpočet'!BQ12:BQ1705)</f>
        <v>0</v>
      </c>
      <c r="G39" s="21" t="s">
        <v>4</v>
      </c>
      <c r="H39" s="21" t="s">
        <v>4</v>
      </c>
      <c r="I39" s="20">
        <f t="shared" si="1"/>
        <v>0</v>
      </c>
    </row>
    <row r="40" spans="1:9" ht="15">
      <c r="A40" s="154" t="s">
        <v>31</v>
      </c>
      <c r="B40" s="155"/>
      <c r="C40" s="155"/>
      <c r="D40" s="155"/>
      <c r="E40" s="156"/>
      <c r="F40" s="20">
        <f>SUM('Stavební rozpočet'!BR12:BR1705)</f>
        <v>0</v>
      </c>
      <c r="G40" s="21" t="s">
        <v>4</v>
      </c>
      <c r="H40" s="21" t="s">
        <v>4</v>
      </c>
      <c r="I40" s="20">
        <f t="shared" si="1"/>
        <v>0</v>
      </c>
    </row>
    <row r="41" spans="1:9" ht="15">
      <c r="A41" s="154" t="s">
        <v>32</v>
      </c>
      <c r="B41" s="155"/>
      <c r="C41" s="155"/>
      <c r="D41" s="155"/>
      <c r="E41" s="156"/>
      <c r="F41" s="20">
        <f>SUM('Stavební rozpočet'!BS12:BS1705)</f>
        <v>0</v>
      </c>
      <c r="G41" s="21" t="s">
        <v>4</v>
      </c>
      <c r="H41" s="21" t="s">
        <v>4</v>
      </c>
      <c r="I41" s="20">
        <f t="shared" si="1"/>
        <v>0</v>
      </c>
    </row>
    <row r="42" spans="1:9" ht="15">
      <c r="A42" s="154" t="s">
        <v>72</v>
      </c>
      <c r="B42" s="155"/>
      <c r="C42" s="155"/>
      <c r="D42" s="155"/>
      <c r="E42" s="156"/>
      <c r="F42" s="20">
        <f>SUM('Stavební rozpočet'!BT12:BT1705)</f>
        <v>0</v>
      </c>
      <c r="G42" s="21" t="s">
        <v>4</v>
      </c>
      <c r="H42" s="21" t="s">
        <v>4</v>
      </c>
      <c r="I42" s="20">
        <f t="shared" si="1"/>
        <v>0</v>
      </c>
    </row>
    <row r="43" spans="1:9" ht="15">
      <c r="A43" s="154" t="s">
        <v>73</v>
      </c>
      <c r="B43" s="155"/>
      <c r="C43" s="155"/>
      <c r="D43" s="155"/>
      <c r="E43" s="156"/>
      <c r="F43" s="20">
        <f>SUM('Stavební rozpočet'!BU12:BU1705)</f>
        <v>0</v>
      </c>
      <c r="G43" s="21" t="s">
        <v>4</v>
      </c>
      <c r="H43" s="21" t="s">
        <v>4</v>
      </c>
      <c r="I43" s="20">
        <f t="shared" si="1"/>
        <v>0</v>
      </c>
    </row>
    <row r="44" spans="1:9" ht="15">
      <c r="A44" s="157" t="s">
        <v>74</v>
      </c>
      <c r="B44" s="158"/>
      <c r="C44" s="158"/>
      <c r="D44" s="158"/>
      <c r="E44" s="159"/>
      <c r="F44" s="22">
        <f>SUM('Stavební rozpočet'!BV12:BV1705)</f>
        <v>0</v>
      </c>
      <c r="G44" s="23" t="s">
        <v>4</v>
      </c>
      <c r="H44" s="23" t="s">
        <v>4</v>
      </c>
      <c r="I44" s="22">
        <f t="shared" si="1"/>
        <v>0</v>
      </c>
    </row>
    <row r="45" spans="1:9" ht="15">
      <c r="A45" s="160" t="s">
        <v>75</v>
      </c>
      <c r="B45" s="161"/>
      <c r="C45" s="161"/>
      <c r="D45" s="161"/>
      <c r="E45" s="162"/>
      <c r="F45" s="24" t="s">
        <v>4</v>
      </c>
      <c r="G45" s="25" t="s">
        <v>4</v>
      </c>
      <c r="H45" s="25" t="s">
        <v>4</v>
      </c>
      <c r="I45" s="26">
        <f>SUM(I35:I44)</f>
        <v>0</v>
      </c>
    </row>
  </sheetData>
  <sheetProtection password="F483" sheet="1"/>
  <mergeCells count="60">
    <mergeCell ref="A41:E41"/>
    <mergeCell ref="A42:E42"/>
    <mergeCell ref="A43:E43"/>
    <mergeCell ref="A44:E44"/>
    <mergeCell ref="A45:E45"/>
    <mergeCell ref="A36:E36"/>
    <mergeCell ref="A37:E37"/>
    <mergeCell ref="A38:E38"/>
    <mergeCell ref="A39:E39"/>
    <mergeCell ref="A40:E40"/>
    <mergeCell ref="A29:E29"/>
    <mergeCell ref="F29:I29"/>
    <mergeCell ref="A33:E33"/>
    <mergeCell ref="A34:E34"/>
    <mergeCell ref="A35:E35"/>
    <mergeCell ref="A23:E23"/>
    <mergeCell ref="A24:E24"/>
    <mergeCell ref="A25:E25"/>
    <mergeCell ref="A26:E26"/>
    <mergeCell ref="A27:E27"/>
    <mergeCell ref="A17:E17"/>
    <mergeCell ref="A18:E18"/>
    <mergeCell ref="A20:E20"/>
    <mergeCell ref="A21:E21"/>
    <mergeCell ref="A22:E22"/>
    <mergeCell ref="I10:I11"/>
    <mergeCell ref="A13:E13"/>
    <mergeCell ref="A14:E14"/>
    <mergeCell ref="A15:E15"/>
    <mergeCell ref="A16:E16"/>
    <mergeCell ref="H10:H11"/>
    <mergeCell ref="C2:D3"/>
    <mergeCell ref="C4:D5"/>
    <mergeCell ref="C6:D7"/>
    <mergeCell ref="C8:D9"/>
    <mergeCell ref="C10:D11"/>
    <mergeCell ref="F2:G3"/>
    <mergeCell ref="F4:G5"/>
    <mergeCell ref="F6:G7"/>
    <mergeCell ref="F8:G9"/>
    <mergeCell ref="F10:G11"/>
    <mergeCell ref="A10:B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H2:H3"/>
    <mergeCell ref="H4:H5"/>
    <mergeCell ref="H6:H7"/>
    <mergeCell ref="H8:H9"/>
    <mergeCell ref="I2:I3"/>
    <mergeCell ref="I4:I5"/>
    <mergeCell ref="I6:I7"/>
    <mergeCell ref="I8:I9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pane ySplit="11" topLeftCell="A12" activePane="bottomLeft" state="frozen"/>
      <selection pane="bottomLeft" activeCell="G20" sqref="G20"/>
    </sheetView>
  </sheetViews>
  <sheetFormatPr defaultColWidth="12.140625" defaultRowHeight="15" customHeight="1"/>
  <cols>
    <col min="1" max="1" width="7.57421875" style="0" customWidth="1"/>
    <col min="2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07" t="s">
        <v>76</v>
      </c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 customHeight="1">
      <c r="A3" s="102"/>
      <c r="B3" s="103"/>
      <c r="C3" s="103"/>
      <c r="D3" s="111"/>
      <c r="E3" s="111"/>
      <c r="F3" s="111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8" t="s">
        <v>9</v>
      </c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8" t="s">
        <v>10</v>
      </c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8" t="s">
        <v>77</v>
      </c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172" t="s">
        <v>78</v>
      </c>
      <c r="C10" s="173"/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175" t="s">
        <v>82</v>
      </c>
      <c r="C11" s="176"/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84</v>
      </c>
      <c r="B12" s="178" t="s">
        <v>85</v>
      </c>
      <c r="C12" s="178"/>
      <c r="D12" s="178"/>
      <c r="E12" s="178"/>
      <c r="F12" s="178"/>
      <c r="G12" s="178"/>
      <c r="H12" s="178"/>
      <c r="I12" s="178"/>
      <c r="J12" s="178"/>
      <c r="K12" s="35">
        <f>'Stavební rozpočet'!I12</f>
        <v>0</v>
      </c>
      <c r="L12" s="36">
        <f>'Stavební rozpočet'!K12</f>
        <v>391.1040132</v>
      </c>
      <c r="M12" s="37" t="s">
        <v>86</v>
      </c>
      <c r="N12" s="38">
        <f aca="true" t="shared" si="0" ref="N12:N18">IF(M12="F",0,K12)</f>
        <v>0</v>
      </c>
      <c r="O12" s="2" t="s">
        <v>84</v>
      </c>
      <c r="P12" s="38">
        <f aca="true" t="shared" si="1" ref="P12:P18">IF(M12="T",0,K12)</f>
        <v>0</v>
      </c>
    </row>
    <row r="13" spans="1:16" ht="15">
      <c r="A13" s="1" t="s">
        <v>87</v>
      </c>
      <c r="B13" s="103" t="s">
        <v>88</v>
      </c>
      <c r="C13" s="103"/>
      <c r="D13" s="103"/>
      <c r="E13" s="103"/>
      <c r="F13" s="103"/>
      <c r="G13" s="103"/>
      <c r="H13" s="103"/>
      <c r="I13" s="103"/>
      <c r="J13" s="103"/>
      <c r="K13" s="38">
        <f>'Stavební rozpočet'!I1134</f>
        <v>0</v>
      </c>
      <c r="L13" s="39">
        <f>'Stavební rozpočet'!K1134</f>
        <v>0</v>
      </c>
      <c r="M13" s="37" t="s">
        <v>86</v>
      </c>
      <c r="N13" s="38">
        <f t="shared" si="0"/>
        <v>0</v>
      </c>
      <c r="O13" s="2" t="s">
        <v>87</v>
      </c>
      <c r="P13" s="38">
        <f t="shared" si="1"/>
        <v>0</v>
      </c>
    </row>
    <row r="14" spans="1:16" ht="15">
      <c r="A14" s="1" t="s">
        <v>89</v>
      </c>
      <c r="B14" s="103" t="s">
        <v>90</v>
      </c>
      <c r="C14" s="103"/>
      <c r="D14" s="103"/>
      <c r="E14" s="103"/>
      <c r="F14" s="103"/>
      <c r="G14" s="103"/>
      <c r="H14" s="103"/>
      <c r="I14" s="103"/>
      <c r="J14" s="103"/>
      <c r="K14" s="38">
        <f>'Stavební rozpočet'!I1237</f>
        <v>0</v>
      </c>
      <c r="L14" s="39">
        <f>'Stavební rozpočet'!K1237</f>
        <v>0</v>
      </c>
      <c r="M14" s="37" t="s">
        <v>86</v>
      </c>
      <c r="N14" s="38">
        <f t="shared" si="0"/>
        <v>0</v>
      </c>
      <c r="O14" s="2" t="s">
        <v>89</v>
      </c>
      <c r="P14" s="38">
        <f t="shared" si="1"/>
        <v>0</v>
      </c>
    </row>
    <row r="15" spans="1:16" ht="15">
      <c r="A15" s="1" t="s">
        <v>91</v>
      </c>
      <c r="B15" s="103" t="s">
        <v>92</v>
      </c>
      <c r="C15" s="103"/>
      <c r="D15" s="103"/>
      <c r="E15" s="103"/>
      <c r="F15" s="103"/>
      <c r="G15" s="103"/>
      <c r="H15" s="103"/>
      <c r="I15" s="103"/>
      <c r="J15" s="103"/>
      <c r="K15" s="38">
        <f>'Stavební rozpočet'!I1294</f>
        <v>0</v>
      </c>
      <c r="L15" s="39">
        <f>'Stavební rozpočet'!K1294</f>
        <v>0</v>
      </c>
      <c r="M15" s="37" t="s">
        <v>86</v>
      </c>
      <c r="N15" s="38">
        <f t="shared" si="0"/>
        <v>0</v>
      </c>
      <c r="O15" s="2" t="s">
        <v>91</v>
      </c>
      <c r="P15" s="38">
        <f t="shared" si="1"/>
        <v>0</v>
      </c>
    </row>
    <row r="16" spans="1:16" ht="15">
      <c r="A16" s="1" t="s">
        <v>93</v>
      </c>
      <c r="B16" s="103" t="s">
        <v>94</v>
      </c>
      <c r="C16" s="103"/>
      <c r="D16" s="103"/>
      <c r="E16" s="103"/>
      <c r="F16" s="103"/>
      <c r="G16" s="103"/>
      <c r="H16" s="103"/>
      <c r="I16" s="103"/>
      <c r="J16" s="103"/>
      <c r="K16" s="38">
        <f>'Stavební rozpočet'!I1333</f>
        <v>0</v>
      </c>
      <c r="L16" s="39">
        <f>'Stavební rozpočet'!K1333</f>
        <v>0</v>
      </c>
      <c r="M16" s="37" t="s">
        <v>86</v>
      </c>
      <c r="N16" s="38">
        <f t="shared" si="0"/>
        <v>0</v>
      </c>
      <c r="O16" s="2" t="s">
        <v>93</v>
      </c>
      <c r="P16" s="38">
        <f t="shared" si="1"/>
        <v>0</v>
      </c>
    </row>
    <row r="17" spans="1:16" ht="15">
      <c r="A17" s="1" t="s">
        <v>95</v>
      </c>
      <c r="B17" s="103" t="s">
        <v>96</v>
      </c>
      <c r="C17" s="103"/>
      <c r="D17" s="103"/>
      <c r="E17" s="103"/>
      <c r="F17" s="103"/>
      <c r="G17" s="103"/>
      <c r="H17" s="103"/>
      <c r="I17" s="103"/>
      <c r="J17" s="103"/>
      <c r="K17" s="38">
        <f>'Stavební rozpočet'!I1541</f>
        <v>0</v>
      </c>
      <c r="L17" s="39">
        <f>'Stavební rozpočet'!K1541</f>
        <v>0</v>
      </c>
      <c r="M17" s="37" t="s">
        <v>86</v>
      </c>
      <c r="N17" s="38">
        <f t="shared" si="0"/>
        <v>0</v>
      </c>
      <c r="O17" s="2" t="s">
        <v>95</v>
      </c>
      <c r="P17" s="38">
        <f t="shared" si="1"/>
        <v>0</v>
      </c>
    </row>
    <row r="18" spans="1:16" ht="15">
      <c r="A18" s="3" t="s">
        <v>97</v>
      </c>
      <c r="B18" s="106" t="s">
        <v>57</v>
      </c>
      <c r="C18" s="106"/>
      <c r="D18" s="106"/>
      <c r="E18" s="106"/>
      <c r="F18" s="106"/>
      <c r="G18" s="106"/>
      <c r="H18" s="106"/>
      <c r="I18" s="106"/>
      <c r="J18" s="106"/>
      <c r="K18" s="40">
        <f>'Stavební rozpočet'!I1689</f>
        <v>0</v>
      </c>
      <c r="L18" s="41">
        <f>'Stavební rozpočet'!K1689</f>
        <v>0</v>
      </c>
      <c r="M18" s="37" t="s">
        <v>86</v>
      </c>
      <c r="N18" s="38">
        <f t="shared" si="0"/>
        <v>0</v>
      </c>
      <c r="O18" s="2" t="s">
        <v>97</v>
      </c>
      <c r="P18" s="38">
        <f t="shared" si="1"/>
        <v>0</v>
      </c>
    </row>
    <row r="19" spans="9:11" ht="15">
      <c r="I19" s="179" t="s">
        <v>98</v>
      </c>
      <c r="J19" s="179"/>
      <c r="K19" s="42">
        <f>ROUND(SUM(P12:P18),0)</f>
        <v>0</v>
      </c>
    </row>
    <row r="20" ht="15">
      <c r="A20" s="43" t="s">
        <v>56</v>
      </c>
    </row>
    <row r="21" spans="1:12" ht="12.75" customHeight="1">
      <c r="A21" s="108" t="s">
        <v>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</sheetData>
  <sheetProtection password="F483" sheet="1" objects="1" scenarios="1"/>
  <mergeCells count="36">
    <mergeCell ref="B16:J16"/>
    <mergeCell ref="B17:J17"/>
    <mergeCell ref="B18:J18"/>
    <mergeCell ref="I19:J19"/>
    <mergeCell ref="A21:L21"/>
    <mergeCell ref="B11:J11"/>
    <mergeCell ref="B12:J12"/>
    <mergeCell ref="B13:J13"/>
    <mergeCell ref="B14:J14"/>
    <mergeCell ref="B15:J15"/>
    <mergeCell ref="J2:L3"/>
    <mergeCell ref="J4:L5"/>
    <mergeCell ref="J6:L7"/>
    <mergeCell ref="J8:L9"/>
    <mergeCell ref="B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708"/>
  <sheetViews>
    <sheetView tabSelected="1" workbookViewId="0" topLeftCell="A1">
      <pane ySplit="11" topLeftCell="A12" activePane="bottomLeft" state="frozen"/>
      <selection pane="bottomLeft" activeCell="D28" sqref="D28:L28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6.71093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09" t="s">
        <v>100</v>
      </c>
      <c r="E2" s="110"/>
      <c r="F2" s="101" t="s">
        <v>76</v>
      </c>
      <c r="G2" s="101"/>
      <c r="H2" s="180" t="s">
        <v>78</v>
      </c>
      <c r="I2" s="107" t="s">
        <v>2</v>
      </c>
      <c r="J2" s="107" t="s">
        <v>101</v>
      </c>
      <c r="K2" s="101"/>
      <c r="L2" s="112"/>
    </row>
    <row r="3" spans="1:12" ht="15">
      <c r="A3" s="102"/>
      <c r="B3" s="103"/>
      <c r="C3" s="103"/>
      <c r="D3" s="111"/>
      <c r="E3" s="111"/>
      <c r="F3" s="103"/>
      <c r="G3" s="103"/>
      <c r="H3" s="181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">
        <v>102</v>
      </c>
      <c r="E4" s="103"/>
      <c r="F4" s="103" t="s">
        <v>9</v>
      </c>
      <c r="G4" s="103"/>
      <c r="H4" s="181"/>
      <c r="I4" s="108" t="s">
        <v>6</v>
      </c>
      <c r="J4" s="108" t="s">
        <v>103</v>
      </c>
      <c r="K4" s="103"/>
      <c r="L4" s="113"/>
    </row>
    <row r="5" spans="1:12" ht="15">
      <c r="A5" s="102"/>
      <c r="B5" s="103"/>
      <c r="C5" s="103"/>
      <c r="D5" s="103"/>
      <c r="E5" s="103"/>
      <c r="F5" s="103"/>
      <c r="G5" s="103"/>
      <c r="H5" s="181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">
        <v>104</v>
      </c>
      <c r="E6" s="103"/>
      <c r="F6" s="103" t="s">
        <v>10</v>
      </c>
      <c r="G6" s="103"/>
      <c r="H6" s="181" t="s">
        <v>78</v>
      </c>
      <c r="I6" s="108" t="s">
        <v>8</v>
      </c>
      <c r="J6" s="183"/>
      <c r="K6" s="181"/>
      <c r="L6" s="184"/>
    </row>
    <row r="7" spans="1:12" ht="15">
      <c r="A7" s="102"/>
      <c r="B7" s="103"/>
      <c r="C7" s="103"/>
      <c r="D7" s="103"/>
      <c r="E7" s="103"/>
      <c r="F7" s="103"/>
      <c r="G7" s="103"/>
      <c r="H7" s="181"/>
      <c r="I7" s="103"/>
      <c r="J7" s="181"/>
      <c r="K7" s="181"/>
      <c r="L7" s="184"/>
    </row>
    <row r="8" spans="1:12" ht="15">
      <c r="A8" s="104" t="s">
        <v>12</v>
      </c>
      <c r="B8" s="103"/>
      <c r="C8" s="103"/>
      <c r="D8" s="108" t="s">
        <v>78</v>
      </c>
      <c r="E8" s="103"/>
      <c r="F8" s="103" t="s">
        <v>77</v>
      </c>
      <c r="G8" s="103"/>
      <c r="H8" s="181"/>
      <c r="I8" s="108" t="s">
        <v>13</v>
      </c>
      <c r="J8" s="183"/>
      <c r="K8" s="181"/>
      <c r="L8" s="184"/>
    </row>
    <row r="9" spans="1:12" ht="15">
      <c r="A9" s="169"/>
      <c r="B9" s="170"/>
      <c r="C9" s="170"/>
      <c r="D9" s="170"/>
      <c r="E9" s="170"/>
      <c r="F9" s="170"/>
      <c r="G9" s="170"/>
      <c r="H9" s="182"/>
      <c r="I9" s="170"/>
      <c r="J9" s="182"/>
      <c r="K9" s="182"/>
      <c r="L9" s="185"/>
    </row>
    <row r="10" spans="1:75" ht="15">
      <c r="A10" s="45" t="s">
        <v>105</v>
      </c>
      <c r="B10" s="46" t="s">
        <v>81</v>
      </c>
      <c r="C10" s="46" t="s">
        <v>106</v>
      </c>
      <c r="D10" s="186" t="s">
        <v>82</v>
      </c>
      <c r="E10" s="187"/>
      <c r="F10" s="46" t="s">
        <v>107</v>
      </c>
      <c r="G10" s="47" t="s">
        <v>108</v>
      </c>
      <c r="H10" s="48" t="s">
        <v>109</v>
      </c>
      <c r="I10" s="28" t="s">
        <v>79</v>
      </c>
      <c r="J10" s="188" t="s">
        <v>80</v>
      </c>
      <c r="K10" s="189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54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84</v>
      </c>
      <c r="C12" s="59" t="s">
        <v>4</v>
      </c>
      <c r="D12" s="190" t="s">
        <v>85</v>
      </c>
      <c r="E12" s="191"/>
      <c r="F12" s="60" t="s">
        <v>78</v>
      </c>
      <c r="G12" s="60" t="s">
        <v>78</v>
      </c>
      <c r="H12" s="61" t="s">
        <v>78</v>
      </c>
      <c r="I12" s="62">
        <f>I13+I19+I23+I40+I47+I95+I135+I162+I192+I196+I212+I236+I298+I303+I357+I383+I419+I429+I486+I501+I543+I634+I689+I755+I763+I789+I829+I846+I881+I909+I919+I929+I937+I943+I960+I1031+I1099+I1102+I1108+I1120</f>
        <v>0</v>
      </c>
      <c r="J12" s="63" t="s">
        <v>4</v>
      </c>
      <c r="K12" s="62">
        <f>K13+K19+K23+K40+K47+K95+K135+K162+K192+K196+K212+K236+K298+K303+K357+K383+K419+K429+K486+K501+K543+K634+K689+K755+K763+K789+K829+K846+K881+K909+K919+K929+K937+K943+K960+K1031+K1099+K1102+K1108+K1120</f>
        <v>391.1040132</v>
      </c>
      <c r="L12" s="64" t="s">
        <v>4</v>
      </c>
    </row>
    <row r="13" spans="1:47" ht="15">
      <c r="A13" s="65" t="s">
        <v>4</v>
      </c>
      <c r="B13" s="66" t="s">
        <v>84</v>
      </c>
      <c r="C13" s="66" t="s">
        <v>130</v>
      </c>
      <c r="D13" s="192" t="s">
        <v>131</v>
      </c>
      <c r="E13" s="193"/>
      <c r="F13" s="67" t="s">
        <v>78</v>
      </c>
      <c r="G13" s="67" t="s">
        <v>78</v>
      </c>
      <c r="H13" s="68" t="s">
        <v>78</v>
      </c>
      <c r="I13" s="44">
        <f>SUM(I14:I17)</f>
        <v>0</v>
      </c>
      <c r="J13" s="50" t="s">
        <v>4</v>
      </c>
      <c r="K13" s="44">
        <f>SUM(K14:K17)</f>
        <v>0</v>
      </c>
      <c r="L13" s="69" t="s">
        <v>4</v>
      </c>
      <c r="AI13" s="50" t="s">
        <v>84</v>
      </c>
      <c r="AS13" s="44">
        <f>SUM(AJ14:AJ17)</f>
        <v>0</v>
      </c>
      <c r="AT13" s="44">
        <f>SUM(AK14:AK17)</f>
        <v>0</v>
      </c>
      <c r="AU13" s="44">
        <f>SUM(AL14:AL17)</f>
        <v>0</v>
      </c>
    </row>
    <row r="14" spans="1:75" ht="13.5" customHeight="1">
      <c r="A14" s="1" t="s">
        <v>132</v>
      </c>
      <c r="B14" s="2" t="s">
        <v>84</v>
      </c>
      <c r="C14" s="2" t="s">
        <v>133</v>
      </c>
      <c r="D14" s="108" t="s">
        <v>134</v>
      </c>
      <c r="E14" s="103"/>
      <c r="F14" s="2" t="s">
        <v>135</v>
      </c>
      <c r="G14" s="38">
        <v>1.12</v>
      </c>
      <c r="H14" s="70">
        <v>0</v>
      </c>
      <c r="I14" s="38">
        <f>G14*H14</f>
        <v>0</v>
      </c>
      <c r="J14" s="38">
        <v>0</v>
      </c>
      <c r="K14" s="38">
        <f>G14*J14</f>
        <v>0</v>
      </c>
      <c r="L14" s="71" t="s">
        <v>136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84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137</v>
      </c>
      <c r="AZ14" s="72" t="s">
        <v>138</v>
      </c>
      <c r="BA14" s="50" t="s">
        <v>139</v>
      </c>
      <c r="BB14" s="73">
        <v>100042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>
        <v>12</v>
      </c>
      <c r="BW14" s="38">
        <v>21</v>
      </c>
    </row>
    <row r="15" spans="1:12" ht="13.5" customHeight="1">
      <c r="A15" s="74"/>
      <c r="D15" s="194" t="s">
        <v>140</v>
      </c>
      <c r="E15" s="195"/>
      <c r="F15" s="195"/>
      <c r="G15" s="195"/>
      <c r="H15" s="196"/>
      <c r="I15" s="195"/>
      <c r="J15" s="195"/>
      <c r="K15" s="195"/>
      <c r="L15" s="197"/>
    </row>
    <row r="16" spans="1:12" ht="15">
      <c r="A16" s="74"/>
      <c r="D16" s="75" t="s">
        <v>141</v>
      </c>
      <c r="E16" s="75" t="s">
        <v>142</v>
      </c>
      <c r="G16" s="76">
        <v>1.12</v>
      </c>
      <c r="L16" s="77"/>
    </row>
    <row r="17" spans="1:75" ht="13.5" customHeight="1">
      <c r="A17" s="1" t="s">
        <v>143</v>
      </c>
      <c r="B17" s="2" t="s">
        <v>84</v>
      </c>
      <c r="C17" s="2" t="s">
        <v>144</v>
      </c>
      <c r="D17" s="108" t="s">
        <v>145</v>
      </c>
      <c r="E17" s="103"/>
      <c r="F17" s="2" t="s">
        <v>135</v>
      </c>
      <c r="G17" s="38">
        <v>0.56</v>
      </c>
      <c r="H17" s="70">
        <v>0</v>
      </c>
      <c r="I17" s="38">
        <f>G17*H17</f>
        <v>0</v>
      </c>
      <c r="J17" s="38">
        <v>0</v>
      </c>
      <c r="K17" s="38">
        <f>G17*J17</f>
        <v>0</v>
      </c>
      <c r="L17" s="71" t="s">
        <v>136</v>
      </c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50" t="s">
        <v>84</v>
      </c>
      <c r="AJ17" s="38">
        <f>IF(AN17=0,I17,0)</f>
        <v>0</v>
      </c>
      <c r="AK17" s="38">
        <f>IF(AN17=12,I17,0)</f>
        <v>0</v>
      </c>
      <c r="AL17" s="38">
        <f>IF(AN17=21,I17,0)</f>
        <v>0</v>
      </c>
      <c r="AN17" s="38">
        <v>21</v>
      </c>
      <c r="AO17" s="38">
        <f>H17*0</f>
        <v>0</v>
      </c>
      <c r="AP17" s="38">
        <f>H17*(1-0)</f>
        <v>0</v>
      </c>
      <c r="AQ17" s="72" t="s">
        <v>132</v>
      </c>
      <c r="AV17" s="38">
        <f>AW17+AX17</f>
        <v>0</v>
      </c>
      <c r="AW17" s="38">
        <f>G17*AO17</f>
        <v>0</v>
      </c>
      <c r="AX17" s="38">
        <f>G17*AP17</f>
        <v>0</v>
      </c>
      <c r="AY17" s="72" t="s">
        <v>137</v>
      </c>
      <c r="AZ17" s="72" t="s">
        <v>138</v>
      </c>
      <c r="BA17" s="50" t="s">
        <v>139</v>
      </c>
      <c r="BB17" s="73">
        <v>100042</v>
      </c>
      <c r="BC17" s="38">
        <f>AW17+AX17</f>
        <v>0</v>
      </c>
      <c r="BD17" s="38">
        <f>H17/(100-BE17)*100</f>
        <v>0</v>
      </c>
      <c r="BE17" s="38">
        <v>0</v>
      </c>
      <c r="BF17" s="38">
        <f>K17</f>
        <v>0</v>
      </c>
      <c r="BH17" s="38">
        <f>G17*AO17</f>
        <v>0</v>
      </c>
      <c r="BI17" s="38">
        <f>G17*AP17</f>
        <v>0</v>
      </c>
      <c r="BJ17" s="38">
        <f>G17*H17</f>
        <v>0</v>
      </c>
      <c r="BK17" s="38"/>
      <c r="BL17" s="38">
        <v>12</v>
      </c>
      <c r="BW17" s="38">
        <v>21</v>
      </c>
    </row>
    <row r="18" spans="1:12" ht="15">
      <c r="A18" s="74"/>
      <c r="D18" s="75" t="s">
        <v>146</v>
      </c>
      <c r="E18" s="75" t="s">
        <v>4</v>
      </c>
      <c r="G18" s="76">
        <v>0.56</v>
      </c>
      <c r="L18" s="77"/>
    </row>
    <row r="19" spans="1:47" ht="15">
      <c r="A19" s="65" t="s">
        <v>4</v>
      </c>
      <c r="B19" s="66" t="s">
        <v>84</v>
      </c>
      <c r="C19" s="66" t="s">
        <v>147</v>
      </c>
      <c r="D19" s="192" t="s">
        <v>148</v>
      </c>
      <c r="E19" s="193"/>
      <c r="F19" s="67" t="s">
        <v>78</v>
      </c>
      <c r="G19" s="67" t="s">
        <v>78</v>
      </c>
      <c r="H19" s="68" t="s">
        <v>78</v>
      </c>
      <c r="I19" s="44">
        <f>SUM(I20:I20)</f>
        <v>0</v>
      </c>
      <c r="J19" s="50" t="s">
        <v>4</v>
      </c>
      <c r="K19" s="44">
        <f>SUM(K20:K20)</f>
        <v>0</v>
      </c>
      <c r="L19" s="69" t="s">
        <v>4</v>
      </c>
      <c r="AI19" s="50" t="s">
        <v>84</v>
      </c>
      <c r="AS19" s="44">
        <f>SUM(AJ20:AJ20)</f>
        <v>0</v>
      </c>
      <c r="AT19" s="44">
        <f>SUM(AK20:AK20)</f>
        <v>0</v>
      </c>
      <c r="AU19" s="44">
        <f>SUM(AL20:AL20)</f>
        <v>0</v>
      </c>
    </row>
    <row r="20" spans="1:75" ht="13.5" customHeight="1">
      <c r="A20" s="1" t="s">
        <v>149</v>
      </c>
      <c r="B20" s="2" t="s">
        <v>84</v>
      </c>
      <c r="C20" s="2" t="s">
        <v>150</v>
      </c>
      <c r="D20" s="108" t="s">
        <v>151</v>
      </c>
      <c r="E20" s="103"/>
      <c r="F20" s="2" t="s">
        <v>135</v>
      </c>
      <c r="G20" s="38">
        <v>2.52</v>
      </c>
      <c r="H20" s="70">
        <v>0</v>
      </c>
      <c r="I20" s="38">
        <f>G20*H20</f>
        <v>0</v>
      </c>
      <c r="J20" s="38">
        <v>0</v>
      </c>
      <c r="K20" s="38">
        <f>G20*J20</f>
        <v>0</v>
      </c>
      <c r="L20" s="71" t="s">
        <v>136</v>
      </c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50" t="s">
        <v>84</v>
      </c>
      <c r="AJ20" s="38">
        <f>IF(AN20=0,I20,0)</f>
        <v>0</v>
      </c>
      <c r="AK20" s="38">
        <f>IF(AN20=12,I20,0)</f>
        <v>0</v>
      </c>
      <c r="AL20" s="38">
        <f>IF(AN20=21,I20,0)</f>
        <v>0</v>
      </c>
      <c r="AN20" s="38">
        <v>21</v>
      </c>
      <c r="AO20" s="38">
        <f>H20*0</f>
        <v>0</v>
      </c>
      <c r="AP20" s="38">
        <f>H20*(1-0)</f>
        <v>0</v>
      </c>
      <c r="AQ20" s="72" t="s">
        <v>132</v>
      </c>
      <c r="AV20" s="38">
        <f>AW20+AX20</f>
        <v>0</v>
      </c>
      <c r="AW20" s="38">
        <f>G20*AO20</f>
        <v>0</v>
      </c>
      <c r="AX20" s="38">
        <f>G20*AP20</f>
        <v>0</v>
      </c>
      <c r="AY20" s="72" t="s">
        <v>152</v>
      </c>
      <c r="AZ20" s="72" t="s">
        <v>138</v>
      </c>
      <c r="BA20" s="50" t="s">
        <v>139</v>
      </c>
      <c r="BB20" s="73">
        <v>100020</v>
      </c>
      <c r="BC20" s="38">
        <f>AW20+AX20</f>
        <v>0</v>
      </c>
      <c r="BD20" s="38">
        <f>H20/(100-BE20)*100</f>
        <v>0</v>
      </c>
      <c r="BE20" s="38">
        <v>0</v>
      </c>
      <c r="BF20" s="38">
        <f>K20</f>
        <v>0</v>
      </c>
      <c r="BH20" s="38">
        <f>G20*AO20</f>
        <v>0</v>
      </c>
      <c r="BI20" s="38">
        <f>G20*AP20</f>
        <v>0</v>
      </c>
      <c r="BJ20" s="38">
        <f>G20*H20</f>
        <v>0</v>
      </c>
      <c r="BK20" s="38"/>
      <c r="BL20" s="38">
        <v>13</v>
      </c>
      <c r="BW20" s="38">
        <v>21</v>
      </c>
    </row>
    <row r="21" spans="1:12" ht="13.5" customHeight="1">
      <c r="A21" s="74"/>
      <c r="D21" s="194" t="s">
        <v>153</v>
      </c>
      <c r="E21" s="195"/>
      <c r="F21" s="195"/>
      <c r="G21" s="195"/>
      <c r="H21" s="196"/>
      <c r="I21" s="195"/>
      <c r="J21" s="195"/>
      <c r="K21" s="195"/>
      <c r="L21" s="197"/>
    </row>
    <row r="22" spans="1:12" ht="15">
      <c r="A22" s="74"/>
      <c r="D22" s="75" t="s">
        <v>154</v>
      </c>
      <c r="E22" s="75" t="s">
        <v>4</v>
      </c>
      <c r="G22" s="76">
        <v>2.52</v>
      </c>
      <c r="L22" s="77"/>
    </row>
    <row r="23" spans="1:47" ht="15">
      <c r="A23" s="65" t="s">
        <v>4</v>
      </c>
      <c r="B23" s="66" t="s">
        <v>84</v>
      </c>
      <c r="C23" s="66" t="s">
        <v>155</v>
      </c>
      <c r="D23" s="192" t="s">
        <v>156</v>
      </c>
      <c r="E23" s="193"/>
      <c r="F23" s="67" t="s">
        <v>78</v>
      </c>
      <c r="G23" s="67" t="s">
        <v>78</v>
      </c>
      <c r="H23" s="68" t="s">
        <v>78</v>
      </c>
      <c r="I23" s="44">
        <f>SUM(I24:I37)</f>
        <v>0</v>
      </c>
      <c r="J23" s="50" t="s">
        <v>4</v>
      </c>
      <c r="K23" s="44">
        <f>SUM(K24:K37)</f>
        <v>0</v>
      </c>
      <c r="L23" s="69" t="s">
        <v>4</v>
      </c>
      <c r="AI23" s="50" t="s">
        <v>84</v>
      </c>
      <c r="AS23" s="44">
        <f>SUM(AJ24:AJ37)</f>
        <v>0</v>
      </c>
      <c r="AT23" s="44">
        <f>SUM(AK24:AK37)</f>
        <v>0</v>
      </c>
      <c r="AU23" s="44">
        <f>SUM(AL24:AL37)</f>
        <v>0</v>
      </c>
    </row>
    <row r="24" spans="1:75" ht="13.5" customHeight="1">
      <c r="A24" s="1" t="s">
        <v>157</v>
      </c>
      <c r="B24" s="2" t="s">
        <v>84</v>
      </c>
      <c r="C24" s="2" t="s">
        <v>158</v>
      </c>
      <c r="D24" s="108" t="s">
        <v>159</v>
      </c>
      <c r="E24" s="103"/>
      <c r="F24" s="2" t="s">
        <v>135</v>
      </c>
      <c r="G24" s="38">
        <v>2.52</v>
      </c>
      <c r="H24" s="70">
        <v>0</v>
      </c>
      <c r="I24" s="38">
        <f>G24*H24</f>
        <v>0</v>
      </c>
      <c r="J24" s="38">
        <v>0</v>
      </c>
      <c r="K24" s="38">
        <f>G24*J24</f>
        <v>0</v>
      </c>
      <c r="L24" s="71" t="s">
        <v>136</v>
      </c>
      <c r="Z24" s="38">
        <f>IF(AQ24="5",BJ24,0)</f>
        <v>0</v>
      </c>
      <c r="AB24" s="38">
        <f>IF(AQ24="1",BH24,0)</f>
        <v>0</v>
      </c>
      <c r="AC24" s="38">
        <f>IF(AQ24="1",BI24,0)</f>
        <v>0</v>
      </c>
      <c r="AD24" s="38">
        <f>IF(AQ24="7",BH24,0)</f>
        <v>0</v>
      </c>
      <c r="AE24" s="38">
        <f>IF(AQ24="7",BI24,0)</f>
        <v>0</v>
      </c>
      <c r="AF24" s="38">
        <f>IF(AQ24="2",BH24,0)</f>
        <v>0</v>
      </c>
      <c r="AG24" s="38">
        <f>IF(AQ24="2",BI24,0)</f>
        <v>0</v>
      </c>
      <c r="AH24" s="38">
        <f>IF(AQ24="0",BJ24,0)</f>
        <v>0</v>
      </c>
      <c r="AI24" s="50" t="s">
        <v>84</v>
      </c>
      <c r="AJ24" s="38">
        <f>IF(AN24=0,I24,0)</f>
        <v>0</v>
      </c>
      <c r="AK24" s="38">
        <f>IF(AN24=12,I24,0)</f>
        <v>0</v>
      </c>
      <c r="AL24" s="38">
        <f>IF(AN24=21,I24,0)</f>
        <v>0</v>
      </c>
      <c r="AN24" s="38">
        <v>21</v>
      </c>
      <c r="AO24" s="38">
        <f>H24*0</f>
        <v>0</v>
      </c>
      <c r="AP24" s="38">
        <f>H24*(1-0)</f>
        <v>0</v>
      </c>
      <c r="AQ24" s="72" t="s">
        <v>132</v>
      </c>
      <c r="AV24" s="38">
        <f>AW24+AX24</f>
        <v>0</v>
      </c>
      <c r="AW24" s="38">
        <f>G24*AO24</f>
        <v>0</v>
      </c>
      <c r="AX24" s="38">
        <f>G24*AP24</f>
        <v>0</v>
      </c>
      <c r="AY24" s="72" t="s">
        <v>160</v>
      </c>
      <c r="AZ24" s="72" t="s">
        <v>138</v>
      </c>
      <c r="BA24" s="50" t="s">
        <v>139</v>
      </c>
      <c r="BB24" s="73">
        <v>100024</v>
      </c>
      <c r="BC24" s="38">
        <f>AW24+AX24</f>
        <v>0</v>
      </c>
      <c r="BD24" s="38">
        <f>H24/(100-BE24)*100</f>
        <v>0</v>
      </c>
      <c r="BE24" s="38">
        <v>0</v>
      </c>
      <c r="BF24" s="38">
        <f>K24</f>
        <v>0</v>
      </c>
      <c r="BH24" s="38">
        <f>G24*AO24</f>
        <v>0</v>
      </c>
      <c r="BI24" s="38">
        <f>G24*AP24</f>
        <v>0</v>
      </c>
      <c r="BJ24" s="38">
        <f>G24*H24</f>
        <v>0</v>
      </c>
      <c r="BK24" s="38"/>
      <c r="BL24" s="38">
        <v>16</v>
      </c>
      <c r="BW24" s="38">
        <v>21</v>
      </c>
    </row>
    <row r="25" spans="1:12" ht="13.5" customHeight="1">
      <c r="A25" s="74"/>
      <c r="D25" s="194" t="s">
        <v>153</v>
      </c>
      <c r="E25" s="195"/>
      <c r="F25" s="195"/>
      <c r="G25" s="195"/>
      <c r="H25" s="196"/>
      <c r="I25" s="195"/>
      <c r="J25" s="195"/>
      <c r="K25" s="195"/>
      <c r="L25" s="197"/>
    </row>
    <row r="26" spans="1:12" ht="15">
      <c r="A26" s="74"/>
      <c r="D26" s="75" t="s">
        <v>161</v>
      </c>
      <c r="E26" s="75" t="s">
        <v>4</v>
      </c>
      <c r="G26" s="76">
        <v>2.52</v>
      </c>
      <c r="L26" s="77"/>
    </row>
    <row r="27" spans="1:75" ht="13.5" customHeight="1">
      <c r="A27" s="1" t="s">
        <v>162</v>
      </c>
      <c r="B27" s="2" t="s">
        <v>84</v>
      </c>
      <c r="C27" s="2" t="s">
        <v>163</v>
      </c>
      <c r="D27" s="108" t="s">
        <v>164</v>
      </c>
      <c r="E27" s="103"/>
      <c r="F27" s="2" t="s">
        <v>135</v>
      </c>
      <c r="G27" s="38">
        <v>5.04</v>
      </c>
      <c r="H27" s="70">
        <v>0</v>
      </c>
      <c r="I27" s="38">
        <f>G27*H27</f>
        <v>0</v>
      </c>
      <c r="J27" s="38">
        <v>0</v>
      </c>
      <c r="K27" s="38">
        <f>G27*J27</f>
        <v>0</v>
      </c>
      <c r="L27" s="71" t="s">
        <v>136</v>
      </c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50" t="s">
        <v>84</v>
      </c>
      <c r="AJ27" s="38">
        <f>IF(AN27=0,I27,0)</f>
        <v>0</v>
      </c>
      <c r="AK27" s="38">
        <f>IF(AN27=12,I27,0)</f>
        <v>0</v>
      </c>
      <c r="AL27" s="38">
        <f>IF(AN27=21,I27,0)</f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132</v>
      </c>
      <c r="AV27" s="38">
        <f>AW27+AX27</f>
        <v>0</v>
      </c>
      <c r="AW27" s="38">
        <f>G27*AO27</f>
        <v>0</v>
      </c>
      <c r="AX27" s="38">
        <f>G27*AP27</f>
        <v>0</v>
      </c>
      <c r="AY27" s="72" t="s">
        <v>160</v>
      </c>
      <c r="AZ27" s="72" t="s">
        <v>138</v>
      </c>
      <c r="BA27" s="50" t="s">
        <v>139</v>
      </c>
      <c r="BB27" s="73">
        <v>100024</v>
      </c>
      <c r="BC27" s="38">
        <f>AW27+AX27</f>
        <v>0</v>
      </c>
      <c r="BD27" s="38">
        <f>H27/(100-BE27)*100</f>
        <v>0</v>
      </c>
      <c r="BE27" s="38">
        <v>0</v>
      </c>
      <c r="BF27" s="38">
        <f>K27</f>
        <v>0</v>
      </c>
      <c r="BH27" s="38">
        <f>G27*AO27</f>
        <v>0</v>
      </c>
      <c r="BI27" s="38">
        <f>G27*AP27</f>
        <v>0</v>
      </c>
      <c r="BJ27" s="38">
        <f>G27*H27</f>
        <v>0</v>
      </c>
      <c r="BK27" s="38"/>
      <c r="BL27" s="38">
        <v>16</v>
      </c>
      <c r="BW27" s="38">
        <v>21</v>
      </c>
    </row>
    <row r="28" spans="1:12" ht="13.5" customHeight="1">
      <c r="A28" s="74"/>
      <c r="D28" s="194" t="s">
        <v>153</v>
      </c>
      <c r="E28" s="195"/>
      <c r="F28" s="195"/>
      <c r="G28" s="195"/>
      <c r="H28" s="196"/>
      <c r="I28" s="195"/>
      <c r="J28" s="195"/>
      <c r="K28" s="195"/>
      <c r="L28" s="197"/>
    </row>
    <row r="29" spans="1:12" ht="15">
      <c r="A29" s="74"/>
      <c r="D29" s="75" t="s">
        <v>165</v>
      </c>
      <c r="E29" s="75" t="s">
        <v>4</v>
      </c>
      <c r="G29" s="76">
        <v>5.04</v>
      </c>
      <c r="L29" s="77"/>
    </row>
    <row r="30" spans="1:75" ht="13.5" customHeight="1">
      <c r="A30" s="1" t="s">
        <v>166</v>
      </c>
      <c r="B30" s="2" t="s">
        <v>84</v>
      </c>
      <c r="C30" s="2" t="s">
        <v>167</v>
      </c>
      <c r="D30" s="108" t="s">
        <v>168</v>
      </c>
      <c r="E30" s="103"/>
      <c r="F30" s="2" t="s">
        <v>135</v>
      </c>
      <c r="G30" s="38">
        <v>2.52</v>
      </c>
      <c r="H30" s="70">
        <v>0</v>
      </c>
      <c r="I30" s="38">
        <f>G30*H30</f>
        <v>0</v>
      </c>
      <c r="J30" s="38">
        <v>0</v>
      </c>
      <c r="K30" s="38">
        <f>G30*J30</f>
        <v>0</v>
      </c>
      <c r="L30" s="71" t="s">
        <v>136</v>
      </c>
      <c r="Z30" s="38">
        <f>IF(AQ30="5",BJ30,0)</f>
        <v>0</v>
      </c>
      <c r="AB30" s="38">
        <f>IF(AQ30="1",BH30,0)</f>
        <v>0</v>
      </c>
      <c r="AC30" s="38">
        <f>IF(AQ30="1",BI30,0)</f>
        <v>0</v>
      </c>
      <c r="AD30" s="38">
        <f>IF(AQ30="7",BH30,0)</f>
        <v>0</v>
      </c>
      <c r="AE30" s="38">
        <f>IF(AQ30="7",BI30,0)</f>
        <v>0</v>
      </c>
      <c r="AF30" s="38">
        <f>IF(AQ30="2",BH30,0)</f>
        <v>0</v>
      </c>
      <c r="AG30" s="38">
        <f>IF(AQ30="2",BI30,0)</f>
        <v>0</v>
      </c>
      <c r="AH30" s="38">
        <f>IF(AQ30="0",BJ30,0)</f>
        <v>0</v>
      </c>
      <c r="AI30" s="50" t="s">
        <v>84</v>
      </c>
      <c r="AJ30" s="38">
        <f>IF(AN30=0,I30,0)</f>
        <v>0</v>
      </c>
      <c r="AK30" s="38">
        <f>IF(AN30=12,I30,0)</f>
        <v>0</v>
      </c>
      <c r="AL30" s="38">
        <f>IF(AN30=21,I30,0)</f>
        <v>0</v>
      </c>
      <c r="AN30" s="38">
        <v>21</v>
      </c>
      <c r="AO30" s="38">
        <f>H30*0</f>
        <v>0</v>
      </c>
      <c r="AP30" s="38">
        <f>H30*(1-0)</f>
        <v>0</v>
      </c>
      <c r="AQ30" s="72" t="s">
        <v>132</v>
      </c>
      <c r="AV30" s="38">
        <f>AW30+AX30</f>
        <v>0</v>
      </c>
      <c r="AW30" s="38">
        <f>G30*AO30</f>
        <v>0</v>
      </c>
      <c r="AX30" s="38">
        <f>G30*AP30</f>
        <v>0</v>
      </c>
      <c r="AY30" s="72" t="s">
        <v>160</v>
      </c>
      <c r="AZ30" s="72" t="s">
        <v>138</v>
      </c>
      <c r="BA30" s="50" t="s">
        <v>139</v>
      </c>
      <c r="BB30" s="73">
        <v>100024</v>
      </c>
      <c r="BC30" s="38">
        <f>AW30+AX30</f>
        <v>0</v>
      </c>
      <c r="BD30" s="38">
        <f>H30/(100-BE30)*100</f>
        <v>0</v>
      </c>
      <c r="BE30" s="38">
        <v>0</v>
      </c>
      <c r="BF30" s="38">
        <f>K30</f>
        <v>0</v>
      </c>
      <c r="BH30" s="38">
        <f>G30*AO30</f>
        <v>0</v>
      </c>
      <c r="BI30" s="38">
        <f>G30*AP30</f>
        <v>0</v>
      </c>
      <c r="BJ30" s="38">
        <f>G30*H30</f>
        <v>0</v>
      </c>
      <c r="BK30" s="38"/>
      <c r="BL30" s="38">
        <v>16</v>
      </c>
      <c r="BW30" s="38">
        <v>21</v>
      </c>
    </row>
    <row r="31" spans="1:12" ht="13.5" customHeight="1">
      <c r="A31" s="74"/>
      <c r="D31" s="194" t="s">
        <v>153</v>
      </c>
      <c r="E31" s="195"/>
      <c r="F31" s="195"/>
      <c r="G31" s="195"/>
      <c r="H31" s="196"/>
      <c r="I31" s="195"/>
      <c r="J31" s="195"/>
      <c r="K31" s="195"/>
      <c r="L31" s="197"/>
    </row>
    <row r="32" spans="1:12" ht="15">
      <c r="A32" s="74"/>
      <c r="D32" s="75" t="s">
        <v>161</v>
      </c>
      <c r="E32" s="75" t="s">
        <v>4</v>
      </c>
      <c r="G32" s="76">
        <v>2.52</v>
      </c>
      <c r="L32" s="77"/>
    </row>
    <row r="33" spans="1:75" ht="13.5" customHeight="1">
      <c r="A33" s="1" t="s">
        <v>169</v>
      </c>
      <c r="B33" s="2" t="s">
        <v>84</v>
      </c>
      <c r="C33" s="2" t="s">
        <v>170</v>
      </c>
      <c r="D33" s="108" t="s">
        <v>171</v>
      </c>
      <c r="E33" s="103"/>
      <c r="F33" s="2" t="s">
        <v>135</v>
      </c>
      <c r="G33" s="38">
        <v>3.57</v>
      </c>
      <c r="H33" s="70">
        <v>0</v>
      </c>
      <c r="I33" s="38">
        <f>G33*H33</f>
        <v>0</v>
      </c>
      <c r="J33" s="38">
        <v>0</v>
      </c>
      <c r="K33" s="38">
        <f>G33*J33</f>
        <v>0</v>
      </c>
      <c r="L33" s="71" t="s">
        <v>136</v>
      </c>
      <c r="Z33" s="38">
        <f>IF(AQ33="5",BJ33,0)</f>
        <v>0</v>
      </c>
      <c r="AB33" s="38">
        <f>IF(AQ33="1",BH33,0)</f>
        <v>0</v>
      </c>
      <c r="AC33" s="38">
        <f>IF(AQ33="1",BI33,0)</f>
        <v>0</v>
      </c>
      <c r="AD33" s="38">
        <f>IF(AQ33="7",BH33,0)</f>
        <v>0</v>
      </c>
      <c r="AE33" s="38">
        <f>IF(AQ33="7",BI33,0)</f>
        <v>0</v>
      </c>
      <c r="AF33" s="38">
        <f>IF(AQ33="2",BH33,0)</f>
        <v>0</v>
      </c>
      <c r="AG33" s="38">
        <f>IF(AQ33="2",BI33,0)</f>
        <v>0</v>
      </c>
      <c r="AH33" s="38">
        <f>IF(AQ33="0",BJ33,0)</f>
        <v>0</v>
      </c>
      <c r="AI33" s="50" t="s">
        <v>84</v>
      </c>
      <c r="AJ33" s="38">
        <f>IF(AN33=0,I33,0)</f>
        <v>0</v>
      </c>
      <c r="AK33" s="38">
        <f>IF(AN33=12,I33,0)</f>
        <v>0</v>
      </c>
      <c r="AL33" s="38">
        <f>IF(AN33=21,I33,0)</f>
        <v>0</v>
      </c>
      <c r="AN33" s="38">
        <v>21</v>
      </c>
      <c r="AO33" s="38">
        <f>H33*0</f>
        <v>0</v>
      </c>
      <c r="AP33" s="38">
        <f>H33*(1-0)</f>
        <v>0</v>
      </c>
      <c r="AQ33" s="72" t="s">
        <v>132</v>
      </c>
      <c r="AV33" s="38">
        <f>AW33+AX33</f>
        <v>0</v>
      </c>
      <c r="AW33" s="38">
        <f>G33*AO33</f>
        <v>0</v>
      </c>
      <c r="AX33" s="38">
        <f>G33*AP33</f>
        <v>0</v>
      </c>
      <c r="AY33" s="72" t="s">
        <v>160</v>
      </c>
      <c r="AZ33" s="72" t="s">
        <v>138</v>
      </c>
      <c r="BA33" s="50" t="s">
        <v>139</v>
      </c>
      <c r="BB33" s="73">
        <v>100024</v>
      </c>
      <c r="BC33" s="38">
        <f>AW33+AX33</f>
        <v>0</v>
      </c>
      <c r="BD33" s="38">
        <f>H33/(100-BE33)*100</f>
        <v>0</v>
      </c>
      <c r="BE33" s="38">
        <v>0</v>
      </c>
      <c r="BF33" s="38">
        <f>K33</f>
        <v>0</v>
      </c>
      <c r="BH33" s="38">
        <f>G33*AO33</f>
        <v>0</v>
      </c>
      <c r="BI33" s="38">
        <f>G33*AP33</f>
        <v>0</v>
      </c>
      <c r="BJ33" s="38">
        <f>G33*H33</f>
        <v>0</v>
      </c>
      <c r="BK33" s="38"/>
      <c r="BL33" s="38">
        <v>16</v>
      </c>
      <c r="BW33" s="38">
        <v>21</v>
      </c>
    </row>
    <row r="34" spans="1:12" ht="13.5" customHeight="1">
      <c r="A34" s="74"/>
      <c r="D34" s="194" t="s">
        <v>172</v>
      </c>
      <c r="E34" s="195"/>
      <c r="F34" s="195"/>
      <c r="G34" s="195"/>
      <c r="H34" s="196"/>
      <c r="I34" s="195"/>
      <c r="J34" s="195"/>
      <c r="K34" s="195"/>
      <c r="L34" s="197"/>
    </row>
    <row r="35" spans="1:12" ht="15">
      <c r="A35" s="74"/>
      <c r="D35" s="75" t="s">
        <v>161</v>
      </c>
      <c r="E35" s="75" t="s">
        <v>153</v>
      </c>
      <c r="G35" s="76">
        <v>2.52</v>
      </c>
      <c r="L35" s="77"/>
    </row>
    <row r="36" spans="1:12" ht="15">
      <c r="A36" s="74"/>
      <c r="D36" s="75" t="s">
        <v>173</v>
      </c>
      <c r="E36" s="75" t="s">
        <v>142</v>
      </c>
      <c r="G36" s="76">
        <v>1.05</v>
      </c>
      <c r="L36" s="77"/>
    </row>
    <row r="37" spans="1:75" ht="13.5" customHeight="1">
      <c r="A37" s="1" t="s">
        <v>174</v>
      </c>
      <c r="B37" s="2" t="s">
        <v>84</v>
      </c>
      <c r="C37" s="2" t="s">
        <v>175</v>
      </c>
      <c r="D37" s="108" t="s">
        <v>176</v>
      </c>
      <c r="E37" s="103"/>
      <c r="F37" s="2" t="s">
        <v>135</v>
      </c>
      <c r="G37" s="38">
        <v>3.57</v>
      </c>
      <c r="H37" s="70">
        <v>0</v>
      </c>
      <c r="I37" s="38">
        <f>G37*H37</f>
        <v>0</v>
      </c>
      <c r="J37" s="38">
        <v>0</v>
      </c>
      <c r="K37" s="38">
        <f>G37*J37</f>
        <v>0</v>
      </c>
      <c r="L37" s="71" t="s">
        <v>136</v>
      </c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50" t="s">
        <v>84</v>
      </c>
      <c r="AJ37" s="38">
        <f>IF(AN37=0,I37,0)</f>
        <v>0</v>
      </c>
      <c r="AK37" s="38">
        <f>IF(AN37=12,I37,0)</f>
        <v>0</v>
      </c>
      <c r="AL37" s="38">
        <f>IF(AN37=21,I37,0)</f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132</v>
      </c>
      <c r="AV37" s="38">
        <f>AW37+AX37</f>
        <v>0</v>
      </c>
      <c r="AW37" s="38">
        <f>G37*AO37</f>
        <v>0</v>
      </c>
      <c r="AX37" s="38">
        <f>G37*AP37</f>
        <v>0</v>
      </c>
      <c r="AY37" s="72" t="s">
        <v>160</v>
      </c>
      <c r="AZ37" s="72" t="s">
        <v>138</v>
      </c>
      <c r="BA37" s="50" t="s">
        <v>139</v>
      </c>
      <c r="BB37" s="73">
        <v>100024</v>
      </c>
      <c r="BC37" s="38">
        <f>AW37+AX37</f>
        <v>0</v>
      </c>
      <c r="BD37" s="38">
        <f>H37/(100-BE37)*100</f>
        <v>0</v>
      </c>
      <c r="BE37" s="38">
        <v>0</v>
      </c>
      <c r="BF37" s="38">
        <f>K37</f>
        <v>0</v>
      </c>
      <c r="BH37" s="38">
        <f>G37*AO37</f>
        <v>0</v>
      </c>
      <c r="BI37" s="38">
        <f>G37*AP37</f>
        <v>0</v>
      </c>
      <c r="BJ37" s="38">
        <f>G37*H37</f>
        <v>0</v>
      </c>
      <c r="BK37" s="38"/>
      <c r="BL37" s="38">
        <v>16</v>
      </c>
      <c r="BW37" s="38">
        <v>21</v>
      </c>
    </row>
    <row r="38" spans="1:12" ht="13.5" customHeight="1">
      <c r="A38" s="74"/>
      <c r="D38" s="194" t="s">
        <v>172</v>
      </c>
      <c r="E38" s="195"/>
      <c r="F38" s="195"/>
      <c r="G38" s="195"/>
      <c r="H38" s="196"/>
      <c r="I38" s="195"/>
      <c r="J38" s="195"/>
      <c r="K38" s="195"/>
      <c r="L38" s="197"/>
    </row>
    <row r="39" spans="1:12" ht="15">
      <c r="A39" s="74"/>
      <c r="D39" s="75" t="s">
        <v>177</v>
      </c>
      <c r="E39" s="75" t="s">
        <v>4</v>
      </c>
      <c r="G39" s="76">
        <v>3.57</v>
      </c>
      <c r="L39" s="77"/>
    </row>
    <row r="40" spans="1:47" ht="15">
      <c r="A40" s="65" t="s">
        <v>4</v>
      </c>
      <c r="B40" s="66" t="s">
        <v>84</v>
      </c>
      <c r="C40" s="66" t="s">
        <v>178</v>
      </c>
      <c r="D40" s="192" t="s">
        <v>179</v>
      </c>
      <c r="E40" s="193"/>
      <c r="F40" s="67" t="s">
        <v>78</v>
      </c>
      <c r="G40" s="67" t="s">
        <v>78</v>
      </c>
      <c r="H40" s="68" t="s">
        <v>78</v>
      </c>
      <c r="I40" s="44">
        <f>SUM(I41:I45)</f>
        <v>0</v>
      </c>
      <c r="J40" s="50" t="s">
        <v>4</v>
      </c>
      <c r="K40" s="44">
        <f>SUM(K41:K45)</f>
        <v>1.78</v>
      </c>
      <c r="L40" s="69" t="s">
        <v>4</v>
      </c>
      <c r="AI40" s="50" t="s">
        <v>84</v>
      </c>
      <c r="AS40" s="44">
        <f>SUM(AJ41:AJ45)</f>
        <v>0</v>
      </c>
      <c r="AT40" s="44">
        <f>SUM(AK41:AK45)</f>
        <v>0</v>
      </c>
      <c r="AU40" s="44">
        <f>SUM(AL41:AL45)</f>
        <v>0</v>
      </c>
    </row>
    <row r="41" spans="1:75" ht="13.5" customHeight="1">
      <c r="A41" s="1" t="s">
        <v>180</v>
      </c>
      <c r="B41" s="2" t="s">
        <v>84</v>
      </c>
      <c r="C41" s="2" t="s">
        <v>181</v>
      </c>
      <c r="D41" s="108" t="s">
        <v>182</v>
      </c>
      <c r="E41" s="103"/>
      <c r="F41" s="2" t="s">
        <v>135</v>
      </c>
      <c r="G41" s="38">
        <v>3.17</v>
      </c>
      <c r="H41" s="70">
        <v>0</v>
      </c>
      <c r="I41" s="38">
        <f>G41*H41</f>
        <v>0</v>
      </c>
      <c r="J41" s="38">
        <v>0</v>
      </c>
      <c r="K41" s="38">
        <f>G41*J41</f>
        <v>0</v>
      </c>
      <c r="L41" s="71" t="s">
        <v>136</v>
      </c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50" t="s">
        <v>84</v>
      </c>
      <c r="AJ41" s="38">
        <f>IF(AN41=0,I41,0)</f>
        <v>0</v>
      </c>
      <c r="AK41" s="38">
        <f>IF(AN41=12,I41,0)</f>
        <v>0</v>
      </c>
      <c r="AL41" s="38">
        <f>IF(AN41=21,I41,0)</f>
        <v>0</v>
      </c>
      <c r="AN41" s="38">
        <v>21</v>
      </c>
      <c r="AO41" s="38">
        <f>H41*0</f>
        <v>0</v>
      </c>
      <c r="AP41" s="38">
        <f>H41*(1-0)</f>
        <v>0</v>
      </c>
      <c r="AQ41" s="72" t="s">
        <v>132</v>
      </c>
      <c r="AV41" s="38">
        <f>AW41+AX41</f>
        <v>0</v>
      </c>
      <c r="AW41" s="38">
        <f>G41*AO41</f>
        <v>0</v>
      </c>
      <c r="AX41" s="38">
        <f>G41*AP41</f>
        <v>0</v>
      </c>
      <c r="AY41" s="72" t="s">
        <v>183</v>
      </c>
      <c r="AZ41" s="72" t="s">
        <v>138</v>
      </c>
      <c r="BA41" s="50" t="s">
        <v>139</v>
      </c>
      <c r="BB41" s="73">
        <v>100026</v>
      </c>
      <c r="BC41" s="38">
        <f>AW41+AX41</f>
        <v>0</v>
      </c>
      <c r="BD41" s="38">
        <f>H41/(100-BE41)*100</f>
        <v>0</v>
      </c>
      <c r="BE41" s="38">
        <v>0</v>
      </c>
      <c r="BF41" s="38">
        <f>K41</f>
        <v>0</v>
      </c>
      <c r="BH41" s="38">
        <f>G41*AO41</f>
        <v>0</v>
      </c>
      <c r="BI41" s="38">
        <f>G41*AP41</f>
        <v>0</v>
      </c>
      <c r="BJ41" s="38">
        <f>G41*H41</f>
        <v>0</v>
      </c>
      <c r="BK41" s="38"/>
      <c r="BL41" s="38">
        <v>17</v>
      </c>
      <c r="BW41" s="38">
        <v>21</v>
      </c>
    </row>
    <row r="42" spans="1:12" ht="15">
      <c r="A42" s="74"/>
      <c r="D42" s="75" t="s">
        <v>184</v>
      </c>
      <c r="E42" s="75" t="s">
        <v>185</v>
      </c>
      <c r="G42" s="76">
        <v>3.17</v>
      </c>
      <c r="L42" s="77"/>
    </row>
    <row r="43" spans="1:75" ht="13.5" customHeight="1">
      <c r="A43" s="78" t="s">
        <v>186</v>
      </c>
      <c r="B43" s="79" t="s">
        <v>84</v>
      </c>
      <c r="C43" s="79" t="s">
        <v>187</v>
      </c>
      <c r="D43" s="198" t="s">
        <v>188</v>
      </c>
      <c r="E43" s="199"/>
      <c r="F43" s="79" t="s">
        <v>189</v>
      </c>
      <c r="G43" s="80">
        <v>1.78</v>
      </c>
      <c r="H43" s="81">
        <v>0</v>
      </c>
      <c r="I43" s="80">
        <f>G43*H43</f>
        <v>0</v>
      </c>
      <c r="J43" s="80">
        <v>1</v>
      </c>
      <c r="K43" s="80">
        <f>G43*J43</f>
        <v>1.78</v>
      </c>
      <c r="L43" s="82" t="s">
        <v>136</v>
      </c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50" t="s">
        <v>84</v>
      </c>
      <c r="AJ43" s="80">
        <f>IF(AN43=0,I43,0)</f>
        <v>0</v>
      </c>
      <c r="AK43" s="80">
        <f>IF(AN43=12,I43,0)</f>
        <v>0</v>
      </c>
      <c r="AL43" s="80">
        <f>IF(AN43=21,I43,0)</f>
        <v>0</v>
      </c>
      <c r="AN43" s="38">
        <v>21</v>
      </c>
      <c r="AO43" s="38">
        <f>H43*1</f>
        <v>0</v>
      </c>
      <c r="AP43" s="38">
        <f>H43*(1-1)</f>
        <v>0</v>
      </c>
      <c r="AQ43" s="83" t="s">
        <v>132</v>
      </c>
      <c r="AV43" s="38">
        <f>AW43+AX43</f>
        <v>0</v>
      </c>
      <c r="AW43" s="38">
        <f>G43*AO43</f>
        <v>0</v>
      </c>
      <c r="AX43" s="38">
        <f>G43*AP43</f>
        <v>0</v>
      </c>
      <c r="AY43" s="72" t="s">
        <v>183</v>
      </c>
      <c r="AZ43" s="72" t="s">
        <v>138</v>
      </c>
      <c r="BA43" s="50" t="s">
        <v>139</v>
      </c>
      <c r="BC43" s="38">
        <f>AW43+AX43</f>
        <v>0</v>
      </c>
      <c r="BD43" s="38">
        <f>H43/(100-BE43)*100</f>
        <v>0</v>
      </c>
      <c r="BE43" s="38">
        <v>0</v>
      </c>
      <c r="BF43" s="38">
        <f>K43</f>
        <v>1.78</v>
      </c>
      <c r="BH43" s="80">
        <f>G43*AO43</f>
        <v>0</v>
      </c>
      <c r="BI43" s="80">
        <f>G43*AP43</f>
        <v>0</v>
      </c>
      <c r="BJ43" s="80">
        <f>G43*H43</f>
        <v>0</v>
      </c>
      <c r="BK43" s="80"/>
      <c r="BL43" s="38">
        <v>17</v>
      </c>
      <c r="BW43" s="38">
        <v>21</v>
      </c>
    </row>
    <row r="44" spans="1:12" ht="15">
      <c r="A44" s="74"/>
      <c r="D44" s="75" t="s">
        <v>190</v>
      </c>
      <c r="E44" s="75" t="s">
        <v>4</v>
      </c>
      <c r="G44" s="76">
        <v>1.78</v>
      </c>
      <c r="L44" s="77"/>
    </row>
    <row r="45" spans="1:75" ht="13.5" customHeight="1">
      <c r="A45" s="1" t="s">
        <v>191</v>
      </c>
      <c r="B45" s="2" t="s">
        <v>84</v>
      </c>
      <c r="C45" s="2" t="s">
        <v>192</v>
      </c>
      <c r="D45" s="108" t="s">
        <v>193</v>
      </c>
      <c r="E45" s="103"/>
      <c r="F45" s="2" t="s">
        <v>135</v>
      </c>
      <c r="G45" s="38">
        <v>0.07</v>
      </c>
      <c r="H45" s="70">
        <v>0</v>
      </c>
      <c r="I45" s="38">
        <f>G45*H45</f>
        <v>0</v>
      </c>
      <c r="J45" s="38">
        <v>0</v>
      </c>
      <c r="K45" s="38">
        <f>G45*J45</f>
        <v>0</v>
      </c>
      <c r="L45" s="71" t="s">
        <v>136</v>
      </c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50" t="s">
        <v>84</v>
      </c>
      <c r="AJ45" s="38">
        <f>IF(AN45=0,I45,0)</f>
        <v>0</v>
      </c>
      <c r="AK45" s="38">
        <f>IF(AN45=12,I45,0)</f>
        <v>0</v>
      </c>
      <c r="AL45" s="38">
        <f>IF(AN45=21,I45,0)</f>
        <v>0</v>
      </c>
      <c r="AN45" s="38">
        <v>21</v>
      </c>
      <c r="AO45" s="38">
        <f>H45*0</f>
        <v>0</v>
      </c>
      <c r="AP45" s="38">
        <f>H45*(1-0)</f>
        <v>0</v>
      </c>
      <c r="AQ45" s="72" t="s">
        <v>132</v>
      </c>
      <c r="AV45" s="38">
        <f>AW45+AX45</f>
        <v>0</v>
      </c>
      <c r="AW45" s="38">
        <f>G45*AO45</f>
        <v>0</v>
      </c>
      <c r="AX45" s="38">
        <f>G45*AP45</f>
        <v>0</v>
      </c>
      <c r="AY45" s="72" t="s">
        <v>183</v>
      </c>
      <c r="AZ45" s="72" t="s">
        <v>138</v>
      </c>
      <c r="BA45" s="50" t="s">
        <v>139</v>
      </c>
      <c r="BB45" s="73">
        <v>100026</v>
      </c>
      <c r="BC45" s="38">
        <f>AW45+AX45</f>
        <v>0</v>
      </c>
      <c r="BD45" s="38">
        <f>H45/(100-BE45)*100</f>
        <v>0</v>
      </c>
      <c r="BE45" s="38">
        <v>0</v>
      </c>
      <c r="BF45" s="38">
        <f>K45</f>
        <v>0</v>
      </c>
      <c r="BH45" s="38">
        <f>G45*AO45</f>
        <v>0</v>
      </c>
      <c r="BI45" s="38">
        <f>G45*AP45</f>
        <v>0</v>
      </c>
      <c r="BJ45" s="38">
        <f>G45*H45</f>
        <v>0</v>
      </c>
      <c r="BK45" s="38"/>
      <c r="BL45" s="38">
        <v>17</v>
      </c>
      <c r="BW45" s="38">
        <v>21</v>
      </c>
    </row>
    <row r="46" spans="1:12" ht="15">
      <c r="A46" s="74"/>
      <c r="D46" s="75" t="s">
        <v>194</v>
      </c>
      <c r="E46" s="75" t="s">
        <v>4</v>
      </c>
      <c r="G46" s="76">
        <v>0.07</v>
      </c>
      <c r="L46" s="77"/>
    </row>
    <row r="47" spans="1:47" ht="15">
      <c r="A47" s="65" t="s">
        <v>4</v>
      </c>
      <c r="B47" s="66" t="s">
        <v>84</v>
      </c>
      <c r="C47" s="66" t="s">
        <v>195</v>
      </c>
      <c r="D47" s="192" t="s">
        <v>196</v>
      </c>
      <c r="E47" s="193"/>
      <c r="F47" s="67" t="s">
        <v>78</v>
      </c>
      <c r="G47" s="67" t="s">
        <v>78</v>
      </c>
      <c r="H47" s="68" t="s">
        <v>78</v>
      </c>
      <c r="I47" s="44">
        <f>SUM(I48:I93)</f>
        <v>0</v>
      </c>
      <c r="J47" s="50" t="s">
        <v>4</v>
      </c>
      <c r="K47" s="44">
        <f>SUM(K48:K93)</f>
        <v>26.659773299999998</v>
      </c>
      <c r="L47" s="69" t="s">
        <v>4</v>
      </c>
      <c r="AI47" s="50" t="s">
        <v>84</v>
      </c>
      <c r="AS47" s="44">
        <f>SUM(AJ48:AJ93)</f>
        <v>0</v>
      </c>
      <c r="AT47" s="44">
        <f>SUM(AK48:AK93)</f>
        <v>0</v>
      </c>
      <c r="AU47" s="44">
        <f>SUM(AL48:AL93)</f>
        <v>0</v>
      </c>
    </row>
    <row r="48" spans="1:75" ht="13.5" customHeight="1">
      <c r="A48" s="1" t="s">
        <v>130</v>
      </c>
      <c r="B48" s="2" t="s">
        <v>84</v>
      </c>
      <c r="C48" s="2" t="s">
        <v>197</v>
      </c>
      <c r="D48" s="108" t="s">
        <v>198</v>
      </c>
      <c r="E48" s="103"/>
      <c r="F48" s="2" t="s">
        <v>199</v>
      </c>
      <c r="G48" s="38">
        <v>20</v>
      </c>
      <c r="H48" s="70">
        <v>0</v>
      </c>
      <c r="I48" s="38">
        <f>G48*H48</f>
        <v>0</v>
      </c>
      <c r="J48" s="38">
        <v>0.11454</v>
      </c>
      <c r="K48" s="38">
        <f>G48*J48</f>
        <v>2.2908</v>
      </c>
      <c r="L48" s="71" t="s">
        <v>136</v>
      </c>
      <c r="Z48" s="38">
        <f>IF(AQ48="5",BJ48,0)</f>
        <v>0</v>
      </c>
      <c r="AB48" s="38">
        <f>IF(AQ48="1",BH48,0)</f>
        <v>0</v>
      </c>
      <c r="AC48" s="38">
        <f>IF(AQ48="1",BI48,0)</f>
        <v>0</v>
      </c>
      <c r="AD48" s="38">
        <f>IF(AQ48="7",BH48,0)</f>
        <v>0</v>
      </c>
      <c r="AE48" s="38">
        <f>IF(AQ48="7",BI48,0)</f>
        <v>0</v>
      </c>
      <c r="AF48" s="38">
        <f>IF(AQ48="2",BH48,0)</f>
        <v>0</v>
      </c>
      <c r="AG48" s="38">
        <f>IF(AQ48="2",BI48,0)</f>
        <v>0</v>
      </c>
      <c r="AH48" s="38">
        <f>IF(AQ48="0",BJ48,0)</f>
        <v>0</v>
      </c>
      <c r="AI48" s="50" t="s">
        <v>84</v>
      </c>
      <c r="AJ48" s="38">
        <f>IF(AN48=0,I48,0)</f>
        <v>0</v>
      </c>
      <c r="AK48" s="38">
        <f>IF(AN48=12,I48,0)</f>
        <v>0</v>
      </c>
      <c r="AL48" s="38">
        <f>IF(AN48=21,I48,0)</f>
        <v>0</v>
      </c>
      <c r="AN48" s="38">
        <v>21</v>
      </c>
      <c r="AO48" s="38">
        <f>H48*0.699582929</f>
        <v>0</v>
      </c>
      <c r="AP48" s="38">
        <f>H48*(1-0.699582929)</f>
        <v>0</v>
      </c>
      <c r="AQ48" s="72" t="s">
        <v>132</v>
      </c>
      <c r="AV48" s="38">
        <f>AW48+AX48</f>
        <v>0</v>
      </c>
      <c r="AW48" s="38">
        <f>G48*AO48</f>
        <v>0</v>
      </c>
      <c r="AX48" s="38">
        <f>G48*AP48</f>
        <v>0</v>
      </c>
      <c r="AY48" s="72" t="s">
        <v>200</v>
      </c>
      <c r="AZ48" s="72" t="s">
        <v>201</v>
      </c>
      <c r="BA48" s="50" t="s">
        <v>139</v>
      </c>
      <c r="BB48" s="73">
        <v>100011</v>
      </c>
      <c r="BC48" s="38">
        <f>AW48+AX48</f>
        <v>0</v>
      </c>
      <c r="BD48" s="38">
        <f>H48/(100-BE48)*100</f>
        <v>0</v>
      </c>
      <c r="BE48" s="38">
        <v>0</v>
      </c>
      <c r="BF48" s="38">
        <f>K48</f>
        <v>2.2908</v>
      </c>
      <c r="BH48" s="38">
        <f>G48*AO48</f>
        <v>0</v>
      </c>
      <c r="BI48" s="38">
        <f>G48*AP48</f>
        <v>0</v>
      </c>
      <c r="BJ48" s="38">
        <f>G48*H48</f>
        <v>0</v>
      </c>
      <c r="BK48" s="38"/>
      <c r="BL48" s="38">
        <v>31</v>
      </c>
      <c r="BW48" s="38">
        <v>21</v>
      </c>
    </row>
    <row r="49" spans="1:12" ht="13.5" customHeight="1">
      <c r="A49" s="74"/>
      <c r="D49" s="194" t="s">
        <v>202</v>
      </c>
      <c r="E49" s="195"/>
      <c r="F49" s="195"/>
      <c r="G49" s="195"/>
      <c r="H49" s="196"/>
      <c r="I49" s="195"/>
      <c r="J49" s="195"/>
      <c r="K49" s="195"/>
      <c r="L49" s="197"/>
    </row>
    <row r="50" spans="1:12" ht="15">
      <c r="A50" s="74"/>
      <c r="D50" s="75" t="s">
        <v>203</v>
      </c>
      <c r="E50" s="75" t="s">
        <v>204</v>
      </c>
      <c r="G50" s="76">
        <v>20</v>
      </c>
      <c r="L50" s="77"/>
    </row>
    <row r="51" spans="1:75" ht="13.5" customHeight="1">
      <c r="A51" s="1" t="s">
        <v>147</v>
      </c>
      <c r="B51" s="2" t="s">
        <v>84</v>
      </c>
      <c r="C51" s="2" t="s">
        <v>205</v>
      </c>
      <c r="D51" s="108" t="s">
        <v>206</v>
      </c>
      <c r="E51" s="103"/>
      <c r="F51" s="2" t="s">
        <v>199</v>
      </c>
      <c r="G51" s="38">
        <v>5</v>
      </c>
      <c r="H51" s="70">
        <v>0</v>
      </c>
      <c r="I51" s="38">
        <f>G51*H51</f>
        <v>0</v>
      </c>
      <c r="J51" s="38">
        <v>0.13106</v>
      </c>
      <c r="K51" s="38">
        <f>G51*J51</f>
        <v>0.6553</v>
      </c>
      <c r="L51" s="71" t="s">
        <v>207</v>
      </c>
      <c r="Z51" s="38">
        <f>IF(AQ51="5",BJ51,0)</f>
        <v>0</v>
      </c>
      <c r="AB51" s="38">
        <f>IF(AQ51="1",BH51,0)</f>
        <v>0</v>
      </c>
      <c r="AC51" s="38">
        <f>IF(AQ51="1",BI51,0)</f>
        <v>0</v>
      </c>
      <c r="AD51" s="38">
        <f>IF(AQ51="7",BH51,0)</f>
        <v>0</v>
      </c>
      <c r="AE51" s="38">
        <f>IF(AQ51="7",BI51,0)</f>
        <v>0</v>
      </c>
      <c r="AF51" s="38">
        <f>IF(AQ51="2",BH51,0)</f>
        <v>0</v>
      </c>
      <c r="AG51" s="38">
        <f>IF(AQ51="2",BI51,0)</f>
        <v>0</v>
      </c>
      <c r="AH51" s="38">
        <f>IF(AQ51="0",BJ51,0)</f>
        <v>0</v>
      </c>
      <c r="AI51" s="50" t="s">
        <v>84</v>
      </c>
      <c r="AJ51" s="38">
        <f>IF(AN51=0,I51,0)</f>
        <v>0</v>
      </c>
      <c r="AK51" s="38">
        <f>IF(AN51=12,I51,0)</f>
        <v>0</v>
      </c>
      <c r="AL51" s="38">
        <f>IF(AN51=21,I51,0)</f>
        <v>0</v>
      </c>
      <c r="AN51" s="38">
        <v>21</v>
      </c>
      <c r="AO51" s="38">
        <f>H51*0.779756515</f>
        <v>0</v>
      </c>
      <c r="AP51" s="38">
        <f>H51*(1-0.779756515)</f>
        <v>0</v>
      </c>
      <c r="AQ51" s="72" t="s">
        <v>132</v>
      </c>
      <c r="AV51" s="38">
        <f>AW51+AX51</f>
        <v>0</v>
      </c>
      <c r="AW51" s="38">
        <f>G51*AO51</f>
        <v>0</v>
      </c>
      <c r="AX51" s="38">
        <f>G51*AP51</f>
        <v>0</v>
      </c>
      <c r="AY51" s="72" t="s">
        <v>200</v>
      </c>
      <c r="AZ51" s="72" t="s">
        <v>201</v>
      </c>
      <c r="BA51" s="50" t="s">
        <v>139</v>
      </c>
      <c r="BB51" s="73">
        <v>100011</v>
      </c>
      <c r="BC51" s="38">
        <f>AW51+AX51</f>
        <v>0</v>
      </c>
      <c r="BD51" s="38">
        <f>H51/(100-BE51)*100</f>
        <v>0</v>
      </c>
      <c r="BE51" s="38">
        <v>0</v>
      </c>
      <c r="BF51" s="38">
        <f>K51</f>
        <v>0.6553</v>
      </c>
      <c r="BH51" s="38">
        <f>G51*AO51</f>
        <v>0</v>
      </c>
      <c r="BI51" s="38">
        <f>G51*AP51</f>
        <v>0</v>
      </c>
      <c r="BJ51" s="38">
        <f>G51*H51</f>
        <v>0</v>
      </c>
      <c r="BK51" s="38"/>
      <c r="BL51" s="38">
        <v>31</v>
      </c>
      <c r="BW51" s="38">
        <v>21</v>
      </c>
    </row>
    <row r="52" spans="1:12" ht="13.5" customHeight="1">
      <c r="A52" s="74"/>
      <c r="D52" s="194" t="s">
        <v>208</v>
      </c>
      <c r="E52" s="195"/>
      <c r="F52" s="195"/>
      <c r="G52" s="195"/>
      <c r="H52" s="196"/>
      <c r="I52" s="195"/>
      <c r="J52" s="195"/>
      <c r="K52" s="195"/>
      <c r="L52" s="197"/>
    </row>
    <row r="53" spans="1:12" ht="15">
      <c r="A53" s="74"/>
      <c r="D53" s="75" t="s">
        <v>209</v>
      </c>
      <c r="E53" s="75" t="s">
        <v>210</v>
      </c>
      <c r="G53" s="76">
        <v>5</v>
      </c>
      <c r="L53" s="77"/>
    </row>
    <row r="54" spans="1:75" ht="13.5" customHeight="1">
      <c r="A54" s="1" t="s">
        <v>211</v>
      </c>
      <c r="B54" s="2" t="s">
        <v>84</v>
      </c>
      <c r="C54" s="2" t="s">
        <v>212</v>
      </c>
      <c r="D54" s="108" t="s">
        <v>213</v>
      </c>
      <c r="E54" s="103"/>
      <c r="F54" s="2" t="s">
        <v>214</v>
      </c>
      <c r="G54" s="38">
        <v>8.4</v>
      </c>
      <c r="H54" s="70">
        <v>0</v>
      </c>
      <c r="I54" s="38">
        <f>G54*H54</f>
        <v>0</v>
      </c>
      <c r="J54" s="38">
        <v>0.00028</v>
      </c>
      <c r="K54" s="38">
        <f>G54*J54</f>
        <v>0.002352</v>
      </c>
      <c r="L54" s="71" t="s">
        <v>136</v>
      </c>
      <c r="Z54" s="38">
        <f>IF(AQ54="5",BJ54,0)</f>
        <v>0</v>
      </c>
      <c r="AB54" s="38">
        <f>IF(AQ54="1",BH54,0)</f>
        <v>0</v>
      </c>
      <c r="AC54" s="38">
        <f>IF(AQ54="1",BI54,0)</f>
        <v>0</v>
      </c>
      <c r="AD54" s="38">
        <f>IF(AQ54="7",BH54,0)</f>
        <v>0</v>
      </c>
      <c r="AE54" s="38">
        <f>IF(AQ54="7",BI54,0)</f>
        <v>0</v>
      </c>
      <c r="AF54" s="38">
        <f>IF(AQ54="2",BH54,0)</f>
        <v>0</v>
      </c>
      <c r="AG54" s="38">
        <f>IF(AQ54="2",BI54,0)</f>
        <v>0</v>
      </c>
      <c r="AH54" s="38">
        <f>IF(AQ54="0",BJ54,0)</f>
        <v>0</v>
      </c>
      <c r="AI54" s="50" t="s">
        <v>84</v>
      </c>
      <c r="AJ54" s="38">
        <f>IF(AN54=0,I54,0)</f>
        <v>0</v>
      </c>
      <c r="AK54" s="38">
        <f>IF(AN54=12,I54,0)</f>
        <v>0</v>
      </c>
      <c r="AL54" s="38">
        <f>IF(AN54=21,I54,0)</f>
        <v>0</v>
      </c>
      <c r="AN54" s="38">
        <v>21</v>
      </c>
      <c r="AO54" s="38">
        <f>H54*0.402829175</f>
        <v>0</v>
      </c>
      <c r="AP54" s="38">
        <f>H54*(1-0.402829175)</f>
        <v>0</v>
      </c>
      <c r="AQ54" s="72" t="s">
        <v>132</v>
      </c>
      <c r="AV54" s="38">
        <f>AW54+AX54</f>
        <v>0</v>
      </c>
      <c r="AW54" s="38">
        <f>G54*AO54</f>
        <v>0</v>
      </c>
      <c r="AX54" s="38">
        <f>G54*AP54</f>
        <v>0</v>
      </c>
      <c r="AY54" s="72" t="s">
        <v>200</v>
      </c>
      <c r="AZ54" s="72" t="s">
        <v>201</v>
      </c>
      <c r="BA54" s="50" t="s">
        <v>139</v>
      </c>
      <c r="BB54" s="73">
        <v>100011</v>
      </c>
      <c r="BC54" s="38">
        <f>AW54+AX54</f>
        <v>0</v>
      </c>
      <c r="BD54" s="38">
        <f>H54/(100-BE54)*100</f>
        <v>0</v>
      </c>
      <c r="BE54" s="38">
        <v>0</v>
      </c>
      <c r="BF54" s="38">
        <f>K54</f>
        <v>0.002352</v>
      </c>
      <c r="BH54" s="38">
        <f>G54*AO54</f>
        <v>0</v>
      </c>
      <c r="BI54" s="38">
        <f>G54*AP54</f>
        <v>0</v>
      </c>
      <c r="BJ54" s="38">
        <f>G54*H54</f>
        <v>0</v>
      </c>
      <c r="BK54" s="38"/>
      <c r="BL54" s="38">
        <v>31</v>
      </c>
      <c r="BW54" s="38">
        <v>21</v>
      </c>
    </row>
    <row r="55" spans="1:12" ht="15">
      <c r="A55" s="74"/>
      <c r="D55" s="75" t="s">
        <v>215</v>
      </c>
      <c r="E55" s="75" t="s">
        <v>216</v>
      </c>
      <c r="G55" s="76">
        <v>8.4</v>
      </c>
      <c r="L55" s="77"/>
    </row>
    <row r="56" spans="1:75" ht="13.5" customHeight="1">
      <c r="A56" s="1" t="s">
        <v>217</v>
      </c>
      <c r="B56" s="2" t="s">
        <v>84</v>
      </c>
      <c r="C56" s="2" t="s">
        <v>218</v>
      </c>
      <c r="D56" s="108" t="s">
        <v>219</v>
      </c>
      <c r="E56" s="103"/>
      <c r="F56" s="2" t="s">
        <v>189</v>
      </c>
      <c r="G56" s="38">
        <v>0.09</v>
      </c>
      <c r="H56" s="70">
        <v>0</v>
      </c>
      <c r="I56" s="38">
        <f>G56*H56</f>
        <v>0</v>
      </c>
      <c r="J56" s="38">
        <v>1.09</v>
      </c>
      <c r="K56" s="38">
        <f>G56*J56</f>
        <v>0.0981</v>
      </c>
      <c r="L56" s="71" t="s">
        <v>136</v>
      </c>
      <c r="Z56" s="38">
        <f>IF(AQ56="5",BJ56,0)</f>
        <v>0</v>
      </c>
      <c r="AB56" s="38">
        <f>IF(AQ56="1",BH56,0)</f>
        <v>0</v>
      </c>
      <c r="AC56" s="38">
        <f>IF(AQ56="1",BI56,0)</f>
        <v>0</v>
      </c>
      <c r="AD56" s="38">
        <f>IF(AQ56="7",BH56,0)</f>
        <v>0</v>
      </c>
      <c r="AE56" s="38">
        <f>IF(AQ56="7",BI56,0)</f>
        <v>0</v>
      </c>
      <c r="AF56" s="38">
        <f>IF(AQ56="2",BH56,0)</f>
        <v>0</v>
      </c>
      <c r="AG56" s="38">
        <f>IF(AQ56="2",BI56,0)</f>
        <v>0</v>
      </c>
      <c r="AH56" s="38">
        <f>IF(AQ56="0",BJ56,0)</f>
        <v>0</v>
      </c>
      <c r="AI56" s="50" t="s">
        <v>84</v>
      </c>
      <c r="AJ56" s="38">
        <f>IF(AN56=0,I56,0)</f>
        <v>0</v>
      </c>
      <c r="AK56" s="38">
        <f>IF(AN56=12,I56,0)</f>
        <v>0</v>
      </c>
      <c r="AL56" s="38">
        <f>IF(AN56=21,I56,0)</f>
        <v>0</v>
      </c>
      <c r="AN56" s="38">
        <v>21</v>
      </c>
      <c r="AO56" s="38">
        <f>H56*0.793255243</f>
        <v>0</v>
      </c>
      <c r="AP56" s="38">
        <f>H56*(1-0.793255243)</f>
        <v>0</v>
      </c>
      <c r="AQ56" s="72" t="s">
        <v>132</v>
      </c>
      <c r="AV56" s="38">
        <f>AW56+AX56</f>
        <v>0</v>
      </c>
      <c r="AW56" s="38">
        <f>G56*AO56</f>
        <v>0</v>
      </c>
      <c r="AX56" s="38">
        <f>G56*AP56</f>
        <v>0</v>
      </c>
      <c r="AY56" s="72" t="s">
        <v>200</v>
      </c>
      <c r="AZ56" s="72" t="s">
        <v>201</v>
      </c>
      <c r="BA56" s="50" t="s">
        <v>139</v>
      </c>
      <c r="BB56" s="73">
        <v>100011</v>
      </c>
      <c r="BC56" s="38">
        <f>AW56+AX56</f>
        <v>0</v>
      </c>
      <c r="BD56" s="38">
        <f>H56/(100-BE56)*100</f>
        <v>0</v>
      </c>
      <c r="BE56" s="38">
        <v>0</v>
      </c>
      <c r="BF56" s="38">
        <f>K56</f>
        <v>0.0981</v>
      </c>
      <c r="BH56" s="38">
        <f>G56*AO56</f>
        <v>0</v>
      </c>
      <c r="BI56" s="38">
        <f>G56*AP56</f>
        <v>0</v>
      </c>
      <c r="BJ56" s="38">
        <f>G56*H56</f>
        <v>0</v>
      </c>
      <c r="BK56" s="38"/>
      <c r="BL56" s="38">
        <v>31</v>
      </c>
      <c r="BW56" s="38">
        <v>21</v>
      </c>
    </row>
    <row r="57" spans="1:12" ht="13.5" customHeight="1">
      <c r="A57" s="74"/>
      <c r="D57" s="194" t="s">
        <v>220</v>
      </c>
      <c r="E57" s="195"/>
      <c r="F57" s="195"/>
      <c r="G57" s="195"/>
      <c r="H57" s="196"/>
      <c r="I57" s="195"/>
      <c r="J57" s="195"/>
      <c r="K57" s="195"/>
      <c r="L57" s="197"/>
    </row>
    <row r="58" spans="1:12" ht="15">
      <c r="A58" s="74"/>
      <c r="D58" s="75" t="s">
        <v>221</v>
      </c>
      <c r="E58" s="75" t="s">
        <v>222</v>
      </c>
      <c r="G58" s="76">
        <v>0.02</v>
      </c>
      <c r="L58" s="77"/>
    </row>
    <row r="59" spans="1:12" ht="15">
      <c r="A59" s="74"/>
      <c r="D59" s="75" t="s">
        <v>223</v>
      </c>
      <c r="E59" s="75" t="s">
        <v>224</v>
      </c>
      <c r="G59" s="76">
        <v>0.06</v>
      </c>
      <c r="L59" s="77"/>
    </row>
    <row r="60" spans="1:12" ht="15">
      <c r="A60" s="74"/>
      <c r="D60" s="75" t="s">
        <v>225</v>
      </c>
      <c r="E60" s="75" t="s">
        <v>226</v>
      </c>
      <c r="G60" s="76">
        <v>0.01</v>
      </c>
      <c r="L60" s="77"/>
    </row>
    <row r="61" spans="1:75" ht="13.5" customHeight="1">
      <c r="A61" s="1" t="s">
        <v>155</v>
      </c>
      <c r="B61" s="2" t="s">
        <v>84</v>
      </c>
      <c r="C61" s="2" t="s">
        <v>227</v>
      </c>
      <c r="D61" s="108" t="s">
        <v>228</v>
      </c>
      <c r="E61" s="103"/>
      <c r="F61" s="2" t="s">
        <v>189</v>
      </c>
      <c r="G61" s="38">
        <v>0.63</v>
      </c>
      <c r="H61" s="70">
        <v>0</v>
      </c>
      <c r="I61" s="38">
        <f>G61*H61</f>
        <v>0</v>
      </c>
      <c r="J61" s="38">
        <v>1.09</v>
      </c>
      <c r="K61" s="38">
        <f>G61*J61</f>
        <v>0.6867000000000001</v>
      </c>
      <c r="L61" s="71" t="s">
        <v>136</v>
      </c>
      <c r="Z61" s="38">
        <f>IF(AQ61="5",BJ61,0)</f>
        <v>0</v>
      </c>
      <c r="AB61" s="38">
        <f>IF(AQ61="1",BH61,0)</f>
        <v>0</v>
      </c>
      <c r="AC61" s="38">
        <f>IF(AQ61="1",BI61,0)</f>
        <v>0</v>
      </c>
      <c r="AD61" s="38">
        <f>IF(AQ61="7",BH61,0)</f>
        <v>0</v>
      </c>
      <c r="AE61" s="38">
        <f>IF(AQ61="7",BI61,0)</f>
        <v>0</v>
      </c>
      <c r="AF61" s="38">
        <f>IF(AQ61="2",BH61,0)</f>
        <v>0</v>
      </c>
      <c r="AG61" s="38">
        <f>IF(AQ61="2",BI61,0)</f>
        <v>0</v>
      </c>
      <c r="AH61" s="38">
        <f>IF(AQ61="0",BJ61,0)</f>
        <v>0</v>
      </c>
      <c r="AI61" s="50" t="s">
        <v>84</v>
      </c>
      <c r="AJ61" s="38">
        <f>IF(AN61=0,I61,0)</f>
        <v>0</v>
      </c>
      <c r="AK61" s="38">
        <f>IF(AN61=12,I61,0)</f>
        <v>0</v>
      </c>
      <c r="AL61" s="38">
        <f>IF(AN61=21,I61,0)</f>
        <v>0</v>
      </c>
      <c r="AN61" s="38">
        <v>21</v>
      </c>
      <c r="AO61" s="38">
        <f>H61*0.807845346</f>
        <v>0</v>
      </c>
      <c r="AP61" s="38">
        <f>H61*(1-0.807845346)</f>
        <v>0</v>
      </c>
      <c r="AQ61" s="72" t="s">
        <v>132</v>
      </c>
      <c r="AV61" s="38">
        <f>AW61+AX61</f>
        <v>0</v>
      </c>
      <c r="AW61" s="38">
        <f>G61*AO61</f>
        <v>0</v>
      </c>
      <c r="AX61" s="38">
        <f>G61*AP61</f>
        <v>0</v>
      </c>
      <c r="AY61" s="72" t="s">
        <v>200</v>
      </c>
      <c r="AZ61" s="72" t="s">
        <v>201</v>
      </c>
      <c r="BA61" s="50" t="s">
        <v>139</v>
      </c>
      <c r="BB61" s="73">
        <v>100011</v>
      </c>
      <c r="BC61" s="38">
        <f>AW61+AX61</f>
        <v>0</v>
      </c>
      <c r="BD61" s="38">
        <f>H61/(100-BE61)*100</f>
        <v>0</v>
      </c>
      <c r="BE61" s="38">
        <v>0</v>
      </c>
      <c r="BF61" s="38">
        <f>K61</f>
        <v>0.6867000000000001</v>
      </c>
      <c r="BH61" s="38">
        <f>G61*AO61</f>
        <v>0</v>
      </c>
      <c r="BI61" s="38">
        <f>G61*AP61</f>
        <v>0</v>
      </c>
      <c r="BJ61" s="38">
        <f>G61*H61</f>
        <v>0</v>
      </c>
      <c r="BK61" s="38"/>
      <c r="BL61" s="38">
        <v>31</v>
      </c>
      <c r="BW61" s="38">
        <v>21</v>
      </c>
    </row>
    <row r="62" spans="1:12" ht="13.5" customHeight="1">
      <c r="A62" s="74"/>
      <c r="D62" s="194" t="s">
        <v>229</v>
      </c>
      <c r="E62" s="195"/>
      <c r="F62" s="195"/>
      <c r="G62" s="195"/>
      <c r="H62" s="196"/>
      <c r="I62" s="195"/>
      <c r="J62" s="195"/>
      <c r="K62" s="195"/>
      <c r="L62" s="197"/>
    </row>
    <row r="63" spans="1:12" ht="15">
      <c r="A63" s="74"/>
      <c r="D63" s="75" t="s">
        <v>230</v>
      </c>
      <c r="E63" s="75" t="s">
        <v>231</v>
      </c>
      <c r="G63" s="76">
        <v>0.29</v>
      </c>
      <c r="L63" s="77"/>
    </row>
    <row r="64" spans="1:12" ht="15">
      <c r="A64" s="74"/>
      <c r="D64" s="75" t="s">
        <v>232</v>
      </c>
      <c r="E64" s="75" t="s">
        <v>233</v>
      </c>
      <c r="G64" s="76">
        <v>0.34</v>
      </c>
      <c r="L64" s="77"/>
    </row>
    <row r="65" spans="1:75" ht="13.5" customHeight="1">
      <c r="A65" s="1" t="s">
        <v>178</v>
      </c>
      <c r="B65" s="2" t="s">
        <v>84</v>
      </c>
      <c r="C65" s="2" t="s">
        <v>234</v>
      </c>
      <c r="D65" s="108" t="s">
        <v>235</v>
      </c>
      <c r="E65" s="103"/>
      <c r="F65" s="2" t="s">
        <v>135</v>
      </c>
      <c r="G65" s="38">
        <v>4.15</v>
      </c>
      <c r="H65" s="70">
        <v>0</v>
      </c>
      <c r="I65" s="38">
        <f>G65*H65</f>
        <v>0</v>
      </c>
      <c r="J65" s="38">
        <v>1.84144</v>
      </c>
      <c r="K65" s="38">
        <f>G65*J65</f>
        <v>7.6419760000000005</v>
      </c>
      <c r="L65" s="71" t="s">
        <v>136</v>
      </c>
      <c r="Z65" s="38">
        <f>IF(AQ65="5",BJ65,0)</f>
        <v>0</v>
      </c>
      <c r="AB65" s="38">
        <f>IF(AQ65="1",BH65,0)</f>
        <v>0</v>
      </c>
      <c r="AC65" s="38">
        <f>IF(AQ65="1",BI65,0)</f>
        <v>0</v>
      </c>
      <c r="AD65" s="38">
        <f>IF(AQ65="7",BH65,0)</f>
        <v>0</v>
      </c>
      <c r="AE65" s="38">
        <f>IF(AQ65="7",BI65,0)</f>
        <v>0</v>
      </c>
      <c r="AF65" s="38">
        <f>IF(AQ65="2",BH65,0)</f>
        <v>0</v>
      </c>
      <c r="AG65" s="38">
        <f>IF(AQ65="2",BI65,0)</f>
        <v>0</v>
      </c>
      <c r="AH65" s="38">
        <f>IF(AQ65="0",BJ65,0)</f>
        <v>0</v>
      </c>
      <c r="AI65" s="50" t="s">
        <v>84</v>
      </c>
      <c r="AJ65" s="38">
        <f>IF(AN65=0,I65,0)</f>
        <v>0</v>
      </c>
      <c r="AK65" s="38">
        <f>IF(AN65=12,I65,0)</f>
        <v>0</v>
      </c>
      <c r="AL65" s="38">
        <f>IF(AN65=21,I65,0)</f>
        <v>0</v>
      </c>
      <c r="AN65" s="38">
        <v>21</v>
      </c>
      <c r="AO65" s="38">
        <f>H65*0.682450214</f>
        <v>0</v>
      </c>
      <c r="AP65" s="38">
        <f>H65*(1-0.682450214)</f>
        <v>0</v>
      </c>
      <c r="AQ65" s="72" t="s">
        <v>132</v>
      </c>
      <c r="AV65" s="38">
        <f>AW65+AX65</f>
        <v>0</v>
      </c>
      <c r="AW65" s="38">
        <f>G65*AO65</f>
        <v>0</v>
      </c>
      <c r="AX65" s="38">
        <f>G65*AP65</f>
        <v>0</v>
      </c>
      <c r="AY65" s="72" t="s">
        <v>200</v>
      </c>
      <c r="AZ65" s="72" t="s">
        <v>201</v>
      </c>
      <c r="BA65" s="50" t="s">
        <v>139</v>
      </c>
      <c r="BB65" s="73">
        <v>100011</v>
      </c>
      <c r="BC65" s="38">
        <f>AW65+AX65</f>
        <v>0</v>
      </c>
      <c r="BD65" s="38">
        <f>H65/(100-BE65)*100</f>
        <v>0</v>
      </c>
      <c r="BE65" s="38">
        <v>0</v>
      </c>
      <c r="BF65" s="38">
        <f>K65</f>
        <v>7.6419760000000005</v>
      </c>
      <c r="BH65" s="38">
        <f>G65*AO65</f>
        <v>0</v>
      </c>
      <c r="BI65" s="38">
        <f>G65*AP65</f>
        <v>0</v>
      </c>
      <c r="BJ65" s="38">
        <f>G65*H65</f>
        <v>0</v>
      </c>
      <c r="BK65" s="38"/>
      <c r="BL65" s="38">
        <v>31</v>
      </c>
      <c r="BW65" s="38">
        <v>21</v>
      </c>
    </row>
    <row r="66" spans="1:12" ht="15">
      <c r="A66" s="74"/>
      <c r="D66" s="75" t="s">
        <v>236</v>
      </c>
      <c r="E66" s="75" t="s">
        <v>237</v>
      </c>
      <c r="G66" s="76">
        <v>1.87</v>
      </c>
      <c r="L66" s="77"/>
    </row>
    <row r="67" spans="1:12" ht="15">
      <c r="A67" s="74"/>
      <c r="D67" s="75" t="s">
        <v>238</v>
      </c>
      <c r="E67" s="75" t="s">
        <v>239</v>
      </c>
      <c r="G67" s="76">
        <v>1.14</v>
      </c>
      <c r="L67" s="77"/>
    </row>
    <row r="68" spans="1:12" ht="15">
      <c r="A68" s="74"/>
      <c r="D68" s="75" t="s">
        <v>240</v>
      </c>
      <c r="E68" s="75" t="s">
        <v>239</v>
      </c>
      <c r="G68" s="76">
        <v>1.14</v>
      </c>
      <c r="L68" s="77"/>
    </row>
    <row r="69" spans="1:75" ht="13.5" customHeight="1">
      <c r="A69" s="1" t="s">
        <v>241</v>
      </c>
      <c r="B69" s="2" t="s">
        <v>84</v>
      </c>
      <c r="C69" s="2" t="s">
        <v>242</v>
      </c>
      <c r="D69" s="108" t="s">
        <v>243</v>
      </c>
      <c r="E69" s="103"/>
      <c r="F69" s="2" t="s">
        <v>135</v>
      </c>
      <c r="G69" s="38">
        <v>4.92</v>
      </c>
      <c r="H69" s="70">
        <v>0</v>
      </c>
      <c r="I69" s="38">
        <f>G69*H69</f>
        <v>0</v>
      </c>
      <c r="J69" s="38">
        <v>1.84272</v>
      </c>
      <c r="K69" s="38">
        <f>G69*J69</f>
        <v>9.066182399999999</v>
      </c>
      <c r="L69" s="71" t="s">
        <v>136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50" t="s">
        <v>84</v>
      </c>
      <c r="AJ69" s="38">
        <f>IF(AN69=0,I69,0)</f>
        <v>0</v>
      </c>
      <c r="AK69" s="38">
        <f>IF(AN69=12,I69,0)</f>
        <v>0</v>
      </c>
      <c r="AL69" s="38">
        <f>IF(AN69=21,I69,0)</f>
        <v>0</v>
      </c>
      <c r="AN69" s="38">
        <v>21</v>
      </c>
      <c r="AO69" s="38">
        <f>H69*0.690563396</f>
        <v>0</v>
      </c>
      <c r="AP69" s="38">
        <f>H69*(1-0.690563396)</f>
        <v>0</v>
      </c>
      <c r="AQ69" s="72" t="s">
        <v>132</v>
      </c>
      <c r="AV69" s="38">
        <f>AW69+AX69</f>
        <v>0</v>
      </c>
      <c r="AW69" s="38">
        <f>G69*AO69</f>
        <v>0</v>
      </c>
      <c r="AX69" s="38">
        <f>G69*AP69</f>
        <v>0</v>
      </c>
      <c r="AY69" s="72" t="s">
        <v>200</v>
      </c>
      <c r="AZ69" s="72" t="s">
        <v>201</v>
      </c>
      <c r="BA69" s="50" t="s">
        <v>139</v>
      </c>
      <c r="BB69" s="73">
        <v>100011</v>
      </c>
      <c r="BC69" s="38">
        <f>AW69+AX69</f>
        <v>0</v>
      </c>
      <c r="BD69" s="38">
        <f>H69/(100-BE69)*100</f>
        <v>0</v>
      </c>
      <c r="BE69" s="38">
        <v>0</v>
      </c>
      <c r="BF69" s="38">
        <f>K69</f>
        <v>9.066182399999999</v>
      </c>
      <c r="BH69" s="38">
        <f>G69*AO69</f>
        <v>0</v>
      </c>
      <c r="BI69" s="38">
        <f>G69*AP69</f>
        <v>0</v>
      </c>
      <c r="BJ69" s="38">
        <f>G69*H69</f>
        <v>0</v>
      </c>
      <c r="BK69" s="38"/>
      <c r="BL69" s="38">
        <v>31</v>
      </c>
      <c r="BW69" s="38">
        <v>21</v>
      </c>
    </row>
    <row r="70" spans="1:12" ht="15">
      <c r="A70" s="74"/>
      <c r="D70" s="75" t="s">
        <v>244</v>
      </c>
      <c r="E70" s="75" t="s">
        <v>245</v>
      </c>
      <c r="G70" s="76">
        <v>4.92</v>
      </c>
      <c r="L70" s="77"/>
    </row>
    <row r="71" spans="1:75" ht="13.5" customHeight="1">
      <c r="A71" s="1" t="s">
        <v>246</v>
      </c>
      <c r="B71" s="2" t="s">
        <v>84</v>
      </c>
      <c r="C71" s="2" t="s">
        <v>247</v>
      </c>
      <c r="D71" s="108" t="s">
        <v>248</v>
      </c>
      <c r="E71" s="103"/>
      <c r="F71" s="2" t="s">
        <v>135</v>
      </c>
      <c r="G71" s="38">
        <v>0.81</v>
      </c>
      <c r="H71" s="70">
        <v>0</v>
      </c>
      <c r="I71" s="38">
        <f>G71*H71</f>
        <v>0</v>
      </c>
      <c r="J71" s="38">
        <v>1.8196</v>
      </c>
      <c r="K71" s="38">
        <f>G71*J71</f>
        <v>1.4738760000000002</v>
      </c>
      <c r="L71" s="71" t="s">
        <v>136</v>
      </c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50" t="s">
        <v>84</v>
      </c>
      <c r="AJ71" s="38">
        <f>IF(AN71=0,I71,0)</f>
        <v>0</v>
      </c>
      <c r="AK71" s="38">
        <f>IF(AN71=12,I71,0)</f>
        <v>0</v>
      </c>
      <c r="AL71" s="38">
        <f>IF(AN71=21,I71,0)</f>
        <v>0</v>
      </c>
      <c r="AN71" s="38">
        <v>21</v>
      </c>
      <c r="AO71" s="38">
        <f>H71*0.547671137</f>
        <v>0</v>
      </c>
      <c r="AP71" s="38">
        <f>H71*(1-0.547671137)</f>
        <v>0</v>
      </c>
      <c r="AQ71" s="72" t="s">
        <v>132</v>
      </c>
      <c r="AV71" s="38">
        <f>AW71+AX71</f>
        <v>0</v>
      </c>
      <c r="AW71" s="38">
        <f>G71*AO71</f>
        <v>0</v>
      </c>
      <c r="AX71" s="38">
        <f>G71*AP71</f>
        <v>0</v>
      </c>
      <c r="AY71" s="72" t="s">
        <v>200</v>
      </c>
      <c r="AZ71" s="72" t="s">
        <v>201</v>
      </c>
      <c r="BA71" s="50" t="s">
        <v>139</v>
      </c>
      <c r="BB71" s="73">
        <v>100011</v>
      </c>
      <c r="BC71" s="38">
        <f>AW71+AX71</f>
        <v>0</v>
      </c>
      <c r="BD71" s="38">
        <f>H71/(100-BE71)*100</f>
        <v>0</v>
      </c>
      <c r="BE71" s="38">
        <v>0</v>
      </c>
      <c r="BF71" s="38">
        <f>K71</f>
        <v>1.4738760000000002</v>
      </c>
      <c r="BH71" s="38">
        <f>G71*AO71</f>
        <v>0</v>
      </c>
      <c r="BI71" s="38">
        <f>G71*AP71</f>
        <v>0</v>
      </c>
      <c r="BJ71" s="38">
        <f>G71*H71</f>
        <v>0</v>
      </c>
      <c r="BK71" s="38"/>
      <c r="BL71" s="38">
        <v>31</v>
      </c>
      <c r="BW71" s="38">
        <v>21</v>
      </c>
    </row>
    <row r="72" spans="1:12" ht="15">
      <c r="A72" s="74"/>
      <c r="D72" s="75" t="s">
        <v>249</v>
      </c>
      <c r="E72" s="75" t="s">
        <v>250</v>
      </c>
      <c r="G72" s="76">
        <v>0.35</v>
      </c>
      <c r="L72" s="77"/>
    </row>
    <row r="73" spans="1:12" ht="15">
      <c r="A73" s="74"/>
      <c r="D73" s="75" t="s">
        <v>251</v>
      </c>
      <c r="E73" s="75" t="s">
        <v>252</v>
      </c>
      <c r="G73" s="76">
        <v>0.41</v>
      </c>
      <c r="L73" s="77"/>
    </row>
    <row r="74" spans="1:12" ht="15">
      <c r="A74" s="74"/>
      <c r="D74" s="75" t="s">
        <v>253</v>
      </c>
      <c r="E74" s="75" t="s">
        <v>254</v>
      </c>
      <c r="G74" s="76">
        <v>0.05</v>
      </c>
      <c r="L74" s="77"/>
    </row>
    <row r="75" spans="1:75" ht="13.5" customHeight="1">
      <c r="A75" s="1" t="s">
        <v>255</v>
      </c>
      <c r="B75" s="2" t="s">
        <v>84</v>
      </c>
      <c r="C75" s="2" t="s">
        <v>256</v>
      </c>
      <c r="D75" s="108" t="s">
        <v>257</v>
      </c>
      <c r="E75" s="103"/>
      <c r="F75" s="2" t="s">
        <v>199</v>
      </c>
      <c r="G75" s="38">
        <v>6</v>
      </c>
      <c r="H75" s="70">
        <v>0</v>
      </c>
      <c r="I75" s="38">
        <f>G75*H75</f>
        <v>0</v>
      </c>
      <c r="J75" s="38">
        <v>0.02288</v>
      </c>
      <c r="K75" s="38">
        <f>G75*J75</f>
        <v>0.13728</v>
      </c>
      <c r="L75" s="71" t="s">
        <v>136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50" t="s">
        <v>84</v>
      </c>
      <c r="AJ75" s="38">
        <f>IF(AN75=0,I75,0)</f>
        <v>0</v>
      </c>
      <c r="AK75" s="38">
        <f>IF(AN75=12,I75,0)</f>
        <v>0</v>
      </c>
      <c r="AL75" s="38">
        <f>IF(AN75=21,I75,0)</f>
        <v>0</v>
      </c>
      <c r="AN75" s="38">
        <v>21</v>
      </c>
      <c r="AO75" s="38">
        <f>H75*0.704791667</f>
        <v>0</v>
      </c>
      <c r="AP75" s="38">
        <f>H75*(1-0.704791667)</f>
        <v>0</v>
      </c>
      <c r="AQ75" s="72" t="s">
        <v>132</v>
      </c>
      <c r="AV75" s="38">
        <f>AW75+AX75</f>
        <v>0</v>
      </c>
      <c r="AW75" s="38">
        <f>G75*AO75</f>
        <v>0</v>
      </c>
      <c r="AX75" s="38">
        <f>G75*AP75</f>
        <v>0</v>
      </c>
      <c r="AY75" s="72" t="s">
        <v>200</v>
      </c>
      <c r="AZ75" s="72" t="s">
        <v>201</v>
      </c>
      <c r="BA75" s="50" t="s">
        <v>139</v>
      </c>
      <c r="BB75" s="73">
        <v>100011</v>
      </c>
      <c r="BC75" s="38">
        <f>AW75+AX75</f>
        <v>0</v>
      </c>
      <c r="BD75" s="38">
        <f>H75/(100-BE75)*100</f>
        <v>0</v>
      </c>
      <c r="BE75" s="38">
        <v>0</v>
      </c>
      <c r="BF75" s="38">
        <f>K75</f>
        <v>0.13728</v>
      </c>
      <c r="BH75" s="38">
        <f>G75*AO75</f>
        <v>0</v>
      </c>
      <c r="BI75" s="38">
        <f>G75*AP75</f>
        <v>0</v>
      </c>
      <c r="BJ75" s="38">
        <f>G75*H75</f>
        <v>0</v>
      </c>
      <c r="BK75" s="38"/>
      <c r="BL75" s="38">
        <v>31</v>
      </c>
      <c r="BW75" s="38">
        <v>21</v>
      </c>
    </row>
    <row r="76" spans="1:12" ht="15">
      <c r="A76" s="74"/>
      <c r="D76" s="75" t="s">
        <v>132</v>
      </c>
      <c r="E76" s="75" t="s">
        <v>258</v>
      </c>
      <c r="G76" s="76">
        <v>1</v>
      </c>
      <c r="L76" s="77"/>
    </row>
    <row r="77" spans="1:12" ht="15">
      <c r="A77" s="74"/>
      <c r="D77" s="75" t="s">
        <v>162</v>
      </c>
      <c r="E77" s="75" t="s">
        <v>259</v>
      </c>
      <c r="G77" s="76">
        <v>5</v>
      </c>
      <c r="L77" s="77"/>
    </row>
    <row r="78" spans="1:75" ht="13.5" customHeight="1">
      <c r="A78" s="1" t="s">
        <v>260</v>
      </c>
      <c r="B78" s="2" t="s">
        <v>84</v>
      </c>
      <c r="C78" s="2" t="s">
        <v>261</v>
      </c>
      <c r="D78" s="108" t="s">
        <v>262</v>
      </c>
      <c r="E78" s="103"/>
      <c r="F78" s="2" t="s">
        <v>263</v>
      </c>
      <c r="G78" s="38">
        <v>2.32</v>
      </c>
      <c r="H78" s="70">
        <v>0</v>
      </c>
      <c r="I78" s="38">
        <f>G78*H78</f>
        <v>0</v>
      </c>
      <c r="J78" s="38">
        <v>0.77123</v>
      </c>
      <c r="K78" s="38">
        <f>G78*J78</f>
        <v>1.7892535999999999</v>
      </c>
      <c r="L78" s="71" t="s">
        <v>136</v>
      </c>
      <c r="Z78" s="38">
        <f>IF(AQ78="5",BJ78,0)</f>
        <v>0</v>
      </c>
      <c r="AB78" s="38">
        <f>IF(AQ78="1",BH78,0)</f>
        <v>0</v>
      </c>
      <c r="AC78" s="38">
        <f>IF(AQ78="1",BI78,0)</f>
        <v>0</v>
      </c>
      <c r="AD78" s="38">
        <f>IF(AQ78="7",BH78,0)</f>
        <v>0</v>
      </c>
      <c r="AE78" s="38">
        <f>IF(AQ78="7",BI78,0)</f>
        <v>0</v>
      </c>
      <c r="AF78" s="38">
        <f>IF(AQ78="2",BH78,0)</f>
        <v>0</v>
      </c>
      <c r="AG78" s="38">
        <f>IF(AQ78="2",BI78,0)</f>
        <v>0</v>
      </c>
      <c r="AH78" s="38">
        <f>IF(AQ78="0",BJ78,0)</f>
        <v>0</v>
      </c>
      <c r="AI78" s="50" t="s">
        <v>84</v>
      </c>
      <c r="AJ78" s="38">
        <f>IF(AN78=0,I78,0)</f>
        <v>0</v>
      </c>
      <c r="AK78" s="38">
        <f>IF(AN78=12,I78,0)</f>
        <v>0</v>
      </c>
      <c r="AL78" s="38">
        <f>IF(AN78=21,I78,0)</f>
        <v>0</v>
      </c>
      <c r="AN78" s="38">
        <v>21</v>
      </c>
      <c r="AO78" s="38">
        <f>H78*0.715100071</f>
        <v>0</v>
      </c>
      <c r="AP78" s="38">
        <f>H78*(1-0.715100071)</f>
        <v>0</v>
      </c>
      <c r="AQ78" s="72" t="s">
        <v>132</v>
      </c>
      <c r="AV78" s="38">
        <f>AW78+AX78</f>
        <v>0</v>
      </c>
      <c r="AW78" s="38">
        <f>G78*AO78</f>
        <v>0</v>
      </c>
      <c r="AX78" s="38">
        <f>G78*AP78</f>
        <v>0</v>
      </c>
      <c r="AY78" s="72" t="s">
        <v>200</v>
      </c>
      <c r="AZ78" s="72" t="s">
        <v>201</v>
      </c>
      <c r="BA78" s="50" t="s">
        <v>139</v>
      </c>
      <c r="BB78" s="73">
        <v>100011</v>
      </c>
      <c r="BC78" s="38">
        <f>AW78+AX78</f>
        <v>0</v>
      </c>
      <c r="BD78" s="38">
        <f>H78/(100-BE78)*100</f>
        <v>0</v>
      </c>
      <c r="BE78" s="38">
        <v>0</v>
      </c>
      <c r="BF78" s="38">
        <f>K78</f>
        <v>1.7892535999999999</v>
      </c>
      <c r="BH78" s="38">
        <f>G78*AO78</f>
        <v>0</v>
      </c>
      <c r="BI78" s="38">
        <f>G78*AP78</f>
        <v>0</v>
      </c>
      <c r="BJ78" s="38">
        <f>G78*H78</f>
        <v>0</v>
      </c>
      <c r="BK78" s="38"/>
      <c r="BL78" s="38">
        <v>31</v>
      </c>
      <c r="BW78" s="38">
        <v>21</v>
      </c>
    </row>
    <row r="79" spans="1:12" ht="13.5" customHeight="1">
      <c r="A79" s="74"/>
      <c r="D79" s="194" t="s">
        <v>264</v>
      </c>
      <c r="E79" s="195"/>
      <c r="F79" s="195"/>
      <c r="G79" s="195"/>
      <c r="H79" s="196"/>
      <c r="I79" s="195"/>
      <c r="J79" s="195"/>
      <c r="K79" s="195"/>
      <c r="L79" s="197"/>
    </row>
    <row r="80" spans="1:12" ht="15">
      <c r="A80" s="74"/>
      <c r="D80" s="75" t="s">
        <v>265</v>
      </c>
      <c r="E80" s="75" t="s">
        <v>266</v>
      </c>
      <c r="G80" s="76">
        <v>2.32</v>
      </c>
      <c r="L80" s="77"/>
    </row>
    <row r="81" spans="1:75" ht="13.5" customHeight="1">
      <c r="A81" s="1" t="s">
        <v>267</v>
      </c>
      <c r="B81" s="2" t="s">
        <v>84</v>
      </c>
      <c r="C81" s="2" t="s">
        <v>268</v>
      </c>
      <c r="D81" s="108" t="s">
        <v>269</v>
      </c>
      <c r="E81" s="103"/>
      <c r="F81" s="2" t="s">
        <v>135</v>
      </c>
      <c r="G81" s="38">
        <v>0.5</v>
      </c>
      <c r="H81" s="70">
        <v>0</v>
      </c>
      <c r="I81" s="38">
        <f>G81*H81</f>
        <v>0</v>
      </c>
      <c r="J81" s="38">
        <v>2.52501</v>
      </c>
      <c r="K81" s="38">
        <f>G81*J81</f>
        <v>1.262505</v>
      </c>
      <c r="L81" s="71" t="s">
        <v>207</v>
      </c>
      <c r="Z81" s="38">
        <f>IF(AQ81="5",BJ81,0)</f>
        <v>0</v>
      </c>
      <c r="AB81" s="38">
        <f>IF(AQ81="1",BH81,0)</f>
        <v>0</v>
      </c>
      <c r="AC81" s="38">
        <f>IF(AQ81="1",BI81,0)</f>
        <v>0</v>
      </c>
      <c r="AD81" s="38">
        <f>IF(AQ81="7",BH81,0)</f>
        <v>0</v>
      </c>
      <c r="AE81" s="38">
        <f>IF(AQ81="7",BI81,0)</f>
        <v>0</v>
      </c>
      <c r="AF81" s="38">
        <f>IF(AQ81="2",BH81,0)</f>
        <v>0</v>
      </c>
      <c r="AG81" s="38">
        <f>IF(AQ81="2",BI81,0)</f>
        <v>0</v>
      </c>
      <c r="AH81" s="38">
        <f>IF(AQ81="0",BJ81,0)</f>
        <v>0</v>
      </c>
      <c r="AI81" s="50" t="s">
        <v>84</v>
      </c>
      <c r="AJ81" s="38">
        <f>IF(AN81=0,I81,0)</f>
        <v>0</v>
      </c>
      <c r="AK81" s="38">
        <f>IF(AN81=12,I81,0)</f>
        <v>0</v>
      </c>
      <c r="AL81" s="38">
        <f>IF(AN81=21,I81,0)</f>
        <v>0</v>
      </c>
      <c r="AN81" s="38">
        <v>21</v>
      </c>
      <c r="AO81" s="38">
        <f>H81*0.73515128</f>
        <v>0</v>
      </c>
      <c r="AP81" s="38">
        <f>H81*(1-0.73515128)</f>
        <v>0</v>
      </c>
      <c r="AQ81" s="72" t="s">
        <v>132</v>
      </c>
      <c r="AV81" s="38">
        <f>AW81+AX81</f>
        <v>0</v>
      </c>
      <c r="AW81" s="38">
        <f>G81*AO81</f>
        <v>0</v>
      </c>
      <c r="AX81" s="38">
        <f>G81*AP81</f>
        <v>0</v>
      </c>
      <c r="AY81" s="72" t="s">
        <v>200</v>
      </c>
      <c r="AZ81" s="72" t="s">
        <v>201</v>
      </c>
      <c r="BA81" s="50" t="s">
        <v>139</v>
      </c>
      <c r="BB81" s="73">
        <v>100011</v>
      </c>
      <c r="BC81" s="38">
        <f>AW81+AX81</f>
        <v>0</v>
      </c>
      <c r="BD81" s="38">
        <f>H81/(100-BE81)*100</f>
        <v>0</v>
      </c>
      <c r="BE81" s="38">
        <v>0</v>
      </c>
      <c r="BF81" s="38">
        <f>K81</f>
        <v>1.262505</v>
      </c>
      <c r="BH81" s="38">
        <f>G81*AO81</f>
        <v>0</v>
      </c>
      <c r="BI81" s="38">
        <f>G81*AP81</f>
        <v>0</v>
      </c>
      <c r="BJ81" s="38">
        <f>G81*H81</f>
        <v>0</v>
      </c>
      <c r="BK81" s="38"/>
      <c r="BL81" s="38">
        <v>31</v>
      </c>
      <c r="BW81" s="38">
        <v>21</v>
      </c>
    </row>
    <row r="82" spans="1:12" ht="13.5" customHeight="1">
      <c r="A82" s="74"/>
      <c r="D82" s="194" t="s">
        <v>270</v>
      </c>
      <c r="E82" s="195"/>
      <c r="F82" s="195"/>
      <c r="G82" s="195"/>
      <c r="H82" s="196"/>
      <c r="I82" s="195"/>
      <c r="J82" s="195"/>
      <c r="K82" s="195"/>
      <c r="L82" s="197"/>
    </row>
    <row r="83" spans="1:12" ht="15">
      <c r="A83" s="74"/>
      <c r="D83" s="75" t="s">
        <v>271</v>
      </c>
      <c r="E83" s="75" t="s">
        <v>266</v>
      </c>
      <c r="G83" s="76">
        <v>0.5</v>
      </c>
      <c r="L83" s="77"/>
    </row>
    <row r="84" spans="1:75" ht="13.5" customHeight="1">
      <c r="A84" s="1" t="s">
        <v>272</v>
      </c>
      <c r="B84" s="2" t="s">
        <v>84</v>
      </c>
      <c r="C84" s="2" t="s">
        <v>273</v>
      </c>
      <c r="D84" s="108" t="s">
        <v>274</v>
      </c>
      <c r="E84" s="103"/>
      <c r="F84" s="2" t="s">
        <v>263</v>
      </c>
      <c r="G84" s="38">
        <v>3.66</v>
      </c>
      <c r="H84" s="70">
        <v>0</v>
      </c>
      <c r="I84" s="38">
        <f>G84*H84</f>
        <v>0</v>
      </c>
      <c r="J84" s="38">
        <v>0.01563</v>
      </c>
      <c r="K84" s="38">
        <f>G84*J84</f>
        <v>0.05720580000000001</v>
      </c>
      <c r="L84" s="71" t="s">
        <v>136</v>
      </c>
      <c r="Z84" s="38">
        <f>IF(AQ84="5",BJ84,0)</f>
        <v>0</v>
      </c>
      <c r="AB84" s="38">
        <f>IF(AQ84="1",BH84,0)</f>
        <v>0</v>
      </c>
      <c r="AC84" s="38">
        <f>IF(AQ84="1",BI84,0)</f>
        <v>0</v>
      </c>
      <c r="AD84" s="38">
        <f>IF(AQ84="7",BH84,0)</f>
        <v>0</v>
      </c>
      <c r="AE84" s="38">
        <f>IF(AQ84="7",BI84,0)</f>
        <v>0</v>
      </c>
      <c r="AF84" s="38">
        <f>IF(AQ84="2",BH84,0)</f>
        <v>0</v>
      </c>
      <c r="AG84" s="38">
        <f>IF(AQ84="2",BI84,0)</f>
        <v>0</v>
      </c>
      <c r="AH84" s="38">
        <f>IF(AQ84="0",BJ84,0)</f>
        <v>0</v>
      </c>
      <c r="AI84" s="50" t="s">
        <v>84</v>
      </c>
      <c r="AJ84" s="38">
        <f>IF(AN84=0,I84,0)</f>
        <v>0</v>
      </c>
      <c r="AK84" s="38">
        <f>IF(AN84=12,I84,0)</f>
        <v>0</v>
      </c>
      <c r="AL84" s="38">
        <f>IF(AN84=21,I84,0)</f>
        <v>0</v>
      </c>
      <c r="AN84" s="38">
        <v>21</v>
      </c>
      <c r="AO84" s="38">
        <f>H84*0.287794493</f>
        <v>0</v>
      </c>
      <c r="AP84" s="38">
        <f>H84*(1-0.287794493)</f>
        <v>0</v>
      </c>
      <c r="AQ84" s="72" t="s">
        <v>132</v>
      </c>
      <c r="AV84" s="38">
        <f>AW84+AX84</f>
        <v>0</v>
      </c>
      <c r="AW84" s="38">
        <f>G84*AO84</f>
        <v>0</v>
      </c>
      <c r="AX84" s="38">
        <f>G84*AP84</f>
        <v>0</v>
      </c>
      <c r="AY84" s="72" t="s">
        <v>200</v>
      </c>
      <c r="AZ84" s="72" t="s">
        <v>201</v>
      </c>
      <c r="BA84" s="50" t="s">
        <v>139</v>
      </c>
      <c r="BB84" s="73">
        <v>100011</v>
      </c>
      <c r="BC84" s="38">
        <f>AW84+AX84</f>
        <v>0</v>
      </c>
      <c r="BD84" s="38">
        <f>H84/(100-BE84)*100</f>
        <v>0</v>
      </c>
      <c r="BE84" s="38">
        <v>0</v>
      </c>
      <c r="BF84" s="38">
        <f>K84</f>
        <v>0.05720580000000001</v>
      </c>
      <c r="BH84" s="38">
        <f>G84*AO84</f>
        <v>0</v>
      </c>
      <c r="BI84" s="38">
        <f>G84*AP84</f>
        <v>0</v>
      </c>
      <c r="BJ84" s="38">
        <f>G84*H84</f>
        <v>0</v>
      </c>
      <c r="BK84" s="38"/>
      <c r="BL84" s="38">
        <v>31</v>
      </c>
      <c r="BW84" s="38">
        <v>21</v>
      </c>
    </row>
    <row r="85" spans="1:12" ht="13.5" customHeight="1">
      <c r="A85" s="74"/>
      <c r="D85" s="194" t="s">
        <v>270</v>
      </c>
      <c r="E85" s="195"/>
      <c r="F85" s="195"/>
      <c r="G85" s="195"/>
      <c r="H85" s="196"/>
      <c r="I85" s="195"/>
      <c r="J85" s="195"/>
      <c r="K85" s="195"/>
      <c r="L85" s="197"/>
    </row>
    <row r="86" spans="1:12" ht="15">
      <c r="A86" s="74"/>
      <c r="D86" s="75" t="s">
        <v>275</v>
      </c>
      <c r="E86" s="75" t="s">
        <v>266</v>
      </c>
      <c r="G86" s="76">
        <v>3.66</v>
      </c>
      <c r="L86" s="77"/>
    </row>
    <row r="87" spans="1:75" ht="13.5" customHeight="1">
      <c r="A87" s="1" t="s">
        <v>276</v>
      </c>
      <c r="B87" s="2" t="s">
        <v>84</v>
      </c>
      <c r="C87" s="2" t="s">
        <v>277</v>
      </c>
      <c r="D87" s="108" t="s">
        <v>278</v>
      </c>
      <c r="E87" s="103"/>
      <c r="F87" s="2" t="s">
        <v>263</v>
      </c>
      <c r="G87" s="38">
        <v>3.66</v>
      </c>
      <c r="H87" s="70">
        <v>0</v>
      </c>
      <c r="I87" s="38">
        <f>G87*H87</f>
        <v>0</v>
      </c>
      <c r="J87" s="38">
        <v>0</v>
      </c>
      <c r="K87" s="38">
        <f>G87*J87</f>
        <v>0</v>
      </c>
      <c r="L87" s="71" t="s">
        <v>136</v>
      </c>
      <c r="Z87" s="38">
        <f>IF(AQ87="5",BJ87,0)</f>
        <v>0</v>
      </c>
      <c r="AB87" s="38">
        <f>IF(AQ87="1",BH87,0)</f>
        <v>0</v>
      </c>
      <c r="AC87" s="38">
        <f>IF(AQ87="1",BI87,0)</f>
        <v>0</v>
      </c>
      <c r="AD87" s="38">
        <f>IF(AQ87="7",BH87,0)</f>
        <v>0</v>
      </c>
      <c r="AE87" s="38">
        <f>IF(AQ87="7",BI87,0)</f>
        <v>0</v>
      </c>
      <c r="AF87" s="38">
        <f>IF(AQ87="2",BH87,0)</f>
        <v>0</v>
      </c>
      <c r="AG87" s="38">
        <f>IF(AQ87="2",BI87,0)</f>
        <v>0</v>
      </c>
      <c r="AH87" s="38">
        <f>IF(AQ87="0",BJ87,0)</f>
        <v>0</v>
      </c>
      <c r="AI87" s="50" t="s">
        <v>84</v>
      </c>
      <c r="AJ87" s="38">
        <f>IF(AN87=0,I87,0)</f>
        <v>0</v>
      </c>
      <c r="AK87" s="38">
        <f>IF(AN87=12,I87,0)</f>
        <v>0</v>
      </c>
      <c r="AL87" s="38">
        <f>IF(AN87=21,I87,0)</f>
        <v>0</v>
      </c>
      <c r="AN87" s="38">
        <v>21</v>
      </c>
      <c r="AO87" s="38">
        <f>H87*0</f>
        <v>0</v>
      </c>
      <c r="AP87" s="38">
        <f>H87*(1-0)</f>
        <v>0</v>
      </c>
      <c r="AQ87" s="72" t="s">
        <v>132</v>
      </c>
      <c r="AV87" s="38">
        <f>AW87+AX87</f>
        <v>0</v>
      </c>
      <c r="AW87" s="38">
        <f>G87*AO87</f>
        <v>0</v>
      </c>
      <c r="AX87" s="38">
        <f>G87*AP87</f>
        <v>0</v>
      </c>
      <c r="AY87" s="72" t="s">
        <v>200</v>
      </c>
      <c r="AZ87" s="72" t="s">
        <v>201</v>
      </c>
      <c r="BA87" s="50" t="s">
        <v>139</v>
      </c>
      <c r="BB87" s="73">
        <v>100011</v>
      </c>
      <c r="BC87" s="38">
        <f>AW87+AX87</f>
        <v>0</v>
      </c>
      <c r="BD87" s="38">
        <f>H87/(100-BE87)*100</f>
        <v>0</v>
      </c>
      <c r="BE87" s="38">
        <v>0</v>
      </c>
      <c r="BF87" s="38">
        <f>K87</f>
        <v>0</v>
      </c>
      <c r="BH87" s="38">
        <f>G87*AO87</f>
        <v>0</v>
      </c>
      <c r="BI87" s="38">
        <f>G87*AP87</f>
        <v>0</v>
      </c>
      <c r="BJ87" s="38">
        <f>G87*H87</f>
        <v>0</v>
      </c>
      <c r="BK87" s="38"/>
      <c r="BL87" s="38">
        <v>31</v>
      </c>
      <c r="BW87" s="38">
        <v>21</v>
      </c>
    </row>
    <row r="88" spans="1:12" ht="13.5" customHeight="1">
      <c r="A88" s="74"/>
      <c r="D88" s="194" t="s">
        <v>270</v>
      </c>
      <c r="E88" s="195"/>
      <c r="F88" s="195"/>
      <c r="G88" s="195"/>
      <c r="H88" s="196"/>
      <c r="I88" s="195"/>
      <c r="J88" s="195"/>
      <c r="K88" s="195"/>
      <c r="L88" s="197"/>
    </row>
    <row r="89" spans="1:12" ht="15">
      <c r="A89" s="74"/>
      <c r="D89" s="75" t="s">
        <v>279</v>
      </c>
      <c r="E89" s="75" t="s">
        <v>4</v>
      </c>
      <c r="G89" s="76">
        <v>3.66</v>
      </c>
      <c r="L89" s="77"/>
    </row>
    <row r="90" spans="1:75" ht="13.5" customHeight="1">
      <c r="A90" s="1" t="s">
        <v>280</v>
      </c>
      <c r="B90" s="2" t="s">
        <v>84</v>
      </c>
      <c r="C90" s="2" t="s">
        <v>281</v>
      </c>
      <c r="D90" s="108" t="s">
        <v>282</v>
      </c>
      <c r="E90" s="103"/>
      <c r="F90" s="2" t="s">
        <v>263</v>
      </c>
      <c r="G90" s="38">
        <v>35.25</v>
      </c>
      <c r="H90" s="70">
        <v>0</v>
      </c>
      <c r="I90" s="38">
        <f>G90*H90</f>
        <v>0</v>
      </c>
      <c r="J90" s="38">
        <v>0.03767</v>
      </c>
      <c r="K90" s="38">
        <f>G90*J90</f>
        <v>1.3278675</v>
      </c>
      <c r="L90" s="71" t="s">
        <v>136</v>
      </c>
      <c r="Z90" s="38">
        <f>IF(AQ90="5",BJ90,0)</f>
        <v>0</v>
      </c>
      <c r="AB90" s="38">
        <f>IF(AQ90="1",BH90,0)</f>
        <v>0</v>
      </c>
      <c r="AC90" s="38">
        <f>IF(AQ90="1",BI90,0)</f>
        <v>0</v>
      </c>
      <c r="AD90" s="38">
        <f>IF(AQ90="7",BH90,0)</f>
        <v>0</v>
      </c>
      <c r="AE90" s="38">
        <f>IF(AQ90="7",BI90,0)</f>
        <v>0</v>
      </c>
      <c r="AF90" s="38">
        <f>IF(AQ90="2",BH90,0)</f>
        <v>0</v>
      </c>
      <c r="AG90" s="38">
        <f>IF(AQ90="2",BI90,0)</f>
        <v>0</v>
      </c>
      <c r="AH90" s="38">
        <f>IF(AQ90="0",BJ90,0)</f>
        <v>0</v>
      </c>
      <c r="AI90" s="50" t="s">
        <v>84</v>
      </c>
      <c r="AJ90" s="38">
        <f>IF(AN90=0,I90,0)</f>
        <v>0</v>
      </c>
      <c r="AK90" s="38">
        <f>IF(AN90=12,I90,0)</f>
        <v>0</v>
      </c>
      <c r="AL90" s="38">
        <f>IF(AN90=21,I90,0)</f>
        <v>0</v>
      </c>
      <c r="AN90" s="38">
        <v>21</v>
      </c>
      <c r="AO90" s="38">
        <f>H90*0.183870968</f>
        <v>0</v>
      </c>
      <c r="AP90" s="38">
        <f>H90*(1-0.183870968)</f>
        <v>0</v>
      </c>
      <c r="AQ90" s="72" t="s">
        <v>132</v>
      </c>
      <c r="AV90" s="38">
        <f>AW90+AX90</f>
        <v>0</v>
      </c>
      <c r="AW90" s="38">
        <f>G90*AO90</f>
        <v>0</v>
      </c>
      <c r="AX90" s="38">
        <f>G90*AP90</f>
        <v>0</v>
      </c>
      <c r="AY90" s="72" t="s">
        <v>200</v>
      </c>
      <c r="AZ90" s="72" t="s">
        <v>201</v>
      </c>
      <c r="BA90" s="50" t="s">
        <v>139</v>
      </c>
      <c r="BB90" s="73">
        <v>100011</v>
      </c>
      <c r="BC90" s="38">
        <f>AW90+AX90</f>
        <v>0</v>
      </c>
      <c r="BD90" s="38">
        <f>H90/(100-BE90)*100</f>
        <v>0</v>
      </c>
      <c r="BE90" s="38">
        <v>0</v>
      </c>
      <c r="BF90" s="38">
        <f>K90</f>
        <v>1.3278675</v>
      </c>
      <c r="BH90" s="38">
        <f>G90*AO90</f>
        <v>0</v>
      </c>
      <c r="BI90" s="38">
        <f>G90*AP90</f>
        <v>0</v>
      </c>
      <c r="BJ90" s="38">
        <f>G90*H90</f>
        <v>0</v>
      </c>
      <c r="BK90" s="38"/>
      <c r="BL90" s="38">
        <v>31</v>
      </c>
      <c r="BW90" s="38">
        <v>21</v>
      </c>
    </row>
    <row r="91" spans="1:12" ht="13.5" customHeight="1">
      <c r="A91" s="74"/>
      <c r="D91" s="194" t="s">
        <v>283</v>
      </c>
      <c r="E91" s="195"/>
      <c r="F91" s="195"/>
      <c r="G91" s="195"/>
      <c r="H91" s="196"/>
      <c r="I91" s="195"/>
      <c r="J91" s="195"/>
      <c r="K91" s="195"/>
      <c r="L91" s="197"/>
    </row>
    <row r="92" spans="1:12" ht="15">
      <c r="A92" s="74"/>
      <c r="D92" s="75" t="s">
        <v>284</v>
      </c>
      <c r="E92" s="75" t="s">
        <v>4</v>
      </c>
      <c r="G92" s="76">
        <v>35.25</v>
      </c>
      <c r="L92" s="77"/>
    </row>
    <row r="93" spans="1:75" ht="13.5" customHeight="1">
      <c r="A93" s="1" t="s">
        <v>285</v>
      </c>
      <c r="B93" s="2" t="s">
        <v>84</v>
      </c>
      <c r="C93" s="2" t="s">
        <v>286</v>
      </c>
      <c r="D93" s="108" t="s">
        <v>287</v>
      </c>
      <c r="E93" s="103"/>
      <c r="F93" s="2" t="s">
        <v>214</v>
      </c>
      <c r="G93" s="38">
        <v>117.5</v>
      </c>
      <c r="H93" s="70">
        <v>0</v>
      </c>
      <c r="I93" s="38">
        <f>G93*H93</f>
        <v>0</v>
      </c>
      <c r="J93" s="38">
        <v>0.00145</v>
      </c>
      <c r="K93" s="38">
        <f>G93*J93</f>
        <v>0.170375</v>
      </c>
      <c r="L93" s="71" t="s">
        <v>136</v>
      </c>
      <c r="Z93" s="38">
        <f>IF(AQ93="5",BJ93,0)</f>
        <v>0</v>
      </c>
      <c r="AB93" s="38">
        <f>IF(AQ93="1",BH93,0)</f>
        <v>0</v>
      </c>
      <c r="AC93" s="38">
        <f>IF(AQ93="1",BI93,0)</f>
        <v>0</v>
      </c>
      <c r="AD93" s="38">
        <f>IF(AQ93="7",BH93,0)</f>
        <v>0</v>
      </c>
      <c r="AE93" s="38">
        <f>IF(AQ93="7",BI93,0)</f>
        <v>0</v>
      </c>
      <c r="AF93" s="38">
        <f>IF(AQ93="2",BH93,0)</f>
        <v>0</v>
      </c>
      <c r="AG93" s="38">
        <f>IF(AQ93="2",BI93,0)</f>
        <v>0</v>
      </c>
      <c r="AH93" s="38">
        <f>IF(AQ93="0",BJ93,0)</f>
        <v>0</v>
      </c>
      <c r="AI93" s="50" t="s">
        <v>84</v>
      </c>
      <c r="AJ93" s="38">
        <f>IF(AN93=0,I93,0)</f>
        <v>0</v>
      </c>
      <c r="AK93" s="38">
        <f>IF(AN93=12,I93,0)</f>
        <v>0</v>
      </c>
      <c r="AL93" s="38">
        <f>IF(AN93=21,I93,0)</f>
        <v>0</v>
      </c>
      <c r="AN93" s="38">
        <v>21</v>
      </c>
      <c r="AO93" s="38">
        <f>H93*0.466173469</f>
        <v>0</v>
      </c>
      <c r="AP93" s="38">
        <f>H93*(1-0.466173469)</f>
        <v>0</v>
      </c>
      <c r="AQ93" s="72" t="s">
        <v>132</v>
      </c>
      <c r="AV93" s="38">
        <f>AW93+AX93</f>
        <v>0</v>
      </c>
      <c r="AW93" s="38">
        <f>G93*AO93</f>
        <v>0</v>
      </c>
      <c r="AX93" s="38">
        <f>G93*AP93</f>
        <v>0</v>
      </c>
      <c r="AY93" s="72" t="s">
        <v>200</v>
      </c>
      <c r="AZ93" s="72" t="s">
        <v>201</v>
      </c>
      <c r="BA93" s="50" t="s">
        <v>139</v>
      </c>
      <c r="BB93" s="73">
        <v>100011</v>
      </c>
      <c r="BC93" s="38">
        <f>AW93+AX93</f>
        <v>0</v>
      </c>
      <c r="BD93" s="38">
        <f>H93/(100-BE93)*100</f>
        <v>0</v>
      </c>
      <c r="BE93" s="38">
        <v>0</v>
      </c>
      <c r="BF93" s="38">
        <f>K93</f>
        <v>0.170375</v>
      </c>
      <c r="BH93" s="38">
        <f>G93*AO93</f>
        <v>0</v>
      </c>
      <c r="BI93" s="38">
        <f>G93*AP93</f>
        <v>0</v>
      </c>
      <c r="BJ93" s="38">
        <f>G93*H93</f>
        <v>0</v>
      </c>
      <c r="BK93" s="38"/>
      <c r="BL93" s="38">
        <v>31</v>
      </c>
      <c r="BW93" s="38">
        <v>21</v>
      </c>
    </row>
    <row r="94" spans="1:12" ht="15">
      <c r="A94" s="74"/>
      <c r="D94" s="75" t="s">
        <v>288</v>
      </c>
      <c r="E94" s="75" t="s">
        <v>266</v>
      </c>
      <c r="G94" s="76">
        <v>117.5</v>
      </c>
      <c r="L94" s="77"/>
    </row>
    <row r="95" spans="1:47" ht="15">
      <c r="A95" s="65" t="s">
        <v>4</v>
      </c>
      <c r="B95" s="66" t="s">
        <v>84</v>
      </c>
      <c r="C95" s="66" t="s">
        <v>289</v>
      </c>
      <c r="D95" s="192" t="s">
        <v>290</v>
      </c>
      <c r="E95" s="193"/>
      <c r="F95" s="67" t="s">
        <v>78</v>
      </c>
      <c r="G95" s="67" t="s">
        <v>78</v>
      </c>
      <c r="H95" s="68" t="s">
        <v>78</v>
      </c>
      <c r="I95" s="44">
        <f>SUM(I96:I132)</f>
        <v>0</v>
      </c>
      <c r="J95" s="50" t="s">
        <v>4</v>
      </c>
      <c r="K95" s="44">
        <f>SUM(K96:K132)</f>
        <v>15.099456200000002</v>
      </c>
      <c r="L95" s="69" t="s">
        <v>4</v>
      </c>
      <c r="AI95" s="50" t="s">
        <v>84</v>
      </c>
      <c r="AS95" s="44">
        <f>SUM(AJ96:AJ132)</f>
        <v>0</v>
      </c>
      <c r="AT95" s="44">
        <f>SUM(AK96:AK132)</f>
        <v>0</v>
      </c>
      <c r="AU95" s="44">
        <f>SUM(AL96:AL132)</f>
        <v>0</v>
      </c>
    </row>
    <row r="96" spans="1:75" ht="13.5" customHeight="1">
      <c r="A96" s="1" t="s">
        <v>291</v>
      </c>
      <c r="B96" s="2" t="s">
        <v>84</v>
      </c>
      <c r="C96" s="2" t="s">
        <v>292</v>
      </c>
      <c r="D96" s="108" t="s">
        <v>293</v>
      </c>
      <c r="E96" s="103"/>
      <c r="F96" s="2" t="s">
        <v>199</v>
      </c>
      <c r="G96" s="38">
        <v>1</v>
      </c>
      <c r="H96" s="70">
        <v>0</v>
      </c>
      <c r="I96" s="38">
        <f>G96*H96</f>
        <v>0</v>
      </c>
      <c r="J96" s="38">
        <v>0.00016</v>
      </c>
      <c r="K96" s="38">
        <f>G96*J96</f>
        <v>0.00016</v>
      </c>
      <c r="L96" s="71" t="s">
        <v>207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50" t="s">
        <v>84</v>
      </c>
      <c r="AJ96" s="38">
        <f>IF(AN96=0,I96,0)</f>
        <v>0</v>
      </c>
      <c r="AK96" s="38">
        <f>IF(AN96=12,I96,0)</f>
        <v>0</v>
      </c>
      <c r="AL96" s="38">
        <f>IF(AN96=21,I96,0)</f>
        <v>0</v>
      </c>
      <c r="AN96" s="38">
        <v>21</v>
      </c>
      <c r="AO96" s="38">
        <f>H96*0.467775468</f>
        <v>0</v>
      </c>
      <c r="AP96" s="38">
        <f>H96*(1-0.467775468)</f>
        <v>0</v>
      </c>
      <c r="AQ96" s="72" t="s">
        <v>132</v>
      </c>
      <c r="AV96" s="38">
        <f>AW96+AX96</f>
        <v>0</v>
      </c>
      <c r="AW96" s="38">
        <f>G96*AO96</f>
        <v>0</v>
      </c>
      <c r="AX96" s="38">
        <f>G96*AP96</f>
        <v>0</v>
      </c>
      <c r="AY96" s="72" t="s">
        <v>294</v>
      </c>
      <c r="AZ96" s="72" t="s">
        <v>201</v>
      </c>
      <c r="BA96" s="50" t="s">
        <v>139</v>
      </c>
      <c r="BB96" s="73">
        <v>100003</v>
      </c>
      <c r="BC96" s="38">
        <f>AW96+AX96</f>
        <v>0</v>
      </c>
      <c r="BD96" s="38">
        <f>H96/(100-BE96)*100</f>
        <v>0</v>
      </c>
      <c r="BE96" s="38">
        <v>0</v>
      </c>
      <c r="BF96" s="38">
        <f>K96</f>
        <v>0.00016</v>
      </c>
      <c r="BH96" s="38">
        <f>G96*AO96</f>
        <v>0</v>
      </c>
      <c r="BI96" s="38">
        <f>G96*AP96</f>
        <v>0</v>
      </c>
      <c r="BJ96" s="38">
        <f>G96*H96</f>
        <v>0</v>
      </c>
      <c r="BK96" s="38"/>
      <c r="BL96" s="38">
        <v>34</v>
      </c>
      <c r="BW96" s="38">
        <v>21</v>
      </c>
    </row>
    <row r="97" spans="1:12" ht="15">
      <c r="A97" s="74"/>
      <c r="D97" s="75" t="s">
        <v>132</v>
      </c>
      <c r="E97" s="75" t="s">
        <v>295</v>
      </c>
      <c r="G97" s="76">
        <v>1</v>
      </c>
      <c r="L97" s="77"/>
    </row>
    <row r="98" spans="1:75" ht="13.5" customHeight="1">
      <c r="A98" s="1" t="s">
        <v>296</v>
      </c>
      <c r="B98" s="2" t="s">
        <v>84</v>
      </c>
      <c r="C98" s="2" t="s">
        <v>297</v>
      </c>
      <c r="D98" s="108" t="s">
        <v>298</v>
      </c>
      <c r="E98" s="103"/>
      <c r="F98" s="2" t="s">
        <v>263</v>
      </c>
      <c r="G98" s="38">
        <v>2.49</v>
      </c>
      <c r="H98" s="70">
        <v>0</v>
      </c>
      <c r="I98" s="38">
        <f>G98*H98</f>
        <v>0</v>
      </c>
      <c r="J98" s="38">
        <v>0.17444</v>
      </c>
      <c r="K98" s="38">
        <f>G98*J98</f>
        <v>0.43435560000000006</v>
      </c>
      <c r="L98" s="71" t="s">
        <v>136</v>
      </c>
      <c r="Z98" s="38">
        <f>IF(AQ98="5",BJ98,0)</f>
        <v>0</v>
      </c>
      <c r="AB98" s="38">
        <f>IF(AQ98="1",BH98,0)</f>
        <v>0</v>
      </c>
      <c r="AC98" s="38">
        <f>IF(AQ98="1",BI98,0)</f>
        <v>0</v>
      </c>
      <c r="AD98" s="38">
        <f>IF(AQ98="7",BH98,0)</f>
        <v>0</v>
      </c>
      <c r="AE98" s="38">
        <f>IF(AQ98="7",BI98,0)</f>
        <v>0</v>
      </c>
      <c r="AF98" s="38">
        <f>IF(AQ98="2",BH98,0)</f>
        <v>0</v>
      </c>
      <c r="AG98" s="38">
        <f>IF(AQ98="2",BI98,0)</f>
        <v>0</v>
      </c>
      <c r="AH98" s="38">
        <f>IF(AQ98="0",BJ98,0)</f>
        <v>0</v>
      </c>
      <c r="AI98" s="50" t="s">
        <v>84</v>
      </c>
      <c r="AJ98" s="38">
        <f>IF(AN98=0,I98,0)</f>
        <v>0</v>
      </c>
      <c r="AK98" s="38">
        <f>IF(AN98=12,I98,0)</f>
        <v>0</v>
      </c>
      <c r="AL98" s="38">
        <f>IF(AN98=21,I98,0)</f>
        <v>0</v>
      </c>
      <c r="AN98" s="38">
        <v>21</v>
      </c>
      <c r="AO98" s="38">
        <f>H98*0.371007101</f>
        <v>0</v>
      </c>
      <c r="AP98" s="38">
        <f>H98*(1-0.371007101)</f>
        <v>0</v>
      </c>
      <c r="AQ98" s="72" t="s">
        <v>132</v>
      </c>
      <c r="AV98" s="38">
        <f>AW98+AX98</f>
        <v>0</v>
      </c>
      <c r="AW98" s="38">
        <f>G98*AO98</f>
        <v>0</v>
      </c>
      <c r="AX98" s="38">
        <f>G98*AP98</f>
        <v>0</v>
      </c>
      <c r="AY98" s="72" t="s">
        <v>294</v>
      </c>
      <c r="AZ98" s="72" t="s">
        <v>201</v>
      </c>
      <c r="BA98" s="50" t="s">
        <v>139</v>
      </c>
      <c r="BB98" s="73">
        <v>100003</v>
      </c>
      <c r="BC98" s="38">
        <f>AW98+AX98</f>
        <v>0</v>
      </c>
      <c r="BD98" s="38">
        <f>H98/(100-BE98)*100</f>
        <v>0</v>
      </c>
      <c r="BE98" s="38">
        <v>0</v>
      </c>
      <c r="BF98" s="38">
        <f>K98</f>
        <v>0.43435560000000006</v>
      </c>
      <c r="BH98" s="38">
        <f>G98*AO98</f>
        <v>0</v>
      </c>
      <c r="BI98" s="38">
        <f>G98*AP98</f>
        <v>0</v>
      </c>
      <c r="BJ98" s="38">
        <f>G98*H98</f>
        <v>0</v>
      </c>
      <c r="BK98" s="38"/>
      <c r="BL98" s="38">
        <v>34</v>
      </c>
      <c r="BW98" s="38">
        <v>21</v>
      </c>
    </row>
    <row r="99" spans="1:12" ht="15">
      <c r="A99" s="74"/>
      <c r="D99" s="75" t="s">
        <v>299</v>
      </c>
      <c r="E99" s="75" t="s">
        <v>250</v>
      </c>
      <c r="G99" s="76">
        <v>0.86</v>
      </c>
      <c r="L99" s="77"/>
    </row>
    <row r="100" spans="1:12" ht="15">
      <c r="A100" s="74"/>
      <c r="D100" s="75" t="s">
        <v>300</v>
      </c>
      <c r="E100" s="75" t="s">
        <v>252</v>
      </c>
      <c r="G100" s="76">
        <v>1.01</v>
      </c>
      <c r="L100" s="77"/>
    </row>
    <row r="101" spans="1:12" ht="15">
      <c r="A101" s="74"/>
      <c r="D101" s="75" t="s">
        <v>301</v>
      </c>
      <c r="E101" s="75" t="s">
        <v>254</v>
      </c>
      <c r="G101" s="76">
        <v>0.32</v>
      </c>
      <c r="L101" s="77"/>
    </row>
    <row r="102" spans="1:12" ht="15">
      <c r="A102" s="74"/>
      <c r="D102" s="75" t="s">
        <v>302</v>
      </c>
      <c r="E102" s="75" t="s">
        <v>303</v>
      </c>
      <c r="G102" s="76">
        <v>0.3</v>
      </c>
      <c r="L102" s="77"/>
    </row>
    <row r="103" spans="1:75" ht="13.5" customHeight="1">
      <c r="A103" s="1" t="s">
        <v>304</v>
      </c>
      <c r="B103" s="2" t="s">
        <v>84</v>
      </c>
      <c r="C103" s="2" t="s">
        <v>305</v>
      </c>
      <c r="D103" s="108" t="s">
        <v>306</v>
      </c>
      <c r="E103" s="103"/>
      <c r="F103" s="2" t="s">
        <v>263</v>
      </c>
      <c r="G103" s="38">
        <v>17.43</v>
      </c>
      <c r="H103" s="70">
        <v>0</v>
      </c>
      <c r="I103" s="38">
        <f>G103*H103</f>
        <v>0</v>
      </c>
      <c r="J103" s="38">
        <v>0.25493</v>
      </c>
      <c r="K103" s="38">
        <f>G103*J103</f>
        <v>4.4434299</v>
      </c>
      <c r="L103" s="71" t="s">
        <v>136</v>
      </c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50" t="s">
        <v>84</v>
      </c>
      <c r="AJ103" s="38">
        <f>IF(AN103=0,I103,0)</f>
        <v>0</v>
      </c>
      <c r="AK103" s="38">
        <f>IF(AN103=12,I103,0)</f>
        <v>0</v>
      </c>
      <c r="AL103" s="38">
        <f>IF(AN103=21,I103,0)</f>
        <v>0</v>
      </c>
      <c r="AN103" s="38">
        <v>21</v>
      </c>
      <c r="AO103" s="38">
        <f>H103*0.637150622</f>
        <v>0</v>
      </c>
      <c r="AP103" s="38">
        <f>H103*(1-0.637150622)</f>
        <v>0</v>
      </c>
      <c r="AQ103" s="72" t="s">
        <v>132</v>
      </c>
      <c r="AV103" s="38">
        <f>AW103+AX103</f>
        <v>0</v>
      </c>
      <c r="AW103" s="38">
        <f>G103*AO103</f>
        <v>0</v>
      </c>
      <c r="AX103" s="38">
        <f>G103*AP103</f>
        <v>0</v>
      </c>
      <c r="AY103" s="72" t="s">
        <v>294</v>
      </c>
      <c r="AZ103" s="72" t="s">
        <v>201</v>
      </c>
      <c r="BA103" s="50" t="s">
        <v>139</v>
      </c>
      <c r="BB103" s="73">
        <v>100003</v>
      </c>
      <c r="BC103" s="38">
        <f>AW103+AX103</f>
        <v>0</v>
      </c>
      <c r="BD103" s="38">
        <f>H103/(100-BE103)*100</f>
        <v>0</v>
      </c>
      <c r="BE103" s="38">
        <v>0</v>
      </c>
      <c r="BF103" s="38">
        <f>K103</f>
        <v>4.4434299</v>
      </c>
      <c r="BH103" s="38">
        <f>G103*AO103</f>
        <v>0</v>
      </c>
      <c r="BI103" s="38">
        <f>G103*AP103</f>
        <v>0</v>
      </c>
      <c r="BJ103" s="38">
        <f>G103*H103</f>
        <v>0</v>
      </c>
      <c r="BK103" s="38"/>
      <c r="BL103" s="38">
        <v>34</v>
      </c>
      <c r="BW103" s="38">
        <v>21</v>
      </c>
    </row>
    <row r="104" spans="1:12" ht="15">
      <c r="A104" s="74"/>
      <c r="D104" s="75" t="s">
        <v>307</v>
      </c>
      <c r="E104" s="75" t="s">
        <v>308</v>
      </c>
      <c r="G104" s="76">
        <v>1.53</v>
      </c>
      <c r="L104" s="77"/>
    </row>
    <row r="105" spans="1:12" ht="15">
      <c r="A105" s="74"/>
      <c r="D105" s="75" t="s">
        <v>309</v>
      </c>
      <c r="E105" s="75" t="s">
        <v>310</v>
      </c>
      <c r="G105" s="76">
        <v>15.9</v>
      </c>
      <c r="L105" s="77"/>
    </row>
    <row r="106" spans="1:75" ht="13.5" customHeight="1">
      <c r="A106" s="1" t="s">
        <v>311</v>
      </c>
      <c r="B106" s="2" t="s">
        <v>84</v>
      </c>
      <c r="C106" s="2" t="s">
        <v>312</v>
      </c>
      <c r="D106" s="108" t="s">
        <v>313</v>
      </c>
      <c r="E106" s="103"/>
      <c r="F106" s="2" t="s">
        <v>263</v>
      </c>
      <c r="G106" s="38">
        <v>14.25</v>
      </c>
      <c r="H106" s="70">
        <v>0</v>
      </c>
      <c r="I106" s="38">
        <f>G106*H106</f>
        <v>0</v>
      </c>
      <c r="J106" s="38">
        <v>0.07856</v>
      </c>
      <c r="K106" s="38">
        <f>G106*J106</f>
        <v>1.11948</v>
      </c>
      <c r="L106" s="71" t="s">
        <v>136</v>
      </c>
      <c r="Z106" s="38">
        <f>IF(AQ106="5",BJ106,0)</f>
        <v>0</v>
      </c>
      <c r="AB106" s="38">
        <f>IF(AQ106="1",BH106,0)</f>
        <v>0</v>
      </c>
      <c r="AC106" s="38">
        <f>IF(AQ106="1",BI106,0)</f>
        <v>0</v>
      </c>
      <c r="AD106" s="38">
        <f>IF(AQ106="7",BH106,0)</f>
        <v>0</v>
      </c>
      <c r="AE106" s="38">
        <f>IF(AQ106="7",BI106,0)</f>
        <v>0</v>
      </c>
      <c r="AF106" s="38">
        <f>IF(AQ106="2",BH106,0)</f>
        <v>0</v>
      </c>
      <c r="AG106" s="38">
        <f>IF(AQ106="2",BI106,0)</f>
        <v>0</v>
      </c>
      <c r="AH106" s="38">
        <f>IF(AQ106="0",BJ106,0)</f>
        <v>0</v>
      </c>
      <c r="AI106" s="50" t="s">
        <v>84</v>
      </c>
      <c r="AJ106" s="38">
        <f>IF(AN106=0,I106,0)</f>
        <v>0</v>
      </c>
      <c r="AK106" s="38">
        <f>IF(AN106=12,I106,0)</f>
        <v>0</v>
      </c>
      <c r="AL106" s="38">
        <f>IF(AN106=21,I106,0)</f>
        <v>0</v>
      </c>
      <c r="AN106" s="38">
        <v>21</v>
      </c>
      <c r="AO106" s="38">
        <f>H106*0.773683958</f>
        <v>0</v>
      </c>
      <c r="AP106" s="38">
        <f>H106*(1-0.773683958)</f>
        <v>0</v>
      </c>
      <c r="AQ106" s="72" t="s">
        <v>132</v>
      </c>
      <c r="AV106" s="38">
        <f>AW106+AX106</f>
        <v>0</v>
      </c>
      <c r="AW106" s="38">
        <f>G106*AO106</f>
        <v>0</v>
      </c>
      <c r="AX106" s="38">
        <f>G106*AP106</f>
        <v>0</v>
      </c>
      <c r="AY106" s="72" t="s">
        <v>294</v>
      </c>
      <c r="AZ106" s="72" t="s">
        <v>201</v>
      </c>
      <c r="BA106" s="50" t="s">
        <v>139</v>
      </c>
      <c r="BB106" s="73">
        <v>100003</v>
      </c>
      <c r="BC106" s="38">
        <f>AW106+AX106</f>
        <v>0</v>
      </c>
      <c r="BD106" s="38">
        <f>H106/(100-BE106)*100</f>
        <v>0</v>
      </c>
      <c r="BE106" s="38">
        <v>0</v>
      </c>
      <c r="BF106" s="38">
        <f>K106</f>
        <v>1.11948</v>
      </c>
      <c r="BH106" s="38">
        <f>G106*AO106</f>
        <v>0</v>
      </c>
      <c r="BI106" s="38">
        <f>G106*AP106</f>
        <v>0</v>
      </c>
      <c r="BJ106" s="38">
        <f>G106*H106</f>
        <v>0</v>
      </c>
      <c r="BK106" s="38"/>
      <c r="BL106" s="38">
        <v>34</v>
      </c>
      <c r="BW106" s="38">
        <v>21</v>
      </c>
    </row>
    <row r="107" spans="1:12" ht="15">
      <c r="A107" s="74"/>
      <c r="D107" s="75" t="s">
        <v>314</v>
      </c>
      <c r="E107" s="75" t="s">
        <v>315</v>
      </c>
      <c r="G107" s="76">
        <v>4.61</v>
      </c>
      <c r="L107" s="77"/>
    </row>
    <row r="108" spans="1:12" ht="15">
      <c r="A108" s="74"/>
      <c r="D108" s="75" t="s">
        <v>316</v>
      </c>
      <c r="E108" s="75" t="s">
        <v>317</v>
      </c>
      <c r="G108" s="76">
        <v>9.64</v>
      </c>
      <c r="L108" s="77"/>
    </row>
    <row r="109" spans="1:75" ht="13.5" customHeight="1">
      <c r="A109" s="1" t="s">
        <v>195</v>
      </c>
      <c r="B109" s="2" t="s">
        <v>84</v>
      </c>
      <c r="C109" s="2" t="s">
        <v>318</v>
      </c>
      <c r="D109" s="108" t="s">
        <v>319</v>
      </c>
      <c r="E109" s="103"/>
      <c r="F109" s="2" t="s">
        <v>263</v>
      </c>
      <c r="G109" s="38">
        <v>56.38</v>
      </c>
      <c r="H109" s="70">
        <v>0</v>
      </c>
      <c r="I109" s="38">
        <f>G109*H109</f>
        <v>0</v>
      </c>
      <c r="J109" s="38">
        <v>0.12956</v>
      </c>
      <c r="K109" s="38">
        <f>G109*J109</f>
        <v>7.304592800000001</v>
      </c>
      <c r="L109" s="71" t="s">
        <v>136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84</v>
      </c>
      <c r="AJ109" s="38">
        <f>IF(AN109=0,I109,0)</f>
        <v>0</v>
      </c>
      <c r="AK109" s="38">
        <f>IF(AN109=12,I109,0)</f>
        <v>0</v>
      </c>
      <c r="AL109" s="38">
        <f>IF(AN109=21,I109,0)</f>
        <v>0</v>
      </c>
      <c r="AN109" s="38">
        <v>21</v>
      </c>
      <c r="AO109" s="38">
        <f>H109*0.800539554</f>
        <v>0</v>
      </c>
      <c r="AP109" s="38">
        <f>H109*(1-0.800539554)</f>
        <v>0</v>
      </c>
      <c r="AQ109" s="72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294</v>
      </c>
      <c r="AZ109" s="72" t="s">
        <v>201</v>
      </c>
      <c r="BA109" s="50" t="s">
        <v>139</v>
      </c>
      <c r="BB109" s="73">
        <v>100003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7.304592800000001</v>
      </c>
      <c r="BH109" s="38">
        <f>G109*AO109</f>
        <v>0</v>
      </c>
      <c r="BI109" s="38">
        <f>G109*AP109</f>
        <v>0</v>
      </c>
      <c r="BJ109" s="38">
        <f>G109*H109</f>
        <v>0</v>
      </c>
      <c r="BK109" s="38"/>
      <c r="BL109" s="38">
        <v>34</v>
      </c>
      <c r="BW109" s="38">
        <v>21</v>
      </c>
    </row>
    <row r="110" spans="1:12" ht="15">
      <c r="A110" s="74"/>
      <c r="D110" s="75" t="s">
        <v>320</v>
      </c>
      <c r="E110" s="75" t="s">
        <v>315</v>
      </c>
      <c r="G110" s="76">
        <v>4.7</v>
      </c>
      <c r="L110" s="77"/>
    </row>
    <row r="111" spans="1:12" ht="15">
      <c r="A111" s="74"/>
      <c r="D111" s="75" t="s">
        <v>321</v>
      </c>
      <c r="E111" s="75" t="s">
        <v>317</v>
      </c>
      <c r="G111" s="76">
        <v>51.68</v>
      </c>
      <c r="L111" s="77"/>
    </row>
    <row r="112" spans="1:75" ht="13.5" customHeight="1">
      <c r="A112" s="1" t="s">
        <v>322</v>
      </c>
      <c r="B112" s="2" t="s">
        <v>84</v>
      </c>
      <c r="C112" s="2" t="s">
        <v>323</v>
      </c>
      <c r="D112" s="108" t="s">
        <v>324</v>
      </c>
      <c r="E112" s="103"/>
      <c r="F112" s="2" t="s">
        <v>199</v>
      </c>
      <c r="G112" s="38">
        <v>4</v>
      </c>
      <c r="H112" s="70">
        <v>0</v>
      </c>
      <c r="I112" s="38">
        <f>G112*H112</f>
        <v>0</v>
      </c>
      <c r="J112" s="38">
        <v>0.00569</v>
      </c>
      <c r="K112" s="38">
        <f>G112*J112</f>
        <v>0.02276</v>
      </c>
      <c r="L112" s="71" t="s">
        <v>136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50" t="s">
        <v>84</v>
      </c>
      <c r="AJ112" s="38">
        <f>IF(AN112=0,I112,0)</f>
        <v>0</v>
      </c>
      <c r="AK112" s="38">
        <f>IF(AN112=12,I112,0)</f>
        <v>0</v>
      </c>
      <c r="AL112" s="38">
        <f>IF(AN112=21,I112,0)</f>
        <v>0</v>
      </c>
      <c r="AN112" s="38">
        <v>21</v>
      </c>
      <c r="AO112" s="38">
        <f>H112*0.581931464</f>
        <v>0</v>
      </c>
      <c r="AP112" s="38">
        <f>H112*(1-0.581931464)</f>
        <v>0</v>
      </c>
      <c r="AQ112" s="72" t="s">
        <v>132</v>
      </c>
      <c r="AV112" s="38">
        <f>AW112+AX112</f>
        <v>0</v>
      </c>
      <c r="AW112" s="38">
        <f>G112*AO112</f>
        <v>0</v>
      </c>
      <c r="AX112" s="38">
        <f>G112*AP112</f>
        <v>0</v>
      </c>
      <c r="AY112" s="72" t="s">
        <v>294</v>
      </c>
      <c r="AZ112" s="72" t="s">
        <v>201</v>
      </c>
      <c r="BA112" s="50" t="s">
        <v>139</v>
      </c>
      <c r="BB112" s="73">
        <v>100003</v>
      </c>
      <c r="BC112" s="38">
        <f>AW112+AX112</f>
        <v>0</v>
      </c>
      <c r="BD112" s="38">
        <f>H112/(100-BE112)*100</f>
        <v>0</v>
      </c>
      <c r="BE112" s="38">
        <v>0</v>
      </c>
      <c r="BF112" s="38">
        <f>K112</f>
        <v>0.02276</v>
      </c>
      <c r="BH112" s="38">
        <f>G112*AO112</f>
        <v>0</v>
      </c>
      <c r="BI112" s="38">
        <f>G112*AP112</f>
        <v>0</v>
      </c>
      <c r="BJ112" s="38">
        <f>G112*H112</f>
        <v>0</v>
      </c>
      <c r="BK112" s="38"/>
      <c r="BL112" s="38">
        <v>34</v>
      </c>
      <c r="BW112" s="38">
        <v>21</v>
      </c>
    </row>
    <row r="113" spans="1:12" ht="15">
      <c r="A113" s="74"/>
      <c r="D113" s="75" t="s">
        <v>132</v>
      </c>
      <c r="E113" s="75" t="s">
        <v>325</v>
      </c>
      <c r="G113" s="76">
        <v>1</v>
      </c>
      <c r="L113" s="77"/>
    </row>
    <row r="114" spans="1:12" ht="15">
      <c r="A114" s="74"/>
      <c r="D114" s="75" t="s">
        <v>132</v>
      </c>
      <c r="E114" s="75" t="s">
        <v>326</v>
      </c>
      <c r="G114" s="76">
        <v>1</v>
      </c>
      <c r="L114" s="77"/>
    </row>
    <row r="115" spans="1:12" ht="15">
      <c r="A115" s="74"/>
      <c r="D115" s="75" t="s">
        <v>143</v>
      </c>
      <c r="E115" s="75" t="s">
        <v>327</v>
      </c>
      <c r="G115" s="76">
        <v>2</v>
      </c>
      <c r="L115" s="77"/>
    </row>
    <row r="116" spans="1:75" ht="13.5" customHeight="1">
      <c r="A116" s="1" t="s">
        <v>328</v>
      </c>
      <c r="B116" s="2" t="s">
        <v>84</v>
      </c>
      <c r="C116" s="2" t="s">
        <v>329</v>
      </c>
      <c r="D116" s="108" t="s">
        <v>330</v>
      </c>
      <c r="E116" s="103"/>
      <c r="F116" s="2" t="s">
        <v>263</v>
      </c>
      <c r="G116" s="38">
        <v>28.4</v>
      </c>
      <c r="H116" s="70">
        <v>0</v>
      </c>
      <c r="I116" s="38">
        <f>G116*H116</f>
        <v>0</v>
      </c>
      <c r="J116" s="38">
        <v>0.02813</v>
      </c>
      <c r="K116" s="38">
        <f>G116*J116</f>
        <v>0.7988919999999999</v>
      </c>
      <c r="L116" s="71" t="s">
        <v>136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50" t="s">
        <v>84</v>
      </c>
      <c r="AJ116" s="38">
        <f>IF(AN116=0,I116,0)</f>
        <v>0</v>
      </c>
      <c r="AK116" s="38">
        <f>IF(AN116=12,I116,0)</f>
        <v>0</v>
      </c>
      <c r="AL116" s="38">
        <f>IF(AN116=21,I116,0)</f>
        <v>0</v>
      </c>
      <c r="AN116" s="38">
        <v>21</v>
      </c>
      <c r="AO116" s="38">
        <f>H116*0.572129381</f>
        <v>0</v>
      </c>
      <c r="AP116" s="38">
        <f>H116*(1-0.572129381)</f>
        <v>0</v>
      </c>
      <c r="AQ116" s="72" t="s">
        <v>132</v>
      </c>
      <c r="AV116" s="38">
        <f>AW116+AX116</f>
        <v>0</v>
      </c>
      <c r="AW116" s="38">
        <f>G116*AO116</f>
        <v>0</v>
      </c>
      <c r="AX116" s="38">
        <f>G116*AP116</f>
        <v>0</v>
      </c>
      <c r="AY116" s="72" t="s">
        <v>294</v>
      </c>
      <c r="AZ116" s="72" t="s">
        <v>201</v>
      </c>
      <c r="BA116" s="50" t="s">
        <v>139</v>
      </c>
      <c r="BB116" s="73">
        <v>100003</v>
      </c>
      <c r="BC116" s="38">
        <f>AW116+AX116</f>
        <v>0</v>
      </c>
      <c r="BD116" s="38">
        <f>H116/(100-BE116)*100</f>
        <v>0</v>
      </c>
      <c r="BE116" s="38">
        <v>0</v>
      </c>
      <c r="BF116" s="38">
        <f>K116</f>
        <v>0.7988919999999999</v>
      </c>
      <c r="BH116" s="38">
        <f>G116*AO116</f>
        <v>0</v>
      </c>
      <c r="BI116" s="38">
        <f>G116*AP116</f>
        <v>0</v>
      </c>
      <c r="BJ116" s="38">
        <f>G116*H116</f>
        <v>0</v>
      </c>
      <c r="BK116" s="38"/>
      <c r="BL116" s="38">
        <v>34</v>
      </c>
      <c r="BW116" s="38">
        <v>21</v>
      </c>
    </row>
    <row r="117" spans="1:12" ht="13.5" customHeight="1">
      <c r="A117" s="74"/>
      <c r="D117" s="194" t="s">
        <v>331</v>
      </c>
      <c r="E117" s="195"/>
      <c r="F117" s="195"/>
      <c r="G117" s="195"/>
      <c r="H117" s="196"/>
      <c r="I117" s="195"/>
      <c r="J117" s="195"/>
      <c r="K117" s="195"/>
      <c r="L117" s="197"/>
    </row>
    <row r="118" spans="1:12" ht="15">
      <c r="A118" s="74"/>
      <c r="D118" s="75" t="s">
        <v>332</v>
      </c>
      <c r="E118" s="75" t="s">
        <v>317</v>
      </c>
      <c r="G118" s="76">
        <v>28.4</v>
      </c>
      <c r="L118" s="77"/>
    </row>
    <row r="119" spans="1:75" ht="13.5" customHeight="1">
      <c r="A119" s="1" t="s">
        <v>289</v>
      </c>
      <c r="B119" s="2" t="s">
        <v>84</v>
      </c>
      <c r="C119" s="2" t="s">
        <v>333</v>
      </c>
      <c r="D119" s="108" t="s">
        <v>334</v>
      </c>
      <c r="E119" s="103"/>
      <c r="F119" s="2" t="s">
        <v>263</v>
      </c>
      <c r="G119" s="38">
        <v>6.48</v>
      </c>
      <c r="H119" s="70">
        <v>0</v>
      </c>
      <c r="I119" s="38">
        <f>G119*H119</f>
        <v>0</v>
      </c>
      <c r="J119" s="38">
        <v>0.05229</v>
      </c>
      <c r="K119" s="38">
        <f>G119*J119</f>
        <v>0.33883920000000006</v>
      </c>
      <c r="L119" s="71" t="s">
        <v>136</v>
      </c>
      <c r="Z119" s="38">
        <f>IF(AQ119="5",BJ119,0)</f>
        <v>0</v>
      </c>
      <c r="AB119" s="38">
        <f>IF(AQ119="1",BH119,0)</f>
        <v>0</v>
      </c>
      <c r="AC119" s="38">
        <f>IF(AQ119="1",BI119,0)</f>
        <v>0</v>
      </c>
      <c r="AD119" s="38">
        <f>IF(AQ119="7",BH119,0)</f>
        <v>0</v>
      </c>
      <c r="AE119" s="38">
        <f>IF(AQ119="7",BI119,0)</f>
        <v>0</v>
      </c>
      <c r="AF119" s="38">
        <f>IF(AQ119="2",BH119,0)</f>
        <v>0</v>
      </c>
      <c r="AG119" s="38">
        <f>IF(AQ119="2",BI119,0)</f>
        <v>0</v>
      </c>
      <c r="AH119" s="38">
        <f>IF(AQ119="0",BJ119,0)</f>
        <v>0</v>
      </c>
      <c r="AI119" s="50" t="s">
        <v>84</v>
      </c>
      <c r="AJ119" s="38">
        <f>IF(AN119=0,I119,0)</f>
        <v>0</v>
      </c>
      <c r="AK119" s="38">
        <f>IF(AN119=12,I119,0)</f>
        <v>0</v>
      </c>
      <c r="AL119" s="38">
        <f>IF(AN119=21,I119,0)</f>
        <v>0</v>
      </c>
      <c r="AN119" s="38">
        <v>21</v>
      </c>
      <c r="AO119" s="38">
        <f>H119*0.58544864</f>
        <v>0</v>
      </c>
      <c r="AP119" s="38">
        <f>H119*(1-0.58544864)</f>
        <v>0</v>
      </c>
      <c r="AQ119" s="72" t="s">
        <v>132</v>
      </c>
      <c r="AV119" s="38">
        <f>AW119+AX119</f>
        <v>0</v>
      </c>
      <c r="AW119" s="38">
        <f>G119*AO119</f>
        <v>0</v>
      </c>
      <c r="AX119" s="38">
        <f>G119*AP119</f>
        <v>0</v>
      </c>
      <c r="AY119" s="72" t="s">
        <v>294</v>
      </c>
      <c r="AZ119" s="72" t="s">
        <v>201</v>
      </c>
      <c r="BA119" s="50" t="s">
        <v>139</v>
      </c>
      <c r="BB119" s="73">
        <v>100003</v>
      </c>
      <c r="BC119" s="38">
        <f>AW119+AX119</f>
        <v>0</v>
      </c>
      <c r="BD119" s="38">
        <f>H119/(100-BE119)*100</f>
        <v>0</v>
      </c>
      <c r="BE119" s="38">
        <v>0</v>
      </c>
      <c r="BF119" s="38">
        <f>K119</f>
        <v>0.33883920000000006</v>
      </c>
      <c r="BH119" s="38">
        <f>G119*AO119</f>
        <v>0</v>
      </c>
      <c r="BI119" s="38">
        <f>G119*AP119</f>
        <v>0</v>
      </c>
      <c r="BJ119" s="38">
        <f>G119*H119</f>
        <v>0</v>
      </c>
      <c r="BK119" s="38"/>
      <c r="BL119" s="38">
        <v>34</v>
      </c>
      <c r="BW119" s="38">
        <v>21</v>
      </c>
    </row>
    <row r="120" spans="1:12" ht="13.5" customHeight="1">
      <c r="A120" s="74"/>
      <c r="D120" s="194" t="s">
        <v>331</v>
      </c>
      <c r="E120" s="195"/>
      <c r="F120" s="195"/>
      <c r="G120" s="195"/>
      <c r="H120" s="196"/>
      <c r="I120" s="195"/>
      <c r="J120" s="195"/>
      <c r="K120" s="195"/>
      <c r="L120" s="197"/>
    </row>
    <row r="121" spans="1:12" ht="15">
      <c r="A121" s="74"/>
      <c r="D121" s="75" t="s">
        <v>335</v>
      </c>
      <c r="E121" s="75" t="s">
        <v>317</v>
      </c>
      <c r="G121" s="76">
        <v>6.48</v>
      </c>
      <c r="L121" s="77"/>
    </row>
    <row r="122" spans="1:75" ht="13.5" customHeight="1">
      <c r="A122" s="1" t="s">
        <v>336</v>
      </c>
      <c r="B122" s="2" t="s">
        <v>84</v>
      </c>
      <c r="C122" s="2" t="s">
        <v>337</v>
      </c>
      <c r="D122" s="108" t="s">
        <v>338</v>
      </c>
      <c r="E122" s="103"/>
      <c r="F122" s="2" t="s">
        <v>263</v>
      </c>
      <c r="G122" s="38">
        <v>5.81</v>
      </c>
      <c r="H122" s="70">
        <v>0</v>
      </c>
      <c r="I122" s="38">
        <f>G122*H122</f>
        <v>0</v>
      </c>
      <c r="J122" s="38">
        <v>0.052</v>
      </c>
      <c r="K122" s="38">
        <f>G122*J122</f>
        <v>0.30211999999999994</v>
      </c>
      <c r="L122" s="71" t="s">
        <v>136</v>
      </c>
      <c r="Z122" s="38">
        <f>IF(AQ122="5",BJ122,0)</f>
        <v>0</v>
      </c>
      <c r="AB122" s="38">
        <f>IF(AQ122="1",BH122,0)</f>
        <v>0</v>
      </c>
      <c r="AC122" s="38">
        <f>IF(AQ122="1",BI122,0)</f>
        <v>0</v>
      </c>
      <c r="AD122" s="38">
        <f>IF(AQ122="7",BH122,0)</f>
        <v>0</v>
      </c>
      <c r="AE122" s="38">
        <f>IF(AQ122="7",BI122,0)</f>
        <v>0</v>
      </c>
      <c r="AF122" s="38">
        <f>IF(AQ122="2",BH122,0)</f>
        <v>0</v>
      </c>
      <c r="AG122" s="38">
        <f>IF(AQ122="2",BI122,0)</f>
        <v>0</v>
      </c>
      <c r="AH122" s="38">
        <f>IF(AQ122="0",BJ122,0)</f>
        <v>0</v>
      </c>
      <c r="AI122" s="50" t="s">
        <v>84</v>
      </c>
      <c r="AJ122" s="38">
        <f>IF(AN122=0,I122,0)</f>
        <v>0</v>
      </c>
      <c r="AK122" s="38">
        <f>IF(AN122=12,I122,0)</f>
        <v>0</v>
      </c>
      <c r="AL122" s="38">
        <f>IF(AN122=21,I122,0)</f>
        <v>0</v>
      </c>
      <c r="AN122" s="38">
        <v>21</v>
      </c>
      <c r="AO122" s="38">
        <f>H122*0.588320459</f>
        <v>0</v>
      </c>
      <c r="AP122" s="38">
        <f>H122*(1-0.588320459)</f>
        <v>0</v>
      </c>
      <c r="AQ122" s="72" t="s">
        <v>132</v>
      </c>
      <c r="AV122" s="38">
        <f>AW122+AX122</f>
        <v>0</v>
      </c>
      <c r="AW122" s="38">
        <f>G122*AO122</f>
        <v>0</v>
      </c>
      <c r="AX122" s="38">
        <f>G122*AP122</f>
        <v>0</v>
      </c>
      <c r="AY122" s="72" t="s">
        <v>294</v>
      </c>
      <c r="AZ122" s="72" t="s">
        <v>201</v>
      </c>
      <c r="BA122" s="50" t="s">
        <v>139</v>
      </c>
      <c r="BB122" s="73">
        <v>100003</v>
      </c>
      <c r="BC122" s="38">
        <f>AW122+AX122</f>
        <v>0</v>
      </c>
      <c r="BD122" s="38">
        <f>H122/(100-BE122)*100</f>
        <v>0</v>
      </c>
      <c r="BE122" s="38">
        <v>0</v>
      </c>
      <c r="BF122" s="38">
        <f>K122</f>
        <v>0.30211999999999994</v>
      </c>
      <c r="BH122" s="38">
        <f>G122*AO122</f>
        <v>0</v>
      </c>
      <c r="BI122" s="38">
        <f>G122*AP122</f>
        <v>0</v>
      </c>
      <c r="BJ122" s="38">
        <f>G122*H122</f>
        <v>0</v>
      </c>
      <c r="BK122" s="38"/>
      <c r="BL122" s="38">
        <v>34</v>
      </c>
      <c r="BW122" s="38">
        <v>21</v>
      </c>
    </row>
    <row r="123" spans="1:12" ht="13.5" customHeight="1">
      <c r="A123" s="74"/>
      <c r="D123" s="194" t="s">
        <v>339</v>
      </c>
      <c r="E123" s="195"/>
      <c r="F123" s="195"/>
      <c r="G123" s="195"/>
      <c r="H123" s="196"/>
      <c r="I123" s="195"/>
      <c r="J123" s="195"/>
      <c r="K123" s="195"/>
      <c r="L123" s="197"/>
    </row>
    <row r="124" spans="1:12" ht="15">
      <c r="A124" s="74"/>
      <c r="D124" s="75" t="s">
        <v>340</v>
      </c>
      <c r="E124" s="75" t="s">
        <v>341</v>
      </c>
      <c r="G124" s="76">
        <v>5.81</v>
      </c>
      <c r="L124" s="77"/>
    </row>
    <row r="125" spans="1:75" ht="13.5" customHeight="1">
      <c r="A125" s="1" t="s">
        <v>342</v>
      </c>
      <c r="B125" s="2" t="s">
        <v>84</v>
      </c>
      <c r="C125" s="2" t="s">
        <v>343</v>
      </c>
      <c r="D125" s="108" t="s">
        <v>344</v>
      </c>
      <c r="E125" s="103"/>
      <c r="F125" s="2" t="s">
        <v>263</v>
      </c>
      <c r="G125" s="38">
        <v>2.21</v>
      </c>
      <c r="H125" s="70">
        <v>0</v>
      </c>
      <c r="I125" s="38">
        <f>G125*H125</f>
        <v>0</v>
      </c>
      <c r="J125" s="38">
        <v>0.01627</v>
      </c>
      <c r="K125" s="38">
        <f>G125*J125</f>
        <v>0.0359567</v>
      </c>
      <c r="L125" s="71" t="s">
        <v>136</v>
      </c>
      <c r="Z125" s="38">
        <f>IF(AQ125="5",BJ125,0)</f>
        <v>0</v>
      </c>
      <c r="AB125" s="38">
        <f>IF(AQ125="1",BH125,0)</f>
        <v>0</v>
      </c>
      <c r="AC125" s="38">
        <f>IF(AQ125="1",BI125,0)</f>
        <v>0</v>
      </c>
      <c r="AD125" s="38">
        <f>IF(AQ125="7",BH125,0)</f>
        <v>0</v>
      </c>
      <c r="AE125" s="38">
        <f>IF(AQ125="7",BI125,0)</f>
        <v>0</v>
      </c>
      <c r="AF125" s="38">
        <f>IF(AQ125="2",BH125,0)</f>
        <v>0</v>
      </c>
      <c r="AG125" s="38">
        <f>IF(AQ125="2",BI125,0)</f>
        <v>0</v>
      </c>
      <c r="AH125" s="38">
        <f>IF(AQ125="0",BJ125,0)</f>
        <v>0</v>
      </c>
      <c r="AI125" s="50" t="s">
        <v>84</v>
      </c>
      <c r="AJ125" s="38">
        <f>IF(AN125=0,I125,0)</f>
        <v>0</v>
      </c>
      <c r="AK125" s="38">
        <f>IF(AN125=12,I125,0)</f>
        <v>0</v>
      </c>
      <c r="AL125" s="38">
        <f>IF(AN125=21,I125,0)</f>
        <v>0</v>
      </c>
      <c r="AN125" s="38">
        <v>21</v>
      </c>
      <c r="AO125" s="38">
        <f>H125*0.608131589</f>
        <v>0</v>
      </c>
      <c r="AP125" s="38">
        <f>H125*(1-0.608131589)</f>
        <v>0</v>
      </c>
      <c r="AQ125" s="72" t="s">
        <v>132</v>
      </c>
      <c r="AV125" s="38">
        <f>AW125+AX125</f>
        <v>0</v>
      </c>
      <c r="AW125" s="38">
        <f>G125*AO125</f>
        <v>0</v>
      </c>
      <c r="AX125" s="38">
        <f>G125*AP125</f>
        <v>0</v>
      </c>
      <c r="AY125" s="72" t="s">
        <v>294</v>
      </c>
      <c r="AZ125" s="72" t="s">
        <v>201</v>
      </c>
      <c r="BA125" s="50" t="s">
        <v>139</v>
      </c>
      <c r="BB125" s="73">
        <v>100003</v>
      </c>
      <c r="BC125" s="38">
        <f>AW125+AX125</f>
        <v>0</v>
      </c>
      <c r="BD125" s="38">
        <f>H125/(100-BE125)*100</f>
        <v>0</v>
      </c>
      <c r="BE125" s="38">
        <v>0</v>
      </c>
      <c r="BF125" s="38">
        <f>K125</f>
        <v>0.0359567</v>
      </c>
      <c r="BH125" s="38">
        <f>G125*AO125</f>
        <v>0</v>
      </c>
      <c r="BI125" s="38">
        <f>G125*AP125</f>
        <v>0</v>
      </c>
      <c r="BJ125" s="38">
        <f>G125*H125</f>
        <v>0</v>
      </c>
      <c r="BK125" s="38"/>
      <c r="BL125" s="38">
        <v>34</v>
      </c>
      <c r="BW125" s="38">
        <v>21</v>
      </c>
    </row>
    <row r="126" spans="1:12" ht="15">
      <c r="A126" s="74"/>
      <c r="D126" s="75" t="s">
        <v>345</v>
      </c>
      <c r="E126" s="75" t="s">
        <v>317</v>
      </c>
      <c r="G126" s="76">
        <v>2.21</v>
      </c>
      <c r="L126" s="77"/>
    </row>
    <row r="127" spans="1:75" ht="13.5" customHeight="1">
      <c r="A127" s="1" t="s">
        <v>346</v>
      </c>
      <c r="B127" s="2" t="s">
        <v>84</v>
      </c>
      <c r="C127" s="2" t="s">
        <v>347</v>
      </c>
      <c r="D127" s="108" t="s">
        <v>348</v>
      </c>
      <c r="E127" s="103"/>
      <c r="F127" s="2" t="s">
        <v>263</v>
      </c>
      <c r="G127" s="38">
        <v>19</v>
      </c>
      <c r="H127" s="70">
        <v>0</v>
      </c>
      <c r="I127" s="38">
        <f>G127*H127</f>
        <v>0</v>
      </c>
      <c r="J127" s="38">
        <v>0.01573</v>
      </c>
      <c r="K127" s="38">
        <f>G127*J127</f>
        <v>0.29887</v>
      </c>
      <c r="L127" s="71" t="s">
        <v>207</v>
      </c>
      <c r="Z127" s="38">
        <f>IF(AQ127="5",BJ127,0)</f>
        <v>0</v>
      </c>
      <c r="AB127" s="38">
        <f>IF(AQ127="1",BH127,0)</f>
        <v>0</v>
      </c>
      <c r="AC127" s="38">
        <f>IF(AQ127="1",BI127,0)</f>
        <v>0</v>
      </c>
      <c r="AD127" s="38">
        <f>IF(AQ127="7",BH127,0)</f>
        <v>0</v>
      </c>
      <c r="AE127" s="38">
        <f>IF(AQ127="7",BI127,0)</f>
        <v>0</v>
      </c>
      <c r="AF127" s="38">
        <f>IF(AQ127="2",BH127,0)</f>
        <v>0</v>
      </c>
      <c r="AG127" s="38">
        <f>IF(AQ127="2",BI127,0)</f>
        <v>0</v>
      </c>
      <c r="AH127" s="38">
        <f>IF(AQ127="0",BJ127,0)</f>
        <v>0</v>
      </c>
      <c r="AI127" s="50" t="s">
        <v>84</v>
      </c>
      <c r="AJ127" s="38">
        <f>IF(AN127=0,I127,0)</f>
        <v>0</v>
      </c>
      <c r="AK127" s="38">
        <f>IF(AN127=12,I127,0)</f>
        <v>0</v>
      </c>
      <c r="AL127" s="38">
        <f>IF(AN127=21,I127,0)</f>
        <v>0</v>
      </c>
      <c r="AN127" s="38">
        <v>21</v>
      </c>
      <c r="AO127" s="38">
        <f>H127*0.575339809</f>
        <v>0</v>
      </c>
      <c r="AP127" s="38">
        <f>H127*(1-0.575339809)</f>
        <v>0</v>
      </c>
      <c r="AQ127" s="72" t="s">
        <v>132</v>
      </c>
      <c r="AV127" s="38">
        <f>AW127+AX127</f>
        <v>0</v>
      </c>
      <c r="AW127" s="38">
        <f>G127*AO127</f>
        <v>0</v>
      </c>
      <c r="AX127" s="38">
        <f>G127*AP127</f>
        <v>0</v>
      </c>
      <c r="AY127" s="72" t="s">
        <v>294</v>
      </c>
      <c r="AZ127" s="72" t="s">
        <v>201</v>
      </c>
      <c r="BA127" s="50" t="s">
        <v>139</v>
      </c>
      <c r="BB127" s="73">
        <v>100003</v>
      </c>
      <c r="BC127" s="38">
        <f>AW127+AX127</f>
        <v>0</v>
      </c>
      <c r="BD127" s="38">
        <f>H127/(100-BE127)*100</f>
        <v>0</v>
      </c>
      <c r="BE127" s="38">
        <v>0</v>
      </c>
      <c r="BF127" s="38">
        <f>K127</f>
        <v>0.29887</v>
      </c>
      <c r="BH127" s="38">
        <f>G127*AO127</f>
        <v>0</v>
      </c>
      <c r="BI127" s="38">
        <f>G127*AP127</f>
        <v>0</v>
      </c>
      <c r="BJ127" s="38">
        <f>G127*H127</f>
        <v>0</v>
      </c>
      <c r="BK127" s="38"/>
      <c r="BL127" s="38">
        <v>34</v>
      </c>
      <c r="BW127" s="38">
        <v>21</v>
      </c>
    </row>
    <row r="128" spans="1:12" ht="15">
      <c r="A128" s="74"/>
      <c r="D128" s="75" t="s">
        <v>349</v>
      </c>
      <c r="E128" s="75" t="s">
        <v>350</v>
      </c>
      <c r="G128" s="76">
        <v>19</v>
      </c>
      <c r="L128" s="77"/>
    </row>
    <row r="129" spans="1:75" ht="27" customHeight="1">
      <c r="A129" s="1" t="s">
        <v>351</v>
      </c>
      <c r="B129" s="2" t="s">
        <v>84</v>
      </c>
      <c r="C129" s="2" t="s">
        <v>352</v>
      </c>
      <c r="D129" s="108" t="s">
        <v>353</v>
      </c>
      <c r="E129" s="103"/>
      <c r="F129" s="2" t="s">
        <v>354</v>
      </c>
      <c r="G129" s="38">
        <v>1</v>
      </c>
      <c r="H129" s="70">
        <v>0</v>
      </c>
      <c r="I129" s="38">
        <f>G129*H129</f>
        <v>0</v>
      </c>
      <c r="J129" s="38">
        <v>0</v>
      </c>
      <c r="K129" s="38">
        <f>G129*J129</f>
        <v>0</v>
      </c>
      <c r="L129" s="71" t="s">
        <v>207</v>
      </c>
      <c r="Z129" s="38">
        <f>IF(AQ129="5",BJ129,0)</f>
        <v>0</v>
      </c>
      <c r="AB129" s="38">
        <f>IF(AQ129="1",BH129,0)</f>
        <v>0</v>
      </c>
      <c r="AC129" s="38">
        <f>IF(AQ129="1",BI129,0)</f>
        <v>0</v>
      </c>
      <c r="AD129" s="38">
        <f>IF(AQ129="7",BH129,0)</f>
        <v>0</v>
      </c>
      <c r="AE129" s="38">
        <f>IF(AQ129="7",BI129,0)</f>
        <v>0</v>
      </c>
      <c r="AF129" s="38">
        <f>IF(AQ129="2",BH129,0)</f>
        <v>0</v>
      </c>
      <c r="AG129" s="38">
        <f>IF(AQ129="2",BI129,0)</f>
        <v>0</v>
      </c>
      <c r="AH129" s="38">
        <f>IF(AQ129="0",BJ129,0)</f>
        <v>0</v>
      </c>
      <c r="AI129" s="50" t="s">
        <v>84</v>
      </c>
      <c r="AJ129" s="38">
        <f>IF(AN129=0,I129,0)</f>
        <v>0</v>
      </c>
      <c r="AK129" s="38">
        <f>IF(AN129=12,I129,0)</f>
        <v>0</v>
      </c>
      <c r="AL129" s="38">
        <f>IF(AN129=21,I129,0)</f>
        <v>0</v>
      </c>
      <c r="AN129" s="38">
        <v>21</v>
      </c>
      <c r="AO129" s="38">
        <f>H129*0</f>
        <v>0</v>
      </c>
      <c r="AP129" s="38">
        <f>H129*(1-0)</f>
        <v>0</v>
      </c>
      <c r="AQ129" s="72" t="s">
        <v>132</v>
      </c>
      <c r="AV129" s="38">
        <f>AW129+AX129</f>
        <v>0</v>
      </c>
      <c r="AW129" s="38">
        <f>G129*AO129</f>
        <v>0</v>
      </c>
      <c r="AX129" s="38">
        <f>G129*AP129</f>
        <v>0</v>
      </c>
      <c r="AY129" s="72" t="s">
        <v>294</v>
      </c>
      <c r="AZ129" s="72" t="s">
        <v>201</v>
      </c>
      <c r="BA129" s="50" t="s">
        <v>139</v>
      </c>
      <c r="BB129" s="73">
        <v>100003</v>
      </c>
      <c r="BC129" s="38">
        <f>AW129+AX129</f>
        <v>0</v>
      </c>
      <c r="BD129" s="38">
        <f>H129/(100-BE129)*100</f>
        <v>0</v>
      </c>
      <c r="BE129" s="38">
        <v>0</v>
      </c>
      <c r="BF129" s="38">
        <f>K129</f>
        <v>0</v>
      </c>
      <c r="BH129" s="38">
        <f>G129*AO129</f>
        <v>0</v>
      </c>
      <c r="BI129" s="38">
        <f>G129*AP129</f>
        <v>0</v>
      </c>
      <c r="BJ129" s="38">
        <f>G129*H129</f>
        <v>0</v>
      </c>
      <c r="BK129" s="38"/>
      <c r="BL129" s="38">
        <v>34</v>
      </c>
      <c r="BW129" s="38">
        <v>21</v>
      </c>
    </row>
    <row r="130" spans="1:12" ht="13.5" customHeight="1">
      <c r="A130" s="74"/>
      <c r="D130" s="194" t="s">
        <v>355</v>
      </c>
      <c r="E130" s="195"/>
      <c r="F130" s="195"/>
      <c r="G130" s="195"/>
      <c r="H130" s="196"/>
      <c r="I130" s="195"/>
      <c r="J130" s="195"/>
      <c r="K130" s="195"/>
      <c r="L130" s="197"/>
    </row>
    <row r="131" spans="1:12" ht="15">
      <c r="A131" s="74"/>
      <c r="D131" s="75" t="s">
        <v>132</v>
      </c>
      <c r="E131" s="75" t="s">
        <v>4</v>
      </c>
      <c r="G131" s="76">
        <v>1</v>
      </c>
      <c r="L131" s="77"/>
    </row>
    <row r="132" spans="1:75" ht="27" customHeight="1">
      <c r="A132" s="1" t="s">
        <v>356</v>
      </c>
      <c r="B132" s="2" t="s">
        <v>84</v>
      </c>
      <c r="C132" s="2" t="s">
        <v>357</v>
      </c>
      <c r="D132" s="108" t="s">
        <v>358</v>
      </c>
      <c r="E132" s="103"/>
      <c r="F132" s="2" t="s">
        <v>354</v>
      </c>
      <c r="G132" s="38">
        <v>1</v>
      </c>
      <c r="H132" s="70">
        <v>0</v>
      </c>
      <c r="I132" s="38">
        <f>G132*H132</f>
        <v>0</v>
      </c>
      <c r="J132" s="38">
        <v>0</v>
      </c>
      <c r="K132" s="38">
        <f>G132*J132</f>
        <v>0</v>
      </c>
      <c r="L132" s="71" t="s">
        <v>207</v>
      </c>
      <c r="Z132" s="38">
        <f>IF(AQ132="5",BJ132,0)</f>
        <v>0</v>
      </c>
      <c r="AB132" s="38">
        <f>IF(AQ132="1",BH132,0)</f>
        <v>0</v>
      </c>
      <c r="AC132" s="38">
        <f>IF(AQ132="1",BI132,0)</f>
        <v>0</v>
      </c>
      <c r="AD132" s="38">
        <f>IF(AQ132="7",BH132,0)</f>
        <v>0</v>
      </c>
      <c r="AE132" s="38">
        <f>IF(AQ132="7",BI132,0)</f>
        <v>0</v>
      </c>
      <c r="AF132" s="38">
        <f>IF(AQ132="2",BH132,0)</f>
        <v>0</v>
      </c>
      <c r="AG132" s="38">
        <f>IF(AQ132="2",BI132,0)</f>
        <v>0</v>
      </c>
      <c r="AH132" s="38">
        <f>IF(AQ132="0",BJ132,0)</f>
        <v>0</v>
      </c>
      <c r="AI132" s="50" t="s">
        <v>84</v>
      </c>
      <c r="AJ132" s="38">
        <f>IF(AN132=0,I132,0)</f>
        <v>0</v>
      </c>
      <c r="AK132" s="38">
        <f>IF(AN132=12,I132,0)</f>
        <v>0</v>
      </c>
      <c r="AL132" s="38">
        <f>IF(AN132=21,I132,0)</f>
        <v>0</v>
      </c>
      <c r="AN132" s="38">
        <v>21</v>
      </c>
      <c r="AO132" s="38">
        <f>H132*0</f>
        <v>0</v>
      </c>
      <c r="AP132" s="38">
        <f>H132*(1-0)</f>
        <v>0</v>
      </c>
      <c r="AQ132" s="72" t="s">
        <v>132</v>
      </c>
      <c r="AV132" s="38">
        <f>AW132+AX132</f>
        <v>0</v>
      </c>
      <c r="AW132" s="38">
        <f>G132*AO132</f>
        <v>0</v>
      </c>
      <c r="AX132" s="38">
        <f>G132*AP132</f>
        <v>0</v>
      </c>
      <c r="AY132" s="72" t="s">
        <v>294</v>
      </c>
      <c r="AZ132" s="72" t="s">
        <v>201</v>
      </c>
      <c r="BA132" s="50" t="s">
        <v>139</v>
      </c>
      <c r="BB132" s="73">
        <v>100003</v>
      </c>
      <c r="BC132" s="38">
        <f>AW132+AX132</f>
        <v>0</v>
      </c>
      <c r="BD132" s="38">
        <f>H132/(100-BE132)*100</f>
        <v>0</v>
      </c>
      <c r="BE132" s="38">
        <v>0</v>
      </c>
      <c r="BF132" s="38">
        <f>K132</f>
        <v>0</v>
      </c>
      <c r="BH132" s="38">
        <f>G132*AO132</f>
        <v>0</v>
      </c>
      <c r="BI132" s="38">
        <f>G132*AP132</f>
        <v>0</v>
      </c>
      <c r="BJ132" s="38">
        <f>G132*H132</f>
        <v>0</v>
      </c>
      <c r="BK132" s="38"/>
      <c r="BL132" s="38">
        <v>34</v>
      </c>
      <c r="BW132" s="38">
        <v>21</v>
      </c>
    </row>
    <row r="133" spans="1:12" ht="13.5" customHeight="1">
      <c r="A133" s="74"/>
      <c r="D133" s="194" t="s">
        <v>359</v>
      </c>
      <c r="E133" s="195"/>
      <c r="F133" s="195"/>
      <c r="G133" s="195"/>
      <c r="H133" s="196"/>
      <c r="I133" s="195"/>
      <c r="J133" s="195"/>
      <c r="K133" s="195"/>
      <c r="L133" s="197"/>
    </row>
    <row r="134" spans="1:12" ht="15">
      <c r="A134" s="74"/>
      <c r="D134" s="75" t="s">
        <v>132</v>
      </c>
      <c r="E134" s="75" t="s">
        <v>4</v>
      </c>
      <c r="G134" s="76">
        <v>1</v>
      </c>
      <c r="L134" s="77"/>
    </row>
    <row r="135" spans="1:47" ht="15">
      <c r="A135" s="65" t="s">
        <v>4</v>
      </c>
      <c r="B135" s="66" t="s">
        <v>84</v>
      </c>
      <c r="C135" s="66" t="s">
        <v>360</v>
      </c>
      <c r="D135" s="192" t="s">
        <v>361</v>
      </c>
      <c r="E135" s="193"/>
      <c r="F135" s="67" t="s">
        <v>78</v>
      </c>
      <c r="G135" s="67" t="s">
        <v>78</v>
      </c>
      <c r="H135" s="68" t="s">
        <v>78</v>
      </c>
      <c r="I135" s="44">
        <f>SUM(I136:I159)</f>
        <v>0</v>
      </c>
      <c r="J135" s="50" t="s">
        <v>4</v>
      </c>
      <c r="K135" s="44">
        <f>SUM(K136:K159)</f>
        <v>4.1486827</v>
      </c>
      <c r="L135" s="69" t="s">
        <v>4</v>
      </c>
      <c r="AI135" s="50" t="s">
        <v>84</v>
      </c>
      <c r="AS135" s="44">
        <f>SUM(AJ136:AJ159)</f>
        <v>0</v>
      </c>
      <c r="AT135" s="44">
        <f>SUM(AK136:AK159)</f>
        <v>0</v>
      </c>
      <c r="AU135" s="44">
        <f>SUM(AL136:AL159)</f>
        <v>0</v>
      </c>
    </row>
    <row r="136" spans="1:75" ht="13.5" customHeight="1">
      <c r="A136" s="1" t="s">
        <v>362</v>
      </c>
      <c r="B136" s="2" t="s">
        <v>84</v>
      </c>
      <c r="C136" s="2" t="s">
        <v>363</v>
      </c>
      <c r="D136" s="108" t="s">
        <v>364</v>
      </c>
      <c r="E136" s="103"/>
      <c r="F136" s="2" t="s">
        <v>135</v>
      </c>
      <c r="G136" s="38">
        <v>0.25</v>
      </c>
      <c r="H136" s="70">
        <v>0</v>
      </c>
      <c r="I136" s="38">
        <f>G136*H136</f>
        <v>0</v>
      </c>
      <c r="J136" s="38">
        <v>2.52514</v>
      </c>
      <c r="K136" s="38">
        <f>G136*J136</f>
        <v>0.631285</v>
      </c>
      <c r="L136" s="71" t="s">
        <v>136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50" t="s">
        <v>84</v>
      </c>
      <c r="AJ136" s="38">
        <f>IF(AN136=0,I136,0)</f>
        <v>0</v>
      </c>
      <c r="AK136" s="38">
        <f>IF(AN136=12,I136,0)</f>
        <v>0</v>
      </c>
      <c r="AL136" s="38">
        <f>IF(AN136=21,I136,0)</f>
        <v>0</v>
      </c>
      <c r="AN136" s="38">
        <v>21</v>
      </c>
      <c r="AO136" s="38">
        <f>H136*0.878725656</f>
        <v>0</v>
      </c>
      <c r="AP136" s="38">
        <f>H136*(1-0.878725656)</f>
        <v>0</v>
      </c>
      <c r="AQ136" s="72" t="s">
        <v>132</v>
      </c>
      <c r="AV136" s="38">
        <f>AW136+AX136</f>
        <v>0</v>
      </c>
      <c r="AW136" s="38">
        <f>G136*AO136</f>
        <v>0</v>
      </c>
      <c r="AX136" s="38">
        <f>G136*AP136</f>
        <v>0</v>
      </c>
      <c r="AY136" s="72" t="s">
        <v>365</v>
      </c>
      <c r="AZ136" s="72" t="s">
        <v>366</v>
      </c>
      <c r="BA136" s="50" t="s">
        <v>139</v>
      </c>
      <c r="BB136" s="73">
        <v>100019</v>
      </c>
      <c r="BC136" s="38">
        <f>AW136+AX136</f>
        <v>0</v>
      </c>
      <c r="BD136" s="38">
        <f>H136/(100-BE136)*100</f>
        <v>0</v>
      </c>
      <c r="BE136" s="38">
        <v>0</v>
      </c>
      <c r="BF136" s="38">
        <f>K136</f>
        <v>0.631285</v>
      </c>
      <c r="BH136" s="38">
        <f>G136*AO136</f>
        <v>0</v>
      </c>
      <c r="BI136" s="38">
        <f>G136*AP136</f>
        <v>0</v>
      </c>
      <c r="BJ136" s="38">
        <f>G136*H136</f>
        <v>0</v>
      </c>
      <c r="BK136" s="38"/>
      <c r="BL136" s="38">
        <v>41</v>
      </c>
      <c r="BW136" s="38">
        <v>21</v>
      </c>
    </row>
    <row r="137" spans="1:12" ht="15">
      <c r="A137" s="74"/>
      <c r="D137" s="75" t="s">
        <v>367</v>
      </c>
      <c r="E137" s="75" t="s">
        <v>368</v>
      </c>
      <c r="G137" s="76">
        <v>0.25</v>
      </c>
      <c r="L137" s="77"/>
    </row>
    <row r="138" spans="1:75" ht="13.5" customHeight="1">
      <c r="A138" s="1" t="s">
        <v>360</v>
      </c>
      <c r="B138" s="2" t="s">
        <v>84</v>
      </c>
      <c r="C138" s="2" t="s">
        <v>369</v>
      </c>
      <c r="D138" s="108" t="s">
        <v>370</v>
      </c>
      <c r="E138" s="103"/>
      <c r="F138" s="2" t="s">
        <v>263</v>
      </c>
      <c r="G138" s="38">
        <v>2.02</v>
      </c>
      <c r="H138" s="70">
        <v>0</v>
      </c>
      <c r="I138" s="38">
        <f>G138*H138</f>
        <v>0</v>
      </c>
      <c r="J138" s="38">
        <v>0.03391</v>
      </c>
      <c r="K138" s="38">
        <f>G138*J138</f>
        <v>0.06849820000000001</v>
      </c>
      <c r="L138" s="71" t="s">
        <v>136</v>
      </c>
      <c r="Z138" s="38">
        <f>IF(AQ138="5",BJ138,0)</f>
        <v>0</v>
      </c>
      <c r="AB138" s="38">
        <f>IF(AQ138="1",BH138,0)</f>
        <v>0</v>
      </c>
      <c r="AC138" s="38">
        <f>IF(AQ138="1",BI138,0)</f>
        <v>0</v>
      </c>
      <c r="AD138" s="38">
        <f>IF(AQ138="7",BH138,0)</f>
        <v>0</v>
      </c>
      <c r="AE138" s="38">
        <f>IF(AQ138="7",BI138,0)</f>
        <v>0</v>
      </c>
      <c r="AF138" s="38">
        <f>IF(AQ138="2",BH138,0)</f>
        <v>0</v>
      </c>
      <c r="AG138" s="38">
        <f>IF(AQ138="2",BI138,0)</f>
        <v>0</v>
      </c>
      <c r="AH138" s="38">
        <f>IF(AQ138="0",BJ138,0)</f>
        <v>0</v>
      </c>
      <c r="AI138" s="50" t="s">
        <v>84</v>
      </c>
      <c r="AJ138" s="38">
        <f>IF(AN138=0,I138,0)</f>
        <v>0</v>
      </c>
      <c r="AK138" s="38">
        <f>IF(AN138=12,I138,0)</f>
        <v>0</v>
      </c>
      <c r="AL138" s="38">
        <f>IF(AN138=21,I138,0)</f>
        <v>0</v>
      </c>
      <c r="AN138" s="38">
        <v>21</v>
      </c>
      <c r="AO138" s="38">
        <f>H138*0.513701095</f>
        <v>0</v>
      </c>
      <c r="AP138" s="38">
        <f>H138*(1-0.513701095)</f>
        <v>0</v>
      </c>
      <c r="AQ138" s="72" t="s">
        <v>132</v>
      </c>
      <c r="AV138" s="38">
        <f>AW138+AX138</f>
        <v>0</v>
      </c>
      <c r="AW138" s="38">
        <f>G138*AO138</f>
        <v>0</v>
      </c>
      <c r="AX138" s="38">
        <f>G138*AP138</f>
        <v>0</v>
      </c>
      <c r="AY138" s="72" t="s">
        <v>365</v>
      </c>
      <c r="AZ138" s="72" t="s">
        <v>366</v>
      </c>
      <c r="BA138" s="50" t="s">
        <v>139</v>
      </c>
      <c r="BB138" s="73">
        <v>100019</v>
      </c>
      <c r="BC138" s="38">
        <f>AW138+AX138</f>
        <v>0</v>
      </c>
      <c r="BD138" s="38">
        <f>H138/(100-BE138)*100</f>
        <v>0</v>
      </c>
      <c r="BE138" s="38">
        <v>0</v>
      </c>
      <c r="BF138" s="38">
        <f>K138</f>
        <v>0.06849820000000001</v>
      </c>
      <c r="BH138" s="38">
        <f>G138*AO138</f>
        <v>0</v>
      </c>
      <c r="BI138" s="38">
        <f>G138*AP138</f>
        <v>0</v>
      </c>
      <c r="BJ138" s="38">
        <f>G138*H138</f>
        <v>0</v>
      </c>
      <c r="BK138" s="38"/>
      <c r="BL138" s="38">
        <v>41</v>
      </c>
      <c r="BW138" s="38">
        <v>21</v>
      </c>
    </row>
    <row r="139" spans="1:12" ht="15">
      <c r="A139" s="74"/>
      <c r="D139" s="75" t="s">
        <v>371</v>
      </c>
      <c r="E139" s="75" t="s">
        <v>368</v>
      </c>
      <c r="G139" s="76">
        <v>2.02</v>
      </c>
      <c r="L139" s="77"/>
    </row>
    <row r="140" spans="1:75" ht="13.5" customHeight="1">
      <c r="A140" s="1" t="s">
        <v>372</v>
      </c>
      <c r="B140" s="2" t="s">
        <v>84</v>
      </c>
      <c r="C140" s="2" t="s">
        <v>373</v>
      </c>
      <c r="D140" s="108" t="s">
        <v>374</v>
      </c>
      <c r="E140" s="103"/>
      <c r="F140" s="2" t="s">
        <v>263</v>
      </c>
      <c r="G140" s="38">
        <v>2.02</v>
      </c>
      <c r="H140" s="70">
        <v>0</v>
      </c>
      <c r="I140" s="38">
        <f>G140*H140</f>
        <v>0</v>
      </c>
      <c r="J140" s="38">
        <v>0</v>
      </c>
      <c r="K140" s="38">
        <f>G140*J140</f>
        <v>0</v>
      </c>
      <c r="L140" s="71" t="s">
        <v>136</v>
      </c>
      <c r="Z140" s="38">
        <f>IF(AQ140="5",BJ140,0)</f>
        <v>0</v>
      </c>
      <c r="AB140" s="38">
        <f>IF(AQ140="1",BH140,0)</f>
        <v>0</v>
      </c>
      <c r="AC140" s="38">
        <f>IF(AQ140="1",BI140,0)</f>
        <v>0</v>
      </c>
      <c r="AD140" s="38">
        <f>IF(AQ140="7",BH140,0)</f>
        <v>0</v>
      </c>
      <c r="AE140" s="38">
        <f>IF(AQ140="7",BI140,0)</f>
        <v>0</v>
      </c>
      <c r="AF140" s="38">
        <f>IF(AQ140="2",BH140,0)</f>
        <v>0</v>
      </c>
      <c r="AG140" s="38">
        <f>IF(AQ140="2",BI140,0)</f>
        <v>0</v>
      </c>
      <c r="AH140" s="38">
        <f>IF(AQ140="0",BJ140,0)</f>
        <v>0</v>
      </c>
      <c r="AI140" s="50" t="s">
        <v>84</v>
      </c>
      <c r="AJ140" s="38">
        <f>IF(AN140=0,I140,0)</f>
        <v>0</v>
      </c>
      <c r="AK140" s="38">
        <f>IF(AN140=12,I140,0)</f>
        <v>0</v>
      </c>
      <c r="AL140" s="38">
        <f>IF(AN140=21,I140,0)</f>
        <v>0</v>
      </c>
      <c r="AN140" s="38">
        <v>21</v>
      </c>
      <c r="AO140" s="38">
        <f>H140*0</f>
        <v>0</v>
      </c>
      <c r="AP140" s="38">
        <f>H140*(1-0)</f>
        <v>0</v>
      </c>
      <c r="AQ140" s="72" t="s">
        <v>132</v>
      </c>
      <c r="AV140" s="38">
        <f>AW140+AX140</f>
        <v>0</v>
      </c>
      <c r="AW140" s="38">
        <f>G140*AO140</f>
        <v>0</v>
      </c>
      <c r="AX140" s="38">
        <f>G140*AP140</f>
        <v>0</v>
      </c>
      <c r="AY140" s="72" t="s">
        <v>365</v>
      </c>
      <c r="AZ140" s="72" t="s">
        <v>366</v>
      </c>
      <c r="BA140" s="50" t="s">
        <v>139</v>
      </c>
      <c r="BB140" s="73">
        <v>100019</v>
      </c>
      <c r="BC140" s="38">
        <f>AW140+AX140</f>
        <v>0</v>
      </c>
      <c r="BD140" s="38">
        <f>H140/(100-BE140)*100</f>
        <v>0</v>
      </c>
      <c r="BE140" s="38">
        <v>0</v>
      </c>
      <c r="BF140" s="38">
        <f>K140</f>
        <v>0</v>
      </c>
      <c r="BH140" s="38">
        <f>G140*AO140</f>
        <v>0</v>
      </c>
      <c r="BI140" s="38">
        <f>G140*AP140</f>
        <v>0</v>
      </c>
      <c r="BJ140" s="38">
        <f>G140*H140</f>
        <v>0</v>
      </c>
      <c r="BK140" s="38"/>
      <c r="BL140" s="38">
        <v>41</v>
      </c>
      <c r="BW140" s="38">
        <v>21</v>
      </c>
    </row>
    <row r="141" spans="1:12" ht="15">
      <c r="A141" s="74"/>
      <c r="D141" s="75" t="s">
        <v>371</v>
      </c>
      <c r="E141" s="75" t="s">
        <v>368</v>
      </c>
      <c r="G141" s="76">
        <v>2.02</v>
      </c>
      <c r="L141" s="77"/>
    </row>
    <row r="142" spans="1:75" ht="13.5" customHeight="1">
      <c r="A142" s="1" t="s">
        <v>375</v>
      </c>
      <c r="B142" s="2" t="s">
        <v>84</v>
      </c>
      <c r="C142" s="2" t="s">
        <v>376</v>
      </c>
      <c r="D142" s="108" t="s">
        <v>377</v>
      </c>
      <c r="E142" s="103"/>
      <c r="F142" s="2" t="s">
        <v>214</v>
      </c>
      <c r="G142" s="38">
        <v>0.61</v>
      </c>
      <c r="H142" s="70">
        <v>0</v>
      </c>
      <c r="I142" s="38">
        <f>G142*H142</f>
        <v>0</v>
      </c>
      <c r="J142" s="38">
        <v>0.03047</v>
      </c>
      <c r="K142" s="38">
        <f>G142*J142</f>
        <v>0.0185867</v>
      </c>
      <c r="L142" s="71" t="s">
        <v>136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50" t="s">
        <v>84</v>
      </c>
      <c r="AJ142" s="38">
        <f>IF(AN142=0,I142,0)</f>
        <v>0</v>
      </c>
      <c r="AK142" s="38">
        <f>IF(AN142=12,I142,0)</f>
        <v>0</v>
      </c>
      <c r="AL142" s="38">
        <f>IF(AN142=21,I142,0)</f>
        <v>0</v>
      </c>
      <c r="AN142" s="38">
        <v>21</v>
      </c>
      <c r="AO142" s="38">
        <f>H142*0.213888986</f>
        <v>0</v>
      </c>
      <c r="AP142" s="38">
        <f>H142*(1-0.213888986)</f>
        <v>0</v>
      </c>
      <c r="AQ142" s="72" t="s">
        <v>132</v>
      </c>
      <c r="AV142" s="38">
        <f>AW142+AX142</f>
        <v>0</v>
      </c>
      <c r="AW142" s="38">
        <f>G142*AO142</f>
        <v>0</v>
      </c>
      <c r="AX142" s="38">
        <f>G142*AP142</f>
        <v>0</v>
      </c>
      <c r="AY142" s="72" t="s">
        <v>365</v>
      </c>
      <c r="AZ142" s="72" t="s">
        <v>366</v>
      </c>
      <c r="BA142" s="50" t="s">
        <v>139</v>
      </c>
      <c r="BB142" s="73">
        <v>100019</v>
      </c>
      <c r="BC142" s="38">
        <f>AW142+AX142</f>
        <v>0</v>
      </c>
      <c r="BD142" s="38">
        <f>H142/(100-BE142)*100</f>
        <v>0</v>
      </c>
      <c r="BE142" s="38">
        <v>0</v>
      </c>
      <c r="BF142" s="38">
        <f>K142</f>
        <v>0.0185867</v>
      </c>
      <c r="BH142" s="38">
        <f>G142*AO142</f>
        <v>0</v>
      </c>
      <c r="BI142" s="38">
        <f>G142*AP142</f>
        <v>0</v>
      </c>
      <c r="BJ142" s="38">
        <f>G142*H142</f>
        <v>0</v>
      </c>
      <c r="BK142" s="38"/>
      <c r="BL142" s="38">
        <v>41</v>
      </c>
      <c r="BW142" s="38">
        <v>21</v>
      </c>
    </row>
    <row r="143" spans="1:12" ht="15">
      <c r="A143" s="74"/>
      <c r="D143" s="75" t="s">
        <v>378</v>
      </c>
      <c r="E143" s="75" t="s">
        <v>368</v>
      </c>
      <c r="G143" s="76">
        <v>0.61</v>
      </c>
      <c r="L143" s="77"/>
    </row>
    <row r="144" spans="1:75" ht="13.5" customHeight="1">
      <c r="A144" s="1" t="s">
        <v>379</v>
      </c>
      <c r="B144" s="2" t="s">
        <v>84</v>
      </c>
      <c r="C144" s="2" t="s">
        <v>380</v>
      </c>
      <c r="D144" s="108" t="s">
        <v>381</v>
      </c>
      <c r="E144" s="103"/>
      <c r="F144" s="2" t="s">
        <v>214</v>
      </c>
      <c r="G144" s="38">
        <v>0.61</v>
      </c>
      <c r="H144" s="70">
        <v>0</v>
      </c>
      <c r="I144" s="38">
        <f>G144*H144</f>
        <v>0</v>
      </c>
      <c r="J144" s="38">
        <v>0</v>
      </c>
      <c r="K144" s="38">
        <f>G144*J144</f>
        <v>0</v>
      </c>
      <c r="L144" s="71" t="s">
        <v>136</v>
      </c>
      <c r="Z144" s="38">
        <f>IF(AQ144="5",BJ144,0)</f>
        <v>0</v>
      </c>
      <c r="AB144" s="38">
        <f>IF(AQ144="1",BH144,0)</f>
        <v>0</v>
      </c>
      <c r="AC144" s="38">
        <f>IF(AQ144="1",BI144,0)</f>
        <v>0</v>
      </c>
      <c r="AD144" s="38">
        <f>IF(AQ144="7",BH144,0)</f>
        <v>0</v>
      </c>
      <c r="AE144" s="38">
        <f>IF(AQ144="7",BI144,0)</f>
        <v>0</v>
      </c>
      <c r="AF144" s="38">
        <f>IF(AQ144="2",BH144,0)</f>
        <v>0</v>
      </c>
      <c r="AG144" s="38">
        <f>IF(AQ144="2",BI144,0)</f>
        <v>0</v>
      </c>
      <c r="AH144" s="38">
        <f>IF(AQ144="0",BJ144,0)</f>
        <v>0</v>
      </c>
      <c r="AI144" s="50" t="s">
        <v>84</v>
      </c>
      <c r="AJ144" s="38">
        <f>IF(AN144=0,I144,0)</f>
        <v>0</v>
      </c>
      <c r="AK144" s="38">
        <f>IF(AN144=12,I144,0)</f>
        <v>0</v>
      </c>
      <c r="AL144" s="38">
        <f>IF(AN144=21,I144,0)</f>
        <v>0</v>
      </c>
      <c r="AN144" s="38">
        <v>21</v>
      </c>
      <c r="AO144" s="38">
        <f>H144*0</f>
        <v>0</v>
      </c>
      <c r="AP144" s="38">
        <f>H144*(1-0)</f>
        <v>0</v>
      </c>
      <c r="AQ144" s="72" t="s">
        <v>132</v>
      </c>
      <c r="AV144" s="38">
        <f>AW144+AX144</f>
        <v>0</v>
      </c>
      <c r="AW144" s="38">
        <f>G144*AO144</f>
        <v>0</v>
      </c>
      <c r="AX144" s="38">
        <f>G144*AP144</f>
        <v>0</v>
      </c>
      <c r="AY144" s="72" t="s">
        <v>365</v>
      </c>
      <c r="AZ144" s="72" t="s">
        <v>366</v>
      </c>
      <c r="BA144" s="50" t="s">
        <v>139</v>
      </c>
      <c r="BB144" s="73">
        <v>100019</v>
      </c>
      <c r="BC144" s="38">
        <f>AW144+AX144</f>
        <v>0</v>
      </c>
      <c r="BD144" s="38">
        <f>H144/(100-BE144)*100</f>
        <v>0</v>
      </c>
      <c r="BE144" s="38">
        <v>0</v>
      </c>
      <c r="BF144" s="38">
        <f>K144</f>
        <v>0</v>
      </c>
      <c r="BH144" s="38">
        <f>G144*AO144</f>
        <v>0</v>
      </c>
      <c r="BI144" s="38">
        <f>G144*AP144</f>
        <v>0</v>
      </c>
      <c r="BJ144" s="38">
        <f>G144*H144</f>
        <v>0</v>
      </c>
      <c r="BK144" s="38"/>
      <c r="BL144" s="38">
        <v>41</v>
      </c>
      <c r="BW144" s="38">
        <v>21</v>
      </c>
    </row>
    <row r="145" spans="1:12" ht="15">
      <c r="A145" s="74"/>
      <c r="D145" s="75" t="s">
        <v>378</v>
      </c>
      <c r="E145" s="75" t="s">
        <v>368</v>
      </c>
      <c r="G145" s="76">
        <v>0.61</v>
      </c>
      <c r="L145" s="77"/>
    </row>
    <row r="146" spans="1:75" ht="13.5" customHeight="1">
      <c r="A146" s="1" t="s">
        <v>382</v>
      </c>
      <c r="B146" s="2" t="s">
        <v>84</v>
      </c>
      <c r="C146" s="2" t="s">
        <v>383</v>
      </c>
      <c r="D146" s="108" t="s">
        <v>384</v>
      </c>
      <c r="E146" s="103"/>
      <c r="F146" s="2" t="s">
        <v>189</v>
      </c>
      <c r="G146" s="38">
        <v>0.01</v>
      </c>
      <c r="H146" s="70">
        <v>0</v>
      </c>
      <c r="I146" s="38">
        <f>G146*H146</f>
        <v>0</v>
      </c>
      <c r="J146" s="38">
        <v>1.05544</v>
      </c>
      <c r="K146" s="38">
        <f>G146*J146</f>
        <v>0.0105544</v>
      </c>
      <c r="L146" s="71" t="s">
        <v>136</v>
      </c>
      <c r="Z146" s="38">
        <f>IF(AQ146="5",BJ146,0)</f>
        <v>0</v>
      </c>
      <c r="AB146" s="38">
        <f>IF(AQ146="1",BH146,0)</f>
        <v>0</v>
      </c>
      <c r="AC146" s="38">
        <f>IF(AQ146="1",BI146,0)</f>
        <v>0</v>
      </c>
      <c r="AD146" s="38">
        <f>IF(AQ146="7",BH146,0)</f>
        <v>0</v>
      </c>
      <c r="AE146" s="38">
        <f>IF(AQ146="7",BI146,0)</f>
        <v>0</v>
      </c>
      <c r="AF146" s="38">
        <f>IF(AQ146="2",BH146,0)</f>
        <v>0</v>
      </c>
      <c r="AG146" s="38">
        <f>IF(AQ146="2",BI146,0)</f>
        <v>0</v>
      </c>
      <c r="AH146" s="38">
        <f>IF(AQ146="0",BJ146,0)</f>
        <v>0</v>
      </c>
      <c r="AI146" s="50" t="s">
        <v>84</v>
      </c>
      <c r="AJ146" s="38">
        <f>IF(AN146=0,I146,0)</f>
        <v>0</v>
      </c>
      <c r="AK146" s="38">
        <f>IF(AN146=12,I146,0)</f>
        <v>0</v>
      </c>
      <c r="AL146" s="38">
        <f>IF(AN146=21,I146,0)</f>
        <v>0</v>
      </c>
      <c r="AN146" s="38">
        <v>21</v>
      </c>
      <c r="AO146" s="38">
        <f>H146*0.80156966</f>
        <v>0</v>
      </c>
      <c r="AP146" s="38">
        <f>H146*(1-0.80156966)</f>
        <v>0</v>
      </c>
      <c r="AQ146" s="72" t="s">
        <v>132</v>
      </c>
      <c r="AV146" s="38">
        <f>AW146+AX146</f>
        <v>0</v>
      </c>
      <c r="AW146" s="38">
        <f>G146*AO146</f>
        <v>0</v>
      </c>
      <c r="AX146" s="38">
        <f>G146*AP146</f>
        <v>0</v>
      </c>
      <c r="AY146" s="72" t="s">
        <v>365</v>
      </c>
      <c r="AZ146" s="72" t="s">
        <v>366</v>
      </c>
      <c r="BA146" s="50" t="s">
        <v>139</v>
      </c>
      <c r="BB146" s="73">
        <v>100019</v>
      </c>
      <c r="BC146" s="38">
        <f>AW146+AX146</f>
        <v>0</v>
      </c>
      <c r="BD146" s="38">
        <f>H146/(100-BE146)*100</f>
        <v>0</v>
      </c>
      <c r="BE146" s="38">
        <v>0</v>
      </c>
      <c r="BF146" s="38">
        <f>K146</f>
        <v>0.0105544</v>
      </c>
      <c r="BH146" s="38">
        <f>G146*AO146</f>
        <v>0</v>
      </c>
      <c r="BI146" s="38">
        <f>G146*AP146</f>
        <v>0</v>
      </c>
      <c r="BJ146" s="38">
        <f>G146*H146</f>
        <v>0</v>
      </c>
      <c r="BK146" s="38"/>
      <c r="BL146" s="38">
        <v>41</v>
      </c>
      <c r="BW146" s="38">
        <v>21</v>
      </c>
    </row>
    <row r="147" spans="1:12" ht="13.5" customHeight="1">
      <c r="A147" s="74"/>
      <c r="D147" s="194" t="s">
        <v>385</v>
      </c>
      <c r="E147" s="195"/>
      <c r="F147" s="195"/>
      <c r="G147" s="195"/>
      <c r="H147" s="196"/>
      <c r="I147" s="195"/>
      <c r="J147" s="195"/>
      <c r="K147" s="195"/>
      <c r="L147" s="197"/>
    </row>
    <row r="148" spans="1:12" ht="15">
      <c r="A148" s="74"/>
      <c r="D148" s="75" t="s">
        <v>386</v>
      </c>
      <c r="E148" s="75" t="s">
        <v>368</v>
      </c>
      <c r="G148" s="76">
        <v>0.01</v>
      </c>
      <c r="L148" s="77"/>
    </row>
    <row r="149" spans="1:75" ht="13.5" customHeight="1">
      <c r="A149" s="1" t="s">
        <v>387</v>
      </c>
      <c r="B149" s="2" t="s">
        <v>84</v>
      </c>
      <c r="C149" s="2" t="s">
        <v>388</v>
      </c>
      <c r="D149" s="108" t="s">
        <v>389</v>
      </c>
      <c r="E149" s="103"/>
      <c r="F149" s="2" t="s">
        <v>199</v>
      </c>
      <c r="G149" s="38">
        <v>4</v>
      </c>
      <c r="H149" s="70">
        <v>0</v>
      </c>
      <c r="I149" s="38">
        <f>G149*H149</f>
        <v>0</v>
      </c>
      <c r="J149" s="38">
        <v>0.02398</v>
      </c>
      <c r="K149" s="38">
        <f>G149*J149</f>
        <v>0.09592</v>
      </c>
      <c r="L149" s="71" t="s">
        <v>207</v>
      </c>
      <c r="Z149" s="38">
        <f>IF(AQ149="5",BJ149,0)</f>
        <v>0</v>
      </c>
      <c r="AB149" s="38">
        <f>IF(AQ149="1",BH149,0)</f>
        <v>0</v>
      </c>
      <c r="AC149" s="38">
        <f>IF(AQ149="1",BI149,0)</f>
        <v>0</v>
      </c>
      <c r="AD149" s="38">
        <f>IF(AQ149="7",BH149,0)</f>
        <v>0</v>
      </c>
      <c r="AE149" s="38">
        <f>IF(AQ149="7",BI149,0)</f>
        <v>0</v>
      </c>
      <c r="AF149" s="38">
        <f>IF(AQ149="2",BH149,0)</f>
        <v>0</v>
      </c>
      <c r="AG149" s="38">
        <f>IF(AQ149="2",BI149,0)</f>
        <v>0</v>
      </c>
      <c r="AH149" s="38">
        <f>IF(AQ149="0",BJ149,0)</f>
        <v>0</v>
      </c>
      <c r="AI149" s="50" t="s">
        <v>84</v>
      </c>
      <c r="AJ149" s="38">
        <f>IF(AN149=0,I149,0)</f>
        <v>0</v>
      </c>
      <c r="AK149" s="38">
        <f>IF(AN149=12,I149,0)</f>
        <v>0</v>
      </c>
      <c r="AL149" s="38">
        <f>IF(AN149=21,I149,0)</f>
        <v>0</v>
      </c>
      <c r="AN149" s="38">
        <v>21</v>
      </c>
      <c r="AO149" s="38">
        <f>H149*0.278508997</f>
        <v>0</v>
      </c>
      <c r="AP149" s="38">
        <f>H149*(1-0.278508997)</f>
        <v>0</v>
      </c>
      <c r="AQ149" s="72" t="s">
        <v>132</v>
      </c>
      <c r="AV149" s="38">
        <f>AW149+AX149</f>
        <v>0</v>
      </c>
      <c r="AW149" s="38">
        <f>G149*AO149</f>
        <v>0</v>
      </c>
      <c r="AX149" s="38">
        <f>G149*AP149</f>
        <v>0</v>
      </c>
      <c r="AY149" s="72" t="s">
        <v>365</v>
      </c>
      <c r="AZ149" s="72" t="s">
        <v>366</v>
      </c>
      <c r="BA149" s="50" t="s">
        <v>139</v>
      </c>
      <c r="BB149" s="73">
        <v>100019</v>
      </c>
      <c r="BC149" s="38">
        <f>AW149+AX149</f>
        <v>0</v>
      </c>
      <c r="BD149" s="38">
        <f>H149/(100-BE149)*100</f>
        <v>0</v>
      </c>
      <c r="BE149" s="38">
        <v>0</v>
      </c>
      <c r="BF149" s="38">
        <f>K149</f>
        <v>0.09592</v>
      </c>
      <c r="BH149" s="38">
        <f>G149*AO149</f>
        <v>0</v>
      </c>
      <c r="BI149" s="38">
        <f>G149*AP149</f>
        <v>0</v>
      </c>
      <c r="BJ149" s="38">
        <f>G149*H149</f>
        <v>0</v>
      </c>
      <c r="BK149" s="38"/>
      <c r="BL149" s="38">
        <v>41</v>
      </c>
      <c r="BW149" s="38">
        <v>21</v>
      </c>
    </row>
    <row r="150" spans="1:12" ht="13.5" customHeight="1">
      <c r="A150" s="74"/>
      <c r="D150" s="194" t="s">
        <v>390</v>
      </c>
      <c r="E150" s="195"/>
      <c r="F150" s="195"/>
      <c r="G150" s="195"/>
      <c r="H150" s="196"/>
      <c r="I150" s="195"/>
      <c r="J150" s="195"/>
      <c r="K150" s="195"/>
      <c r="L150" s="197"/>
    </row>
    <row r="151" spans="1:12" ht="15">
      <c r="A151" s="74"/>
      <c r="D151" s="75" t="s">
        <v>157</v>
      </c>
      <c r="E151" s="75" t="s">
        <v>391</v>
      </c>
      <c r="G151" s="76">
        <v>4</v>
      </c>
      <c r="L151" s="77"/>
    </row>
    <row r="152" spans="1:75" ht="13.5" customHeight="1">
      <c r="A152" s="1" t="s">
        <v>392</v>
      </c>
      <c r="B152" s="2" t="s">
        <v>84</v>
      </c>
      <c r="C152" s="2" t="s">
        <v>393</v>
      </c>
      <c r="D152" s="108" t="s">
        <v>394</v>
      </c>
      <c r="E152" s="103"/>
      <c r="F152" s="2" t="s">
        <v>263</v>
      </c>
      <c r="G152" s="38">
        <v>226.75</v>
      </c>
      <c r="H152" s="70">
        <v>0</v>
      </c>
      <c r="I152" s="38">
        <f>G152*H152</f>
        <v>0</v>
      </c>
      <c r="J152" s="38">
        <v>0.01375</v>
      </c>
      <c r="K152" s="38">
        <f>G152*J152</f>
        <v>3.1178125</v>
      </c>
      <c r="L152" s="71" t="s">
        <v>136</v>
      </c>
      <c r="Z152" s="38">
        <f>IF(AQ152="5",BJ152,0)</f>
        <v>0</v>
      </c>
      <c r="AB152" s="38">
        <f>IF(AQ152="1",BH152,0)</f>
        <v>0</v>
      </c>
      <c r="AC152" s="38">
        <f>IF(AQ152="1",BI152,0)</f>
        <v>0</v>
      </c>
      <c r="AD152" s="38">
        <f>IF(AQ152="7",BH152,0)</f>
        <v>0</v>
      </c>
      <c r="AE152" s="38">
        <f>IF(AQ152="7",BI152,0)</f>
        <v>0</v>
      </c>
      <c r="AF152" s="38">
        <f>IF(AQ152="2",BH152,0)</f>
        <v>0</v>
      </c>
      <c r="AG152" s="38">
        <f>IF(AQ152="2",BI152,0)</f>
        <v>0</v>
      </c>
      <c r="AH152" s="38">
        <f>IF(AQ152="0",BJ152,0)</f>
        <v>0</v>
      </c>
      <c r="AI152" s="50" t="s">
        <v>84</v>
      </c>
      <c r="AJ152" s="38">
        <f>IF(AN152=0,I152,0)</f>
        <v>0</v>
      </c>
      <c r="AK152" s="38">
        <f>IF(AN152=12,I152,0)</f>
        <v>0</v>
      </c>
      <c r="AL152" s="38">
        <f>IF(AN152=21,I152,0)</f>
        <v>0</v>
      </c>
      <c r="AN152" s="38">
        <v>21</v>
      </c>
      <c r="AO152" s="38">
        <f>H152*0.461431227</f>
        <v>0</v>
      </c>
      <c r="AP152" s="38">
        <f>H152*(1-0.461431227)</f>
        <v>0</v>
      </c>
      <c r="AQ152" s="72" t="s">
        <v>132</v>
      </c>
      <c r="AV152" s="38">
        <f>AW152+AX152</f>
        <v>0</v>
      </c>
      <c r="AW152" s="38">
        <f>G152*AO152</f>
        <v>0</v>
      </c>
      <c r="AX152" s="38">
        <f>G152*AP152</f>
        <v>0</v>
      </c>
      <c r="AY152" s="72" t="s">
        <v>365</v>
      </c>
      <c r="AZ152" s="72" t="s">
        <v>366</v>
      </c>
      <c r="BA152" s="50" t="s">
        <v>139</v>
      </c>
      <c r="BB152" s="73">
        <v>100019</v>
      </c>
      <c r="BC152" s="38">
        <f>AW152+AX152</f>
        <v>0</v>
      </c>
      <c r="BD152" s="38">
        <f>H152/(100-BE152)*100</f>
        <v>0</v>
      </c>
      <c r="BE152" s="38">
        <v>0</v>
      </c>
      <c r="BF152" s="38">
        <f>K152</f>
        <v>3.1178125</v>
      </c>
      <c r="BH152" s="38">
        <f>G152*AO152</f>
        <v>0</v>
      </c>
      <c r="BI152" s="38">
        <f>G152*AP152</f>
        <v>0</v>
      </c>
      <c r="BJ152" s="38">
        <f>G152*H152</f>
        <v>0</v>
      </c>
      <c r="BK152" s="38"/>
      <c r="BL152" s="38">
        <v>41</v>
      </c>
      <c r="BW152" s="38">
        <v>21</v>
      </c>
    </row>
    <row r="153" spans="1:12" ht="15">
      <c r="A153" s="74"/>
      <c r="D153" s="75" t="s">
        <v>395</v>
      </c>
      <c r="E153" s="75" t="s">
        <v>396</v>
      </c>
      <c r="G153" s="76">
        <v>161.9</v>
      </c>
      <c r="L153" s="77"/>
    </row>
    <row r="154" spans="1:12" ht="15">
      <c r="A154" s="74"/>
      <c r="D154" s="75" t="s">
        <v>397</v>
      </c>
      <c r="E154" s="75" t="s">
        <v>398</v>
      </c>
      <c r="G154" s="76">
        <v>47.9</v>
      </c>
      <c r="L154" s="77"/>
    </row>
    <row r="155" spans="1:12" ht="15">
      <c r="A155" s="74"/>
      <c r="D155" s="75" t="s">
        <v>399</v>
      </c>
      <c r="E155" s="75" t="s">
        <v>400</v>
      </c>
      <c r="G155" s="76">
        <v>16.95</v>
      </c>
      <c r="L155" s="77"/>
    </row>
    <row r="156" spans="1:75" ht="13.5" customHeight="1">
      <c r="A156" s="1" t="s">
        <v>401</v>
      </c>
      <c r="B156" s="2" t="s">
        <v>84</v>
      </c>
      <c r="C156" s="2" t="s">
        <v>402</v>
      </c>
      <c r="D156" s="108" t="s">
        <v>403</v>
      </c>
      <c r="E156" s="103"/>
      <c r="F156" s="2" t="s">
        <v>263</v>
      </c>
      <c r="G156" s="38">
        <v>12.47</v>
      </c>
      <c r="H156" s="70">
        <v>0</v>
      </c>
      <c r="I156" s="38">
        <f>G156*H156</f>
        <v>0</v>
      </c>
      <c r="J156" s="38">
        <v>0.01555</v>
      </c>
      <c r="K156" s="38">
        <f>G156*J156</f>
        <v>0.1939085</v>
      </c>
      <c r="L156" s="71" t="s">
        <v>136</v>
      </c>
      <c r="Z156" s="38">
        <f>IF(AQ156="5",BJ156,0)</f>
        <v>0</v>
      </c>
      <c r="AB156" s="38">
        <f>IF(AQ156="1",BH156,0)</f>
        <v>0</v>
      </c>
      <c r="AC156" s="38">
        <f>IF(AQ156="1",BI156,0)</f>
        <v>0</v>
      </c>
      <c r="AD156" s="38">
        <f>IF(AQ156="7",BH156,0)</f>
        <v>0</v>
      </c>
      <c r="AE156" s="38">
        <f>IF(AQ156="7",BI156,0)</f>
        <v>0</v>
      </c>
      <c r="AF156" s="38">
        <f>IF(AQ156="2",BH156,0)</f>
        <v>0</v>
      </c>
      <c r="AG156" s="38">
        <f>IF(AQ156="2",BI156,0)</f>
        <v>0</v>
      </c>
      <c r="AH156" s="38">
        <f>IF(AQ156="0",BJ156,0)</f>
        <v>0</v>
      </c>
      <c r="AI156" s="50" t="s">
        <v>84</v>
      </c>
      <c r="AJ156" s="38">
        <f>IF(AN156=0,I156,0)</f>
        <v>0</v>
      </c>
      <c r="AK156" s="38">
        <f>IF(AN156=12,I156,0)</f>
        <v>0</v>
      </c>
      <c r="AL156" s="38">
        <f>IF(AN156=21,I156,0)</f>
        <v>0</v>
      </c>
      <c r="AN156" s="38">
        <v>21</v>
      </c>
      <c r="AO156" s="38">
        <f>H156*0.556912621</f>
        <v>0</v>
      </c>
      <c r="AP156" s="38">
        <f>H156*(1-0.556912621)</f>
        <v>0</v>
      </c>
      <c r="AQ156" s="72" t="s">
        <v>132</v>
      </c>
      <c r="AV156" s="38">
        <f>AW156+AX156</f>
        <v>0</v>
      </c>
      <c r="AW156" s="38">
        <f>G156*AO156</f>
        <v>0</v>
      </c>
      <c r="AX156" s="38">
        <f>G156*AP156</f>
        <v>0</v>
      </c>
      <c r="AY156" s="72" t="s">
        <v>365</v>
      </c>
      <c r="AZ156" s="72" t="s">
        <v>366</v>
      </c>
      <c r="BA156" s="50" t="s">
        <v>139</v>
      </c>
      <c r="BB156" s="73">
        <v>100019</v>
      </c>
      <c r="BC156" s="38">
        <f>AW156+AX156</f>
        <v>0</v>
      </c>
      <c r="BD156" s="38">
        <f>H156/(100-BE156)*100</f>
        <v>0</v>
      </c>
      <c r="BE156" s="38">
        <v>0</v>
      </c>
      <c r="BF156" s="38">
        <f>K156</f>
        <v>0.1939085</v>
      </c>
      <c r="BH156" s="38">
        <f>G156*AO156</f>
        <v>0</v>
      </c>
      <c r="BI156" s="38">
        <f>G156*AP156</f>
        <v>0</v>
      </c>
      <c r="BJ156" s="38">
        <f>G156*H156</f>
        <v>0</v>
      </c>
      <c r="BK156" s="38"/>
      <c r="BL156" s="38">
        <v>41</v>
      </c>
      <c r="BW156" s="38">
        <v>21</v>
      </c>
    </row>
    <row r="157" spans="1:12" ht="13.5" customHeight="1">
      <c r="A157" s="74"/>
      <c r="D157" s="194" t="s">
        <v>404</v>
      </c>
      <c r="E157" s="195"/>
      <c r="F157" s="195"/>
      <c r="G157" s="195"/>
      <c r="H157" s="196"/>
      <c r="I157" s="195"/>
      <c r="J157" s="195"/>
      <c r="K157" s="195"/>
      <c r="L157" s="197"/>
    </row>
    <row r="158" spans="1:12" ht="15">
      <c r="A158" s="74"/>
      <c r="D158" s="75" t="s">
        <v>405</v>
      </c>
      <c r="E158" s="75" t="s">
        <v>4</v>
      </c>
      <c r="G158" s="76">
        <v>12.47</v>
      </c>
      <c r="L158" s="77"/>
    </row>
    <row r="159" spans="1:75" ht="13.5" customHeight="1">
      <c r="A159" s="1" t="s">
        <v>406</v>
      </c>
      <c r="B159" s="2" t="s">
        <v>84</v>
      </c>
      <c r="C159" s="2" t="s">
        <v>407</v>
      </c>
      <c r="D159" s="108" t="s">
        <v>408</v>
      </c>
      <c r="E159" s="103"/>
      <c r="F159" s="2" t="s">
        <v>263</v>
      </c>
      <c r="G159" s="38">
        <v>0.86</v>
      </c>
      <c r="H159" s="70">
        <v>0</v>
      </c>
      <c r="I159" s="38">
        <f>G159*H159</f>
        <v>0</v>
      </c>
      <c r="J159" s="38">
        <v>0.01409</v>
      </c>
      <c r="K159" s="38">
        <f>G159*J159</f>
        <v>0.0121174</v>
      </c>
      <c r="L159" s="71" t="s">
        <v>207</v>
      </c>
      <c r="Z159" s="38">
        <f>IF(AQ159="5",BJ159,0)</f>
        <v>0</v>
      </c>
      <c r="AB159" s="38">
        <f>IF(AQ159="1",BH159,0)</f>
        <v>0</v>
      </c>
      <c r="AC159" s="38">
        <f>IF(AQ159="1",BI159,0)</f>
        <v>0</v>
      </c>
      <c r="AD159" s="38">
        <f>IF(AQ159="7",BH159,0)</f>
        <v>0</v>
      </c>
      <c r="AE159" s="38">
        <f>IF(AQ159="7",BI159,0)</f>
        <v>0</v>
      </c>
      <c r="AF159" s="38">
        <f>IF(AQ159="2",BH159,0)</f>
        <v>0</v>
      </c>
      <c r="AG159" s="38">
        <f>IF(AQ159="2",BI159,0)</f>
        <v>0</v>
      </c>
      <c r="AH159" s="38">
        <f>IF(AQ159="0",BJ159,0)</f>
        <v>0</v>
      </c>
      <c r="AI159" s="50" t="s">
        <v>84</v>
      </c>
      <c r="AJ159" s="38">
        <f>IF(AN159=0,I159,0)</f>
        <v>0</v>
      </c>
      <c r="AK159" s="38">
        <f>IF(AN159=12,I159,0)</f>
        <v>0</v>
      </c>
      <c r="AL159" s="38">
        <f>IF(AN159=21,I159,0)</f>
        <v>0</v>
      </c>
      <c r="AN159" s="38">
        <v>21</v>
      </c>
      <c r="AO159" s="38">
        <f>H159*0.507607825</f>
        <v>0</v>
      </c>
      <c r="AP159" s="38">
        <f>H159*(1-0.507607825)</f>
        <v>0</v>
      </c>
      <c r="AQ159" s="72" t="s">
        <v>132</v>
      </c>
      <c r="AV159" s="38">
        <f>AW159+AX159</f>
        <v>0</v>
      </c>
      <c r="AW159" s="38">
        <f>G159*AO159</f>
        <v>0</v>
      </c>
      <c r="AX159" s="38">
        <f>G159*AP159</f>
        <v>0</v>
      </c>
      <c r="AY159" s="72" t="s">
        <v>365</v>
      </c>
      <c r="AZ159" s="72" t="s">
        <v>366</v>
      </c>
      <c r="BA159" s="50" t="s">
        <v>139</v>
      </c>
      <c r="BB159" s="73">
        <v>100019</v>
      </c>
      <c r="BC159" s="38">
        <f>AW159+AX159</f>
        <v>0</v>
      </c>
      <c r="BD159" s="38">
        <f>H159/(100-BE159)*100</f>
        <v>0</v>
      </c>
      <c r="BE159" s="38">
        <v>0</v>
      </c>
      <c r="BF159" s="38">
        <f>K159</f>
        <v>0.0121174</v>
      </c>
      <c r="BH159" s="38">
        <f>G159*AO159</f>
        <v>0</v>
      </c>
      <c r="BI159" s="38">
        <f>G159*AP159</f>
        <v>0</v>
      </c>
      <c r="BJ159" s="38">
        <f>G159*H159</f>
        <v>0</v>
      </c>
      <c r="BK159" s="38"/>
      <c r="BL159" s="38">
        <v>41</v>
      </c>
      <c r="BW159" s="38">
        <v>21</v>
      </c>
    </row>
    <row r="160" spans="1:12" ht="13.5" customHeight="1">
      <c r="A160" s="74"/>
      <c r="D160" s="194" t="s">
        <v>409</v>
      </c>
      <c r="E160" s="195"/>
      <c r="F160" s="195"/>
      <c r="G160" s="195"/>
      <c r="H160" s="196"/>
      <c r="I160" s="195"/>
      <c r="J160" s="195"/>
      <c r="K160" s="195"/>
      <c r="L160" s="197"/>
    </row>
    <row r="161" spans="1:12" ht="15">
      <c r="A161" s="74"/>
      <c r="D161" s="75" t="s">
        <v>410</v>
      </c>
      <c r="E161" s="75" t="s">
        <v>4</v>
      </c>
      <c r="G161" s="76">
        <v>0.86</v>
      </c>
      <c r="L161" s="77"/>
    </row>
    <row r="162" spans="1:47" ht="15">
      <c r="A162" s="65" t="s">
        <v>4</v>
      </c>
      <c r="B162" s="66" t="s">
        <v>84</v>
      </c>
      <c r="C162" s="66" t="s">
        <v>375</v>
      </c>
      <c r="D162" s="192" t="s">
        <v>411</v>
      </c>
      <c r="E162" s="193"/>
      <c r="F162" s="67" t="s">
        <v>78</v>
      </c>
      <c r="G162" s="67" t="s">
        <v>78</v>
      </c>
      <c r="H162" s="68" t="s">
        <v>78</v>
      </c>
      <c r="I162" s="44">
        <f>SUM(I163:I190)</f>
        <v>0</v>
      </c>
      <c r="J162" s="50" t="s">
        <v>4</v>
      </c>
      <c r="K162" s="44">
        <f>SUM(K163:K190)</f>
        <v>12.2152187</v>
      </c>
      <c r="L162" s="69" t="s">
        <v>4</v>
      </c>
      <c r="AI162" s="50" t="s">
        <v>84</v>
      </c>
      <c r="AS162" s="44">
        <f>SUM(AJ163:AJ190)</f>
        <v>0</v>
      </c>
      <c r="AT162" s="44">
        <f>SUM(AK163:AK190)</f>
        <v>0</v>
      </c>
      <c r="AU162" s="44">
        <f>SUM(AL163:AL190)</f>
        <v>0</v>
      </c>
    </row>
    <row r="163" spans="1:75" ht="13.5" customHeight="1">
      <c r="A163" s="1" t="s">
        <v>412</v>
      </c>
      <c r="B163" s="2" t="s">
        <v>84</v>
      </c>
      <c r="C163" s="2" t="s">
        <v>413</v>
      </c>
      <c r="D163" s="108" t="s">
        <v>414</v>
      </c>
      <c r="E163" s="103"/>
      <c r="F163" s="2" t="s">
        <v>135</v>
      </c>
      <c r="G163" s="38">
        <v>2.94</v>
      </c>
      <c r="H163" s="70">
        <v>0</v>
      </c>
      <c r="I163" s="38">
        <f>G163*H163</f>
        <v>0</v>
      </c>
      <c r="J163" s="38">
        <v>2.52508</v>
      </c>
      <c r="K163" s="38">
        <f>G163*J163</f>
        <v>7.423735199999999</v>
      </c>
      <c r="L163" s="71" t="s">
        <v>136</v>
      </c>
      <c r="Z163" s="38">
        <f>IF(AQ163="5",BJ163,0)</f>
        <v>0</v>
      </c>
      <c r="AB163" s="38">
        <f>IF(AQ163="1",BH163,0)</f>
        <v>0</v>
      </c>
      <c r="AC163" s="38">
        <f>IF(AQ163="1",BI163,0)</f>
        <v>0</v>
      </c>
      <c r="AD163" s="38">
        <f>IF(AQ163="7",BH163,0)</f>
        <v>0</v>
      </c>
      <c r="AE163" s="38">
        <f>IF(AQ163="7",BI163,0)</f>
        <v>0</v>
      </c>
      <c r="AF163" s="38">
        <f>IF(AQ163="2",BH163,0)</f>
        <v>0</v>
      </c>
      <c r="AG163" s="38">
        <f>IF(AQ163="2",BI163,0)</f>
        <v>0</v>
      </c>
      <c r="AH163" s="38">
        <f>IF(AQ163="0",BJ163,0)</f>
        <v>0</v>
      </c>
      <c r="AI163" s="50" t="s">
        <v>84</v>
      </c>
      <c r="AJ163" s="38">
        <f>IF(AN163=0,I163,0)</f>
        <v>0</v>
      </c>
      <c r="AK163" s="38">
        <f>IF(AN163=12,I163,0)</f>
        <v>0</v>
      </c>
      <c r="AL163" s="38">
        <f>IF(AN163=21,I163,0)</f>
        <v>0</v>
      </c>
      <c r="AN163" s="38">
        <v>21</v>
      </c>
      <c r="AO163" s="38">
        <f>H163*0.654851811</f>
        <v>0</v>
      </c>
      <c r="AP163" s="38">
        <f>H163*(1-0.654851811)</f>
        <v>0</v>
      </c>
      <c r="AQ163" s="72" t="s">
        <v>132</v>
      </c>
      <c r="AV163" s="38">
        <f>AW163+AX163</f>
        <v>0</v>
      </c>
      <c r="AW163" s="38">
        <f>G163*AO163</f>
        <v>0</v>
      </c>
      <c r="AX163" s="38">
        <f>G163*AP163</f>
        <v>0</v>
      </c>
      <c r="AY163" s="72" t="s">
        <v>415</v>
      </c>
      <c r="AZ163" s="72" t="s">
        <v>366</v>
      </c>
      <c r="BA163" s="50" t="s">
        <v>139</v>
      </c>
      <c r="BB163" s="73">
        <v>100025</v>
      </c>
      <c r="BC163" s="38">
        <f>AW163+AX163</f>
        <v>0</v>
      </c>
      <c r="BD163" s="38">
        <f>H163/(100-BE163)*100</f>
        <v>0</v>
      </c>
      <c r="BE163" s="38">
        <v>0</v>
      </c>
      <c r="BF163" s="38">
        <f>K163</f>
        <v>7.423735199999999</v>
      </c>
      <c r="BH163" s="38">
        <f>G163*AO163</f>
        <v>0</v>
      </c>
      <c r="BI163" s="38">
        <f>G163*AP163</f>
        <v>0</v>
      </c>
      <c r="BJ163" s="38">
        <f>G163*H163</f>
        <v>0</v>
      </c>
      <c r="BK163" s="38"/>
      <c r="BL163" s="38">
        <v>43</v>
      </c>
      <c r="BW163" s="38">
        <v>21</v>
      </c>
    </row>
    <row r="164" spans="1:12" ht="15">
      <c r="A164" s="74"/>
      <c r="D164" s="75" t="s">
        <v>416</v>
      </c>
      <c r="E164" s="75" t="s">
        <v>417</v>
      </c>
      <c r="G164" s="76">
        <v>0.81</v>
      </c>
      <c r="L164" s="77"/>
    </row>
    <row r="165" spans="1:12" ht="15">
      <c r="A165" s="74"/>
      <c r="D165" s="75" t="s">
        <v>418</v>
      </c>
      <c r="E165" s="75" t="s">
        <v>419</v>
      </c>
      <c r="G165" s="76">
        <v>0.44</v>
      </c>
      <c r="L165" s="77"/>
    </row>
    <row r="166" spans="1:12" ht="15">
      <c r="A166" s="74"/>
      <c r="D166" s="75" t="s">
        <v>420</v>
      </c>
      <c r="E166" s="75" t="s">
        <v>421</v>
      </c>
      <c r="G166" s="76">
        <v>1.69</v>
      </c>
      <c r="L166" s="77"/>
    </row>
    <row r="167" spans="1:75" ht="13.5" customHeight="1">
      <c r="A167" s="1" t="s">
        <v>422</v>
      </c>
      <c r="B167" s="2" t="s">
        <v>84</v>
      </c>
      <c r="C167" s="2" t="s">
        <v>423</v>
      </c>
      <c r="D167" s="108" t="s">
        <v>424</v>
      </c>
      <c r="E167" s="103"/>
      <c r="F167" s="2" t="s">
        <v>189</v>
      </c>
      <c r="G167" s="38">
        <v>0.29</v>
      </c>
      <c r="H167" s="70">
        <v>0</v>
      </c>
      <c r="I167" s="38">
        <f>G167*H167</f>
        <v>0</v>
      </c>
      <c r="J167" s="38">
        <v>1.02092</v>
      </c>
      <c r="K167" s="38">
        <f>G167*J167</f>
        <v>0.2960668</v>
      </c>
      <c r="L167" s="71" t="s">
        <v>136</v>
      </c>
      <c r="Z167" s="38">
        <f>IF(AQ167="5",BJ167,0)</f>
        <v>0</v>
      </c>
      <c r="AB167" s="38">
        <f>IF(AQ167="1",BH167,0)</f>
        <v>0</v>
      </c>
      <c r="AC167" s="38">
        <f>IF(AQ167="1",BI167,0)</f>
        <v>0</v>
      </c>
      <c r="AD167" s="38">
        <f>IF(AQ167="7",BH167,0)</f>
        <v>0</v>
      </c>
      <c r="AE167" s="38">
        <f>IF(AQ167="7",BI167,0)</f>
        <v>0</v>
      </c>
      <c r="AF167" s="38">
        <f>IF(AQ167="2",BH167,0)</f>
        <v>0</v>
      </c>
      <c r="AG167" s="38">
        <f>IF(AQ167="2",BI167,0)</f>
        <v>0</v>
      </c>
      <c r="AH167" s="38">
        <f>IF(AQ167="0",BJ167,0)</f>
        <v>0</v>
      </c>
      <c r="AI167" s="50" t="s">
        <v>84</v>
      </c>
      <c r="AJ167" s="38">
        <f>IF(AN167=0,I167,0)</f>
        <v>0</v>
      </c>
      <c r="AK167" s="38">
        <f>IF(AN167=12,I167,0)</f>
        <v>0</v>
      </c>
      <c r="AL167" s="38">
        <f>IF(AN167=21,I167,0)</f>
        <v>0</v>
      </c>
      <c r="AN167" s="38">
        <v>21</v>
      </c>
      <c r="AO167" s="38">
        <f>H167*0.594939876</f>
        <v>0</v>
      </c>
      <c r="AP167" s="38">
        <f>H167*(1-0.594939876)</f>
        <v>0</v>
      </c>
      <c r="AQ167" s="72" t="s">
        <v>132</v>
      </c>
      <c r="AV167" s="38">
        <f>AW167+AX167</f>
        <v>0</v>
      </c>
      <c r="AW167" s="38">
        <f>G167*AO167</f>
        <v>0</v>
      </c>
      <c r="AX167" s="38">
        <f>G167*AP167</f>
        <v>0</v>
      </c>
      <c r="AY167" s="72" t="s">
        <v>415</v>
      </c>
      <c r="AZ167" s="72" t="s">
        <v>366</v>
      </c>
      <c r="BA167" s="50" t="s">
        <v>139</v>
      </c>
      <c r="BB167" s="73">
        <v>100025</v>
      </c>
      <c r="BC167" s="38">
        <f>AW167+AX167</f>
        <v>0</v>
      </c>
      <c r="BD167" s="38">
        <f>H167/(100-BE167)*100</f>
        <v>0</v>
      </c>
      <c r="BE167" s="38">
        <v>0</v>
      </c>
      <c r="BF167" s="38">
        <f>K167</f>
        <v>0.2960668</v>
      </c>
      <c r="BH167" s="38">
        <f>G167*AO167</f>
        <v>0</v>
      </c>
      <c r="BI167" s="38">
        <f>G167*AP167</f>
        <v>0</v>
      </c>
      <c r="BJ167" s="38">
        <f>G167*H167</f>
        <v>0</v>
      </c>
      <c r="BK167" s="38"/>
      <c r="BL167" s="38">
        <v>43</v>
      </c>
      <c r="BW167" s="38">
        <v>21</v>
      </c>
    </row>
    <row r="168" spans="1:12" ht="13.5" customHeight="1">
      <c r="A168" s="74"/>
      <c r="D168" s="194" t="s">
        <v>425</v>
      </c>
      <c r="E168" s="195"/>
      <c r="F168" s="195"/>
      <c r="G168" s="195"/>
      <c r="H168" s="196"/>
      <c r="I168" s="195"/>
      <c r="J168" s="195"/>
      <c r="K168" s="195"/>
      <c r="L168" s="197"/>
    </row>
    <row r="169" spans="1:12" ht="15">
      <c r="A169" s="74"/>
      <c r="D169" s="75" t="s">
        <v>426</v>
      </c>
      <c r="E169" s="75" t="s">
        <v>4</v>
      </c>
      <c r="G169" s="76">
        <v>0.29</v>
      </c>
      <c r="L169" s="77"/>
    </row>
    <row r="170" spans="1:75" ht="13.5" customHeight="1">
      <c r="A170" s="1" t="s">
        <v>427</v>
      </c>
      <c r="B170" s="2" t="s">
        <v>84</v>
      </c>
      <c r="C170" s="2" t="s">
        <v>428</v>
      </c>
      <c r="D170" s="108" t="s">
        <v>429</v>
      </c>
      <c r="E170" s="103"/>
      <c r="F170" s="2" t="s">
        <v>263</v>
      </c>
      <c r="G170" s="38">
        <v>18.72</v>
      </c>
      <c r="H170" s="70">
        <v>0</v>
      </c>
      <c r="I170" s="38">
        <f>G170*H170</f>
        <v>0</v>
      </c>
      <c r="J170" s="38">
        <v>0.04597</v>
      </c>
      <c r="K170" s="38">
        <f>G170*J170</f>
        <v>0.8605584</v>
      </c>
      <c r="L170" s="71" t="s">
        <v>136</v>
      </c>
      <c r="Z170" s="38">
        <f>IF(AQ170="5",BJ170,0)</f>
        <v>0</v>
      </c>
      <c r="AB170" s="38">
        <f>IF(AQ170="1",BH170,0)</f>
        <v>0</v>
      </c>
      <c r="AC170" s="38">
        <f>IF(AQ170="1",BI170,0)</f>
        <v>0</v>
      </c>
      <c r="AD170" s="38">
        <f>IF(AQ170="7",BH170,0)</f>
        <v>0</v>
      </c>
      <c r="AE170" s="38">
        <f>IF(AQ170="7",BI170,0)</f>
        <v>0</v>
      </c>
      <c r="AF170" s="38">
        <f>IF(AQ170="2",BH170,0)</f>
        <v>0</v>
      </c>
      <c r="AG170" s="38">
        <f>IF(AQ170="2",BI170,0)</f>
        <v>0</v>
      </c>
      <c r="AH170" s="38">
        <f>IF(AQ170="0",BJ170,0)</f>
        <v>0</v>
      </c>
      <c r="AI170" s="50" t="s">
        <v>84</v>
      </c>
      <c r="AJ170" s="38">
        <f>IF(AN170=0,I170,0)</f>
        <v>0</v>
      </c>
      <c r="AK170" s="38">
        <f>IF(AN170=12,I170,0)</f>
        <v>0</v>
      </c>
      <c r="AL170" s="38">
        <f>IF(AN170=21,I170,0)</f>
        <v>0</v>
      </c>
      <c r="AN170" s="38">
        <v>21</v>
      </c>
      <c r="AO170" s="38">
        <f>H170*0.682585103</f>
        <v>0</v>
      </c>
      <c r="AP170" s="38">
        <f>H170*(1-0.682585103)</f>
        <v>0</v>
      </c>
      <c r="AQ170" s="72" t="s">
        <v>132</v>
      </c>
      <c r="AV170" s="38">
        <f>AW170+AX170</f>
        <v>0</v>
      </c>
      <c r="AW170" s="38">
        <f>G170*AO170</f>
        <v>0</v>
      </c>
      <c r="AX170" s="38">
        <f>G170*AP170</f>
        <v>0</v>
      </c>
      <c r="AY170" s="72" t="s">
        <v>415</v>
      </c>
      <c r="AZ170" s="72" t="s">
        <v>366</v>
      </c>
      <c r="BA170" s="50" t="s">
        <v>139</v>
      </c>
      <c r="BB170" s="73">
        <v>100025</v>
      </c>
      <c r="BC170" s="38">
        <f>AW170+AX170</f>
        <v>0</v>
      </c>
      <c r="BD170" s="38">
        <f>H170/(100-BE170)*100</f>
        <v>0</v>
      </c>
      <c r="BE170" s="38">
        <v>0</v>
      </c>
      <c r="BF170" s="38">
        <f>K170</f>
        <v>0.8605584</v>
      </c>
      <c r="BH170" s="38">
        <f>G170*AO170</f>
        <v>0</v>
      </c>
      <c r="BI170" s="38">
        <f>G170*AP170</f>
        <v>0</v>
      </c>
      <c r="BJ170" s="38">
        <f>G170*H170</f>
        <v>0</v>
      </c>
      <c r="BK170" s="38"/>
      <c r="BL170" s="38">
        <v>43</v>
      </c>
      <c r="BW170" s="38">
        <v>21</v>
      </c>
    </row>
    <row r="171" spans="1:12" ht="13.5" customHeight="1">
      <c r="A171" s="74"/>
      <c r="D171" s="194" t="s">
        <v>430</v>
      </c>
      <c r="E171" s="195"/>
      <c r="F171" s="195"/>
      <c r="G171" s="195"/>
      <c r="H171" s="196"/>
      <c r="I171" s="195"/>
      <c r="J171" s="195"/>
      <c r="K171" s="195"/>
      <c r="L171" s="197"/>
    </row>
    <row r="172" spans="1:12" ht="15">
      <c r="A172" s="74"/>
      <c r="D172" s="75" t="s">
        <v>431</v>
      </c>
      <c r="E172" s="75" t="s">
        <v>432</v>
      </c>
      <c r="G172" s="76">
        <v>7.49</v>
      </c>
      <c r="L172" s="77"/>
    </row>
    <row r="173" spans="1:12" ht="15">
      <c r="A173" s="74"/>
      <c r="D173" s="75" t="s">
        <v>433</v>
      </c>
      <c r="E173" s="75" t="s">
        <v>434</v>
      </c>
      <c r="G173" s="76">
        <v>8.79</v>
      </c>
      <c r="L173" s="77"/>
    </row>
    <row r="174" spans="1:12" ht="15">
      <c r="A174" s="74"/>
      <c r="D174" s="75" t="s">
        <v>435</v>
      </c>
      <c r="E174" s="75" t="s">
        <v>436</v>
      </c>
      <c r="G174" s="76">
        <v>2.44</v>
      </c>
      <c r="L174" s="77"/>
    </row>
    <row r="175" spans="1:75" ht="13.5" customHeight="1">
      <c r="A175" s="1" t="s">
        <v>437</v>
      </c>
      <c r="B175" s="2" t="s">
        <v>84</v>
      </c>
      <c r="C175" s="2" t="s">
        <v>438</v>
      </c>
      <c r="D175" s="108" t="s">
        <v>439</v>
      </c>
      <c r="E175" s="103"/>
      <c r="F175" s="2" t="s">
        <v>263</v>
      </c>
      <c r="G175" s="38">
        <v>18.72</v>
      </c>
      <c r="H175" s="70">
        <v>0</v>
      </c>
      <c r="I175" s="38">
        <f>G175*H175</f>
        <v>0</v>
      </c>
      <c r="J175" s="38">
        <v>0</v>
      </c>
      <c r="K175" s="38">
        <f>G175*J175</f>
        <v>0</v>
      </c>
      <c r="L175" s="71" t="s">
        <v>136</v>
      </c>
      <c r="Z175" s="38">
        <f>IF(AQ175="5",BJ175,0)</f>
        <v>0</v>
      </c>
      <c r="AB175" s="38">
        <f>IF(AQ175="1",BH175,0)</f>
        <v>0</v>
      </c>
      <c r="AC175" s="38">
        <f>IF(AQ175="1",BI175,0)</f>
        <v>0</v>
      </c>
      <c r="AD175" s="38">
        <f>IF(AQ175="7",BH175,0)</f>
        <v>0</v>
      </c>
      <c r="AE175" s="38">
        <f>IF(AQ175="7",BI175,0)</f>
        <v>0</v>
      </c>
      <c r="AF175" s="38">
        <f>IF(AQ175="2",BH175,0)</f>
        <v>0</v>
      </c>
      <c r="AG175" s="38">
        <f>IF(AQ175="2",BI175,0)</f>
        <v>0</v>
      </c>
      <c r="AH175" s="38">
        <f>IF(AQ175="0",BJ175,0)</f>
        <v>0</v>
      </c>
      <c r="AI175" s="50" t="s">
        <v>84</v>
      </c>
      <c r="AJ175" s="38">
        <f>IF(AN175=0,I175,0)</f>
        <v>0</v>
      </c>
      <c r="AK175" s="38">
        <f>IF(AN175=12,I175,0)</f>
        <v>0</v>
      </c>
      <c r="AL175" s="38">
        <f>IF(AN175=21,I175,0)</f>
        <v>0</v>
      </c>
      <c r="AN175" s="38">
        <v>21</v>
      </c>
      <c r="AO175" s="38">
        <f>H175*0</f>
        <v>0</v>
      </c>
      <c r="AP175" s="38">
        <f>H175*(1-0)</f>
        <v>0</v>
      </c>
      <c r="AQ175" s="72" t="s">
        <v>132</v>
      </c>
      <c r="AV175" s="38">
        <f>AW175+AX175</f>
        <v>0</v>
      </c>
      <c r="AW175" s="38">
        <f>G175*AO175</f>
        <v>0</v>
      </c>
      <c r="AX175" s="38">
        <f>G175*AP175</f>
        <v>0</v>
      </c>
      <c r="AY175" s="72" t="s">
        <v>415</v>
      </c>
      <c r="AZ175" s="72" t="s">
        <v>366</v>
      </c>
      <c r="BA175" s="50" t="s">
        <v>139</v>
      </c>
      <c r="BB175" s="73">
        <v>100025</v>
      </c>
      <c r="BC175" s="38">
        <f>AW175+AX175</f>
        <v>0</v>
      </c>
      <c r="BD175" s="38">
        <f>H175/(100-BE175)*100</f>
        <v>0</v>
      </c>
      <c r="BE175" s="38">
        <v>0</v>
      </c>
      <c r="BF175" s="38">
        <f>K175</f>
        <v>0</v>
      </c>
      <c r="BH175" s="38">
        <f>G175*AO175</f>
        <v>0</v>
      </c>
      <c r="BI175" s="38">
        <f>G175*AP175</f>
        <v>0</v>
      </c>
      <c r="BJ175" s="38">
        <f>G175*H175</f>
        <v>0</v>
      </c>
      <c r="BK175" s="38"/>
      <c r="BL175" s="38">
        <v>43</v>
      </c>
      <c r="BW175" s="38">
        <v>21</v>
      </c>
    </row>
    <row r="176" spans="1:12" ht="13.5" customHeight="1">
      <c r="A176" s="74"/>
      <c r="D176" s="194" t="s">
        <v>430</v>
      </c>
      <c r="E176" s="195"/>
      <c r="F176" s="195"/>
      <c r="G176" s="195"/>
      <c r="H176" s="196"/>
      <c r="I176" s="195"/>
      <c r="J176" s="195"/>
      <c r="K176" s="195"/>
      <c r="L176" s="197"/>
    </row>
    <row r="177" spans="1:12" ht="15">
      <c r="A177" s="74"/>
      <c r="D177" s="75" t="s">
        <v>440</v>
      </c>
      <c r="E177" s="75" t="s">
        <v>4</v>
      </c>
      <c r="G177" s="76">
        <v>18.72</v>
      </c>
      <c r="L177" s="77"/>
    </row>
    <row r="178" spans="1:75" ht="13.5" customHeight="1">
      <c r="A178" s="1" t="s">
        <v>441</v>
      </c>
      <c r="B178" s="2" t="s">
        <v>84</v>
      </c>
      <c r="C178" s="2" t="s">
        <v>442</v>
      </c>
      <c r="D178" s="108" t="s">
        <v>443</v>
      </c>
      <c r="E178" s="103"/>
      <c r="F178" s="2" t="s">
        <v>214</v>
      </c>
      <c r="G178" s="38">
        <v>30.58</v>
      </c>
      <c r="H178" s="70">
        <v>0</v>
      </c>
      <c r="I178" s="38">
        <f>G178*H178</f>
        <v>0</v>
      </c>
      <c r="J178" s="38">
        <v>0.11369</v>
      </c>
      <c r="K178" s="38">
        <f>G178*J178</f>
        <v>3.4766402</v>
      </c>
      <c r="L178" s="71" t="s">
        <v>136</v>
      </c>
      <c r="Z178" s="38">
        <f>IF(AQ178="5",BJ178,0)</f>
        <v>0</v>
      </c>
      <c r="AB178" s="38">
        <f>IF(AQ178="1",BH178,0)</f>
        <v>0</v>
      </c>
      <c r="AC178" s="38">
        <f>IF(AQ178="1",BI178,0)</f>
        <v>0</v>
      </c>
      <c r="AD178" s="38">
        <f>IF(AQ178="7",BH178,0)</f>
        <v>0</v>
      </c>
      <c r="AE178" s="38">
        <f>IF(AQ178="7",BI178,0)</f>
        <v>0</v>
      </c>
      <c r="AF178" s="38">
        <f>IF(AQ178="2",BH178,0)</f>
        <v>0</v>
      </c>
      <c r="AG178" s="38">
        <f>IF(AQ178="2",BI178,0)</f>
        <v>0</v>
      </c>
      <c r="AH178" s="38">
        <f>IF(AQ178="0",BJ178,0)</f>
        <v>0</v>
      </c>
      <c r="AI178" s="50" t="s">
        <v>84</v>
      </c>
      <c r="AJ178" s="38">
        <f>IF(AN178=0,I178,0)</f>
        <v>0</v>
      </c>
      <c r="AK178" s="38">
        <f>IF(AN178=12,I178,0)</f>
        <v>0</v>
      </c>
      <c r="AL178" s="38">
        <f>IF(AN178=21,I178,0)</f>
        <v>0</v>
      </c>
      <c r="AN178" s="38">
        <v>21</v>
      </c>
      <c r="AO178" s="38">
        <f>H178*0.385004457</f>
        <v>0</v>
      </c>
      <c r="AP178" s="38">
        <f>H178*(1-0.385004457)</f>
        <v>0</v>
      </c>
      <c r="AQ178" s="72" t="s">
        <v>132</v>
      </c>
      <c r="AV178" s="38">
        <f>AW178+AX178</f>
        <v>0</v>
      </c>
      <c r="AW178" s="38">
        <f>G178*AO178</f>
        <v>0</v>
      </c>
      <c r="AX178" s="38">
        <f>G178*AP178</f>
        <v>0</v>
      </c>
      <c r="AY178" s="72" t="s">
        <v>415</v>
      </c>
      <c r="AZ178" s="72" t="s">
        <v>366</v>
      </c>
      <c r="BA178" s="50" t="s">
        <v>139</v>
      </c>
      <c r="BB178" s="73">
        <v>100025</v>
      </c>
      <c r="BC178" s="38">
        <f>AW178+AX178</f>
        <v>0</v>
      </c>
      <c r="BD178" s="38">
        <f>H178/(100-BE178)*100</f>
        <v>0</v>
      </c>
      <c r="BE178" s="38">
        <v>0</v>
      </c>
      <c r="BF178" s="38">
        <f>K178</f>
        <v>3.4766402</v>
      </c>
      <c r="BH178" s="38">
        <f>G178*AO178</f>
        <v>0</v>
      </c>
      <c r="BI178" s="38">
        <f>G178*AP178</f>
        <v>0</v>
      </c>
      <c r="BJ178" s="38">
        <f>G178*H178</f>
        <v>0</v>
      </c>
      <c r="BK178" s="38"/>
      <c r="BL178" s="38">
        <v>43</v>
      </c>
      <c r="BW178" s="38">
        <v>21</v>
      </c>
    </row>
    <row r="179" spans="1:12" ht="15">
      <c r="A179" s="74"/>
      <c r="D179" s="75" t="s">
        <v>444</v>
      </c>
      <c r="E179" s="75" t="s">
        <v>445</v>
      </c>
      <c r="G179" s="76">
        <v>20</v>
      </c>
      <c r="L179" s="77"/>
    </row>
    <row r="180" spans="1:12" ht="15">
      <c r="A180" s="74"/>
      <c r="D180" s="75" t="s">
        <v>446</v>
      </c>
      <c r="E180" s="75" t="s">
        <v>447</v>
      </c>
      <c r="G180" s="76">
        <v>10.58</v>
      </c>
      <c r="L180" s="77"/>
    </row>
    <row r="181" spans="1:75" ht="13.5" customHeight="1">
      <c r="A181" s="1" t="s">
        <v>448</v>
      </c>
      <c r="B181" s="2" t="s">
        <v>84</v>
      </c>
      <c r="C181" s="2" t="s">
        <v>449</v>
      </c>
      <c r="D181" s="108" t="s">
        <v>450</v>
      </c>
      <c r="E181" s="103"/>
      <c r="F181" s="2" t="s">
        <v>263</v>
      </c>
      <c r="G181" s="38">
        <v>7.37</v>
      </c>
      <c r="H181" s="70">
        <v>0</v>
      </c>
      <c r="I181" s="38">
        <f>G181*H181</f>
        <v>0</v>
      </c>
      <c r="J181" s="38">
        <v>0.01693</v>
      </c>
      <c r="K181" s="38">
        <f>G181*J181</f>
        <v>0.12477410000000001</v>
      </c>
      <c r="L181" s="71" t="s">
        <v>136</v>
      </c>
      <c r="Z181" s="38">
        <f>IF(AQ181="5",BJ181,0)</f>
        <v>0</v>
      </c>
      <c r="AB181" s="38">
        <f>IF(AQ181="1",BH181,0)</f>
        <v>0</v>
      </c>
      <c r="AC181" s="38">
        <f>IF(AQ181="1",BI181,0)</f>
        <v>0</v>
      </c>
      <c r="AD181" s="38">
        <f>IF(AQ181="7",BH181,0)</f>
        <v>0</v>
      </c>
      <c r="AE181" s="38">
        <f>IF(AQ181="7",BI181,0)</f>
        <v>0</v>
      </c>
      <c r="AF181" s="38">
        <f>IF(AQ181="2",BH181,0)</f>
        <v>0</v>
      </c>
      <c r="AG181" s="38">
        <f>IF(AQ181="2",BI181,0)</f>
        <v>0</v>
      </c>
      <c r="AH181" s="38">
        <f>IF(AQ181="0",BJ181,0)</f>
        <v>0</v>
      </c>
      <c r="AI181" s="50" t="s">
        <v>84</v>
      </c>
      <c r="AJ181" s="38">
        <f>IF(AN181=0,I181,0)</f>
        <v>0</v>
      </c>
      <c r="AK181" s="38">
        <f>IF(AN181=12,I181,0)</f>
        <v>0</v>
      </c>
      <c r="AL181" s="38">
        <f>IF(AN181=21,I181,0)</f>
        <v>0</v>
      </c>
      <c r="AN181" s="38">
        <v>21</v>
      </c>
      <c r="AO181" s="38">
        <f>H181*0.629220428</f>
        <v>0</v>
      </c>
      <c r="AP181" s="38">
        <f>H181*(1-0.629220428)</f>
        <v>0</v>
      </c>
      <c r="AQ181" s="72" t="s">
        <v>132</v>
      </c>
      <c r="AV181" s="38">
        <f>AW181+AX181</f>
        <v>0</v>
      </c>
      <c r="AW181" s="38">
        <f>G181*AO181</f>
        <v>0</v>
      </c>
      <c r="AX181" s="38">
        <f>G181*AP181</f>
        <v>0</v>
      </c>
      <c r="AY181" s="72" t="s">
        <v>415</v>
      </c>
      <c r="AZ181" s="72" t="s">
        <v>366</v>
      </c>
      <c r="BA181" s="50" t="s">
        <v>139</v>
      </c>
      <c r="BB181" s="73">
        <v>100025</v>
      </c>
      <c r="BC181" s="38">
        <f>AW181+AX181</f>
        <v>0</v>
      </c>
      <c r="BD181" s="38">
        <f>H181/(100-BE181)*100</f>
        <v>0</v>
      </c>
      <c r="BE181" s="38">
        <v>0</v>
      </c>
      <c r="BF181" s="38">
        <f>K181</f>
        <v>0.12477410000000001</v>
      </c>
      <c r="BH181" s="38">
        <f>G181*AO181</f>
        <v>0</v>
      </c>
      <c r="BI181" s="38">
        <f>G181*AP181</f>
        <v>0</v>
      </c>
      <c r="BJ181" s="38">
        <f>G181*H181</f>
        <v>0</v>
      </c>
      <c r="BK181" s="38"/>
      <c r="BL181" s="38">
        <v>43</v>
      </c>
      <c r="BW181" s="38">
        <v>21</v>
      </c>
    </row>
    <row r="182" spans="1:12" ht="15">
      <c r="A182" s="74"/>
      <c r="D182" s="75" t="s">
        <v>451</v>
      </c>
      <c r="E182" s="75" t="s">
        <v>452</v>
      </c>
      <c r="G182" s="76">
        <v>3.97</v>
      </c>
      <c r="L182" s="77"/>
    </row>
    <row r="183" spans="1:12" ht="15">
      <c r="A183" s="74"/>
      <c r="D183" s="75" t="s">
        <v>453</v>
      </c>
      <c r="E183" s="75" t="s">
        <v>454</v>
      </c>
      <c r="G183" s="76">
        <v>3.4</v>
      </c>
      <c r="L183" s="77"/>
    </row>
    <row r="184" spans="1:75" ht="13.5" customHeight="1">
      <c r="A184" s="1" t="s">
        <v>455</v>
      </c>
      <c r="B184" s="2" t="s">
        <v>84</v>
      </c>
      <c r="C184" s="2" t="s">
        <v>456</v>
      </c>
      <c r="D184" s="108" t="s">
        <v>457</v>
      </c>
      <c r="E184" s="103"/>
      <c r="F184" s="2" t="s">
        <v>263</v>
      </c>
      <c r="G184" s="38">
        <v>7.37</v>
      </c>
      <c r="H184" s="70">
        <v>0</v>
      </c>
      <c r="I184" s="38">
        <f>G184*H184</f>
        <v>0</v>
      </c>
      <c r="J184" s="38">
        <v>0</v>
      </c>
      <c r="K184" s="38">
        <f>G184*J184</f>
        <v>0</v>
      </c>
      <c r="L184" s="71" t="s">
        <v>136</v>
      </c>
      <c r="Z184" s="38">
        <f>IF(AQ184="5",BJ184,0)</f>
        <v>0</v>
      </c>
      <c r="AB184" s="38">
        <f>IF(AQ184="1",BH184,0)</f>
        <v>0</v>
      </c>
      <c r="AC184" s="38">
        <f>IF(AQ184="1",BI184,0)</f>
        <v>0</v>
      </c>
      <c r="AD184" s="38">
        <f>IF(AQ184="7",BH184,0)</f>
        <v>0</v>
      </c>
      <c r="AE184" s="38">
        <f>IF(AQ184="7",BI184,0)</f>
        <v>0</v>
      </c>
      <c r="AF184" s="38">
        <f>IF(AQ184="2",BH184,0)</f>
        <v>0</v>
      </c>
      <c r="AG184" s="38">
        <f>IF(AQ184="2",BI184,0)</f>
        <v>0</v>
      </c>
      <c r="AH184" s="38">
        <f>IF(AQ184="0",BJ184,0)</f>
        <v>0</v>
      </c>
      <c r="AI184" s="50" t="s">
        <v>84</v>
      </c>
      <c r="AJ184" s="38">
        <f>IF(AN184=0,I184,0)</f>
        <v>0</v>
      </c>
      <c r="AK184" s="38">
        <f>IF(AN184=12,I184,0)</f>
        <v>0</v>
      </c>
      <c r="AL184" s="38">
        <f>IF(AN184=21,I184,0)</f>
        <v>0</v>
      </c>
      <c r="AN184" s="38">
        <v>21</v>
      </c>
      <c r="AO184" s="38">
        <f>H184*0</f>
        <v>0</v>
      </c>
      <c r="AP184" s="38">
        <f>H184*(1-0)</f>
        <v>0</v>
      </c>
      <c r="AQ184" s="72" t="s">
        <v>132</v>
      </c>
      <c r="AV184" s="38">
        <f>AW184+AX184</f>
        <v>0</v>
      </c>
      <c r="AW184" s="38">
        <f>G184*AO184</f>
        <v>0</v>
      </c>
      <c r="AX184" s="38">
        <f>G184*AP184</f>
        <v>0</v>
      </c>
      <c r="AY184" s="72" t="s">
        <v>415</v>
      </c>
      <c r="AZ184" s="72" t="s">
        <v>366</v>
      </c>
      <c r="BA184" s="50" t="s">
        <v>139</v>
      </c>
      <c r="BB184" s="73">
        <v>100025</v>
      </c>
      <c r="BC184" s="38">
        <f>AW184+AX184</f>
        <v>0</v>
      </c>
      <c r="BD184" s="38">
        <f>H184/(100-BE184)*100</f>
        <v>0</v>
      </c>
      <c r="BE184" s="38">
        <v>0</v>
      </c>
      <c r="BF184" s="38">
        <f>K184</f>
        <v>0</v>
      </c>
      <c r="BH184" s="38">
        <f>G184*AO184</f>
        <v>0</v>
      </c>
      <c r="BI184" s="38">
        <f>G184*AP184</f>
        <v>0</v>
      </c>
      <c r="BJ184" s="38">
        <f>G184*H184</f>
        <v>0</v>
      </c>
      <c r="BK184" s="38"/>
      <c r="BL184" s="38">
        <v>43</v>
      </c>
      <c r="BW184" s="38">
        <v>21</v>
      </c>
    </row>
    <row r="185" spans="1:12" ht="15">
      <c r="A185" s="74"/>
      <c r="D185" s="75" t="s">
        <v>458</v>
      </c>
      <c r="E185" s="75" t="s">
        <v>4</v>
      </c>
      <c r="G185" s="76">
        <v>7.37</v>
      </c>
      <c r="L185" s="77"/>
    </row>
    <row r="186" spans="1:75" ht="13.5" customHeight="1">
      <c r="A186" s="1" t="s">
        <v>459</v>
      </c>
      <c r="B186" s="2" t="s">
        <v>84</v>
      </c>
      <c r="C186" s="2" t="s">
        <v>460</v>
      </c>
      <c r="D186" s="108" t="s">
        <v>461</v>
      </c>
      <c r="E186" s="103"/>
      <c r="F186" s="2" t="s">
        <v>263</v>
      </c>
      <c r="G186" s="38">
        <v>1.8</v>
      </c>
      <c r="H186" s="70">
        <v>0</v>
      </c>
      <c r="I186" s="38">
        <f>G186*H186</f>
        <v>0</v>
      </c>
      <c r="J186" s="38">
        <v>0.01858</v>
      </c>
      <c r="K186" s="38">
        <f>G186*J186</f>
        <v>0.033444</v>
      </c>
      <c r="L186" s="71" t="s">
        <v>136</v>
      </c>
      <c r="Z186" s="38">
        <f>IF(AQ186="5",BJ186,0)</f>
        <v>0</v>
      </c>
      <c r="AB186" s="38">
        <f>IF(AQ186="1",BH186,0)</f>
        <v>0</v>
      </c>
      <c r="AC186" s="38">
        <f>IF(AQ186="1",BI186,0)</f>
        <v>0</v>
      </c>
      <c r="AD186" s="38">
        <f>IF(AQ186="7",BH186,0)</f>
        <v>0</v>
      </c>
      <c r="AE186" s="38">
        <f>IF(AQ186="7",BI186,0)</f>
        <v>0</v>
      </c>
      <c r="AF186" s="38">
        <f>IF(AQ186="2",BH186,0)</f>
        <v>0</v>
      </c>
      <c r="AG186" s="38">
        <f>IF(AQ186="2",BI186,0)</f>
        <v>0</v>
      </c>
      <c r="AH186" s="38">
        <f>IF(AQ186="0",BJ186,0)</f>
        <v>0</v>
      </c>
      <c r="AI186" s="50" t="s">
        <v>84</v>
      </c>
      <c r="AJ186" s="38">
        <f>IF(AN186=0,I186,0)</f>
        <v>0</v>
      </c>
      <c r="AK186" s="38">
        <f>IF(AN186=12,I186,0)</f>
        <v>0</v>
      </c>
      <c r="AL186" s="38">
        <f>IF(AN186=21,I186,0)</f>
        <v>0</v>
      </c>
      <c r="AN186" s="38">
        <v>21</v>
      </c>
      <c r="AO186" s="38">
        <f>H186*0.516503448</f>
        <v>0</v>
      </c>
      <c r="AP186" s="38">
        <f>H186*(1-0.516503448)</f>
        <v>0</v>
      </c>
      <c r="AQ186" s="72" t="s">
        <v>132</v>
      </c>
      <c r="AV186" s="38">
        <f>AW186+AX186</f>
        <v>0</v>
      </c>
      <c r="AW186" s="38">
        <f>G186*AO186</f>
        <v>0</v>
      </c>
      <c r="AX186" s="38">
        <f>G186*AP186</f>
        <v>0</v>
      </c>
      <c r="AY186" s="72" t="s">
        <v>415</v>
      </c>
      <c r="AZ186" s="72" t="s">
        <v>366</v>
      </c>
      <c r="BA186" s="50" t="s">
        <v>139</v>
      </c>
      <c r="BB186" s="73">
        <v>100025</v>
      </c>
      <c r="BC186" s="38">
        <f>AW186+AX186</f>
        <v>0</v>
      </c>
      <c r="BD186" s="38">
        <f>H186/(100-BE186)*100</f>
        <v>0</v>
      </c>
      <c r="BE186" s="38">
        <v>0</v>
      </c>
      <c r="BF186" s="38">
        <f>K186</f>
        <v>0.033444</v>
      </c>
      <c r="BH186" s="38">
        <f>G186*AO186</f>
        <v>0</v>
      </c>
      <c r="BI186" s="38">
        <f>G186*AP186</f>
        <v>0</v>
      </c>
      <c r="BJ186" s="38">
        <f>G186*H186</f>
        <v>0</v>
      </c>
      <c r="BK186" s="38"/>
      <c r="BL186" s="38">
        <v>43</v>
      </c>
      <c r="BW186" s="38">
        <v>21</v>
      </c>
    </row>
    <row r="187" spans="1:12" ht="15">
      <c r="A187" s="74"/>
      <c r="D187" s="75" t="s">
        <v>462</v>
      </c>
      <c r="E187" s="75" t="s">
        <v>463</v>
      </c>
      <c r="G187" s="76">
        <v>1.8</v>
      </c>
      <c r="L187" s="77"/>
    </row>
    <row r="188" spans="1:75" ht="13.5" customHeight="1">
      <c r="A188" s="1" t="s">
        <v>464</v>
      </c>
      <c r="B188" s="2" t="s">
        <v>84</v>
      </c>
      <c r="C188" s="2" t="s">
        <v>465</v>
      </c>
      <c r="D188" s="108" t="s">
        <v>466</v>
      </c>
      <c r="E188" s="103"/>
      <c r="F188" s="2" t="s">
        <v>263</v>
      </c>
      <c r="G188" s="38">
        <v>1.8</v>
      </c>
      <c r="H188" s="70">
        <v>0</v>
      </c>
      <c r="I188" s="38">
        <f>G188*H188</f>
        <v>0</v>
      </c>
      <c r="J188" s="38">
        <v>0</v>
      </c>
      <c r="K188" s="38">
        <f>G188*J188</f>
        <v>0</v>
      </c>
      <c r="L188" s="71" t="s">
        <v>136</v>
      </c>
      <c r="Z188" s="38">
        <f>IF(AQ188="5",BJ188,0)</f>
        <v>0</v>
      </c>
      <c r="AB188" s="38">
        <f>IF(AQ188="1",BH188,0)</f>
        <v>0</v>
      </c>
      <c r="AC188" s="38">
        <f>IF(AQ188="1",BI188,0)</f>
        <v>0</v>
      </c>
      <c r="AD188" s="38">
        <f>IF(AQ188="7",BH188,0)</f>
        <v>0</v>
      </c>
      <c r="AE188" s="38">
        <f>IF(AQ188="7",BI188,0)</f>
        <v>0</v>
      </c>
      <c r="AF188" s="38">
        <f>IF(AQ188="2",BH188,0)</f>
        <v>0</v>
      </c>
      <c r="AG188" s="38">
        <f>IF(AQ188="2",BI188,0)</f>
        <v>0</v>
      </c>
      <c r="AH188" s="38">
        <f>IF(AQ188="0",BJ188,0)</f>
        <v>0</v>
      </c>
      <c r="AI188" s="50" t="s">
        <v>84</v>
      </c>
      <c r="AJ188" s="38">
        <f>IF(AN188=0,I188,0)</f>
        <v>0</v>
      </c>
      <c r="AK188" s="38">
        <f>IF(AN188=12,I188,0)</f>
        <v>0</v>
      </c>
      <c r="AL188" s="38">
        <f>IF(AN188=21,I188,0)</f>
        <v>0</v>
      </c>
      <c r="AN188" s="38">
        <v>21</v>
      </c>
      <c r="AO188" s="38">
        <f>H188*0</f>
        <v>0</v>
      </c>
      <c r="AP188" s="38">
        <f>H188*(1-0)</f>
        <v>0</v>
      </c>
      <c r="AQ188" s="72" t="s">
        <v>132</v>
      </c>
      <c r="AV188" s="38">
        <f>AW188+AX188</f>
        <v>0</v>
      </c>
      <c r="AW188" s="38">
        <f>G188*AO188</f>
        <v>0</v>
      </c>
      <c r="AX188" s="38">
        <f>G188*AP188</f>
        <v>0</v>
      </c>
      <c r="AY188" s="72" t="s">
        <v>415</v>
      </c>
      <c r="AZ188" s="72" t="s">
        <v>366</v>
      </c>
      <c r="BA188" s="50" t="s">
        <v>139</v>
      </c>
      <c r="BB188" s="73">
        <v>100025</v>
      </c>
      <c r="BC188" s="38">
        <f>AW188+AX188</f>
        <v>0</v>
      </c>
      <c r="BD188" s="38">
        <f>H188/(100-BE188)*100</f>
        <v>0</v>
      </c>
      <c r="BE188" s="38">
        <v>0</v>
      </c>
      <c r="BF188" s="38">
        <f>K188</f>
        <v>0</v>
      </c>
      <c r="BH188" s="38">
        <f>G188*AO188</f>
        <v>0</v>
      </c>
      <c r="BI188" s="38">
        <f>G188*AP188</f>
        <v>0</v>
      </c>
      <c r="BJ188" s="38">
        <f>G188*H188</f>
        <v>0</v>
      </c>
      <c r="BK188" s="38"/>
      <c r="BL188" s="38">
        <v>43</v>
      </c>
      <c r="BW188" s="38">
        <v>21</v>
      </c>
    </row>
    <row r="189" spans="1:12" ht="15">
      <c r="A189" s="74"/>
      <c r="D189" s="75" t="s">
        <v>467</v>
      </c>
      <c r="E189" s="75" t="s">
        <v>4</v>
      </c>
      <c r="G189" s="76">
        <v>1.8</v>
      </c>
      <c r="L189" s="77"/>
    </row>
    <row r="190" spans="1:75" ht="13.5" customHeight="1">
      <c r="A190" s="1" t="s">
        <v>468</v>
      </c>
      <c r="B190" s="2" t="s">
        <v>84</v>
      </c>
      <c r="C190" s="2" t="s">
        <v>469</v>
      </c>
      <c r="D190" s="108" t="s">
        <v>470</v>
      </c>
      <c r="E190" s="103"/>
      <c r="F190" s="2" t="s">
        <v>471</v>
      </c>
      <c r="G190" s="38">
        <v>1</v>
      </c>
      <c r="H190" s="70">
        <v>0</v>
      </c>
      <c r="I190" s="38">
        <f>G190*H190</f>
        <v>0</v>
      </c>
      <c r="J190" s="38">
        <v>0</v>
      </c>
      <c r="K190" s="38">
        <f>G190*J190</f>
        <v>0</v>
      </c>
      <c r="L190" s="71" t="s">
        <v>207</v>
      </c>
      <c r="Z190" s="38">
        <f>IF(AQ190="5",BJ190,0)</f>
        <v>0</v>
      </c>
      <c r="AB190" s="38">
        <f>IF(AQ190="1",BH190,0)</f>
        <v>0</v>
      </c>
      <c r="AC190" s="38">
        <f>IF(AQ190="1",BI190,0)</f>
        <v>0</v>
      </c>
      <c r="AD190" s="38">
        <f>IF(AQ190="7",BH190,0)</f>
        <v>0</v>
      </c>
      <c r="AE190" s="38">
        <f>IF(AQ190="7",BI190,0)</f>
        <v>0</v>
      </c>
      <c r="AF190" s="38">
        <f>IF(AQ190="2",BH190,0)</f>
        <v>0</v>
      </c>
      <c r="AG190" s="38">
        <f>IF(AQ190="2",BI190,0)</f>
        <v>0</v>
      </c>
      <c r="AH190" s="38">
        <f>IF(AQ190="0",BJ190,0)</f>
        <v>0</v>
      </c>
      <c r="AI190" s="50" t="s">
        <v>84</v>
      </c>
      <c r="AJ190" s="38">
        <f>IF(AN190=0,I190,0)</f>
        <v>0</v>
      </c>
      <c r="AK190" s="38">
        <f>IF(AN190=12,I190,0)</f>
        <v>0</v>
      </c>
      <c r="AL190" s="38">
        <f>IF(AN190=21,I190,0)</f>
        <v>0</v>
      </c>
      <c r="AN190" s="38">
        <v>21</v>
      </c>
      <c r="AO190" s="38">
        <f>H190*0</f>
        <v>0</v>
      </c>
      <c r="AP190" s="38">
        <f>H190*(1-0)</f>
        <v>0</v>
      </c>
      <c r="AQ190" s="72" t="s">
        <v>132</v>
      </c>
      <c r="AV190" s="38">
        <f>AW190+AX190</f>
        <v>0</v>
      </c>
      <c r="AW190" s="38">
        <f>G190*AO190</f>
        <v>0</v>
      </c>
      <c r="AX190" s="38">
        <f>G190*AP190</f>
        <v>0</v>
      </c>
      <c r="AY190" s="72" t="s">
        <v>415</v>
      </c>
      <c r="AZ190" s="72" t="s">
        <v>366</v>
      </c>
      <c r="BA190" s="50" t="s">
        <v>139</v>
      </c>
      <c r="BB190" s="73">
        <v>100025</v>
      </c>
      <c r="BC190" s="38">
        <f>AW190+AX190</f>
        <v>0</v>
      </c>
      <c r="BD190" s="38">
        <f>H190/(100-BE190)*100</f>
        <v>0</v>
      </c>
      <c r="BE190" s="38">
        <v>0</v>
      </c>
      <c r="BF190" s="38">
        <f>K190</f>
        <v>0</v>
      </c>
      <c r="BH190" s="38">
        <f>G190*AO190</f>
        <v>0</v>
      </c>
      <c r="BI190" s="38">
        <f>G190*AP190</f>
        <v>0</v>
      </c>
      <c r="BJ190" s="38">
        <f>G190*H190</f>
        <v>0</v>
      </c>
      <c r="BK190" s="38"/>
      <c r="BL190" s="38">
        <v>43</v>
      </c>
      <c r="BW190" s="38">
        <v>21</v>
      </c>
    </row>
    <row r="191" spans="1:12" ht="15">
      <c r="A191" s="74"/>
      <c r="D191" s="75" t="s">
        <v>132</v>
      </c>
      <c r="E191" s="75" t="s">
        <v>4</v>
      </c>
      <c r="G191" s="76">
        <v>1</v>
      </c>
      <c r="L191" s="77"/>
    </row>
    <row r="192" spans="1:47" ht="15">
      <c r="A192" s="65" t="s">
        <v>4</v>
      </c>
      <c r="B192" s="66" t="s">
        <v>84</v>
      </c>
      <c r="C192" s="66" t="s">
        <v>455</v>
      </c>
      <c r="D192" s="192" t="s">
        <v>472</v>
      </c>
      <c r="E192" s="193"/>
      <c r="F192" s="67" t="s">
        <v>78</v>
      </c>
      <c r="G192" s="67" t="s">
        <v>78</v>
      </c>
      <c r="H192" s="68" t="s">
        <v>78</v>
      </c>
      <c r="I192" s="44">
        <f>SUM(I193:I193)</f>
        <v>0</v>
      </c>
      <c r="J192" s="50" t="s">
        <v>4</v>
      </c>
      <c r="K192" s="44">
        <f>SUM(K193:K193)</f>
        <v>1.069425</v>
      </c>
      <c r="L192" s="69" t="s">
        <v>4</v>
      </c>
      <c r="AI192" s="50" t="s">
        <v>84</v>
      </c>
      <c r="AS192" s="44">
        <f>SUM(AJ193:AJ193)</f>
        <v>0</v>
      </c>
      <c r="AT192" s="44">
        <f>SUM(AK193:AK193)</f>
        <v>0</v>
      </c>
      <c r="AU192" s="44">
        <f>SUM(AL193:AL193)</f>
        <v>0</v>
      </c>
    </row>
    <row r="193" spans="1:75" ht="13.5" customHeight="1">
      <c r="A193" s="1" t="s">
        <v>473</v>
      </c>
      <c r="B193" s="2" t="s">
        <v>84</v>
      </c>
      <c r="C193" s="2" t="s">
        <v>474</v>
      </c>
      <c r="D193" s="108" t="s">
        <v>475</v>
      </c>
      <c r="E193" s="103"/>
      <c r="F193" s="2" t="s">
        <v>263</v>
      </c>
      <c r="G193" s="38">
        <v>1.94</v>
      </c>
      <c r="H193" s="70">
        <v>0</v>
      </c>
      <c r="I193" s="38">
        <f>G193*H193</f>
        <v>0</v>
      </c>
      <c r="J193" s="38">
        <v>0.55125</v>
      </c>
      <c r="K193" s="38">
        <f>G193*J193</f>
        <v>1.069425</v>
      </c>
      <c r="L193" s="71" t="s">
        <v>136</v>
      </c>
      <c r="Z193" s="38">
        <f>IF(AQ193="5",BJ193,0)</f>
        <v>0</v>
      </c>
      <c r="AB193" s="38">
        <f>IF(AQ193="1",BH193,0)</f>
        <v>0</v>
      </c>
      <c r="AC193" s="38">
        <f>IF(AQ193="1",BI193,0)</f>
        <v>0</v>
      </c>
      <c r="AD193" s="38">
        <f>IF(AQ193="7",BH193,0)</f>
        <v>0</v>
      </c>
      <c r="AE193" s="38">
        <f>IF(AQ193="7",BI193,0)</f>
        <v>0</v>
      </c>
      <c r="AF193" s="38">
        <f>IF(AQ193="2",BH193,0)</f>
        <v>0</v>
      </c>
      <c r="AG193" s="38">
        <f>IF(AQ193="2",BI193,0)</f>
        <v>0</v>
      </c>
      <c r="AH193" s="38">
        <f>IF(AQ193="0",BJ193,0)</f>
        <v>0</v>
      </c>
      <c r="AI193" s="50" t="s">
        <v>84</v>
      </c>
      <c r="AJ193" s="38">
        <f>IF(AN193=0,I193,0)</f>
        <v>0</v>
      </c>
      <c r="AK193" s="38">
        <f>IF(AN193=12,I193,0)</f>
        <v>0</v>
      </c>
      <c r="AL193" s="38">
        <f>IF(AN193=21,I193,0)</f>
        <v>0</v>
      </c>
      <c r="AN193" s="38">
        <v>21</v>
      </c>
      <c r="AO193" s="38">
        <f>H193*0.866837218</f>
        <v>0</v>
      </c>
      <c r="AP193" s="38">
        <f>H193*(1-0.866837218)</f>
        <v>0</v>
      </c>
      <c r="AQ193" s="72" t="s">
        <v>132</v>
      </c>
      <c r="AV193" s="38">
        <f>AW193+AX193</f>
        <v>0</v>
      </c>
      <c r="AW193" s="38">
        <f>G193*AO193</f>
        <v>0</v>
      </c>
      <c r="AX193" s="38">
        <f>G193*AP193</f>
        <v>0</v>
      </c>
      <c r="AY193" s="72" t="s">
        <v>476</v>
      </c>
      <c r="AZ193" s="72" t="s">
        <v>477</v>
      </c>
      <c r="BA193" s="50" t="s">
        <v>139</v>
      </c>
      <c r="BB193" s="73">
        <v>100040</v>
      </c>
      <c r="BC193" s="38">
        <f>AW193+AX193</f>
        <v>0</v>
      </c>
      <c r="BD193" s="38">
        <f>H193/(100-BE193)*100</f>
        <v>0</v>
      </c>
      <c r="BE193" s="38">
        <v>0</v>
      </c>
      <c r="BF193" s="38">
        <f>K193</f>
        <v>1.069425</v>
      </c>
      <c r="BH193" s="38">
        <f>G193*AO193</f>
        <v>0</v>
      </c>
      <c r="BI193" s="38">
        <f>G193*AP193</f>
        <v>0</v>
      </c>
      <c r="BJ193" s="38">
        <f>G193*H193</f>
        <v>0</v>
      </c>
      <c r="BK193" s="38"/>
      <c r="BL193" s="38">
        <v>56</v>
      </c>
      <c r="BW193" s="38">
        <v>21</v>
      </c>
    </row>
    <row r="194" spans="1:12" ht="13.5" customHeight="1">
      <c r="A194" s="74"/>
      <c r="D194" s="194" t="s">
        <v>478</v>
      </c>
      <c r="E194" s="195"/>
      <c r="F194" s="195"/>
      <c r="G194" s="195"/>
      <c r="H194" s="196"/>
      <c r="I194" s="195"/>
      <c r="J194" s="195"/>
      <c r="K194" s="195"/>
      <c r="L194" s="197"/>
    </row>
    <row r="195" spans="1:12" ht="15">
      <c r="A195" s="74"/>
      <c r="D195" s="75" t="s">
        <v>479</v>
      </c>
      <c r="E195" s="75" t="s">
        <v>4</v>
      </c>
      <c r="G195" s="76">
        <v>1.94</v>
      </c>
      <c r="L195" s="77"/>
    </row>
    <row r="196" spans="1:47" ht="15">
      <c r="A196" s="65" t="s">
        <v>4</v>
      </c>
      <c r="B196" s="66" t="s">
        <v>84</v>
      </c>
      <c r="C196" s="66" t="s">
        <v>468</v>
      </c>
      <c r="D196" s="192" t="s">
        <v>480</v>
      </c>
      <c r="E196" s="193"/>
      <c r="F196" s="67" t="s">
        <v>78</v>
      </c>
      <c r="G196" s="67" t="s">
        <v>78</v>
      </c>
      <c r="H196" s="68" t="s">
        <v>78</v>
      </c>
      <c r="I196" s="44">
        <f>SUM(I197:I210)</f>
        <v>0</v>
      </c>
      <c r="J196" s="50" t="s">
        <v>4</v>
      </c>
      <c r="K196" s="44">
        <f>SUM(K197:K210)</f>
        <v>0.5749625</v>
      </c>
      <c r="L196" s="69" t="s">
        <v>4</v>
      </c>
      <c r="AI196" s="50" t="s">
        <v>84</v>
      </c>
      <c r="AS196" s="44">
        <f>SUM(AJ197:AJ210)</f>
        <v>0</v>
      </c>
      <c r="AT196" s="44">
        <f>SUM(AK197:AK210)</f>
        <v>0</v>
      </c>
      <c r="AU196" s="44">
        <f>SUM(AL197:AL210)</f>
        <v>0</v>
      </c>
    </row>
    <row r="197" spans="1:75" ht="13.5" customHeight="1">
      <c r="A197" s="1" t="s">
        <v>481</v>
      </c>
      <c r="B197" s="2" t="s">
        <v>84</v>
      </c>
      <c r="C197" s="2" t="s">
        <v>482</v>
      </c>
      <c r="D197" s="108" t="s">
        <v>483</v>
      </c>
      <c r="E197" s="103"/>
      <c r="F197" s="2" t="s">
        <v>263</v>
      </c>
      <c r="G197" s="38">
        <v>0.25</v>
      </c>
      <c r="H197" s="70">
        <v>0</v>
      </c>
      <c r="I197" s="38">
        <f>G197*H197</f>
        <v>0</v>
      </c>
      <c r="J197" s="38">
        <v>0.11931</v>
      </c>
      <c r="K197" s="38">
        <f>G197*J197</f>
        <v>0.0298275</v>
      </c>
      <c r="L197" s="71" t="s">
        <v>136</v>
      </c>
      <c r="Z197" s="38">
        <f>IF(AQ197="5",BJ197,0)</f>
        <v>0</v>
      </c>
      <c r="AB197" s="38">
        <f>IF(AQ197="1",BH197,0)</f>
        <v>0</v>
      </c>
      <c r="AC197" s="38">
        <f>IF(AQ197="1",BI197,0)</f>
        <v>0</v>
      </c>
      <c r="AD197" s="38">
        <f>IF(AQ197="7",BH197,0)</f>
        <v>0</v>
      </c>
      <c r="AE197" s="38">
        <f>IF(AQ197="7",BI197,0)</f>
        <v>0</v>
      </c>
      <c r="AF197" s="38">
        <f>IF(AQ197="2",BH197,0)</f>
        <v>0</v>
      </c>
      <c r="AG197" s="38">
        <f>IF(AQ197="2",BI197,0)</f>
        <v>0</v>
      </c>
      <c r="AH197" s="38">
        <f>IF(AQ197="0",BJ197,0)</f>
        <v>0</v>
      </c>
      <c r="AI197" s="50" t="s">
        <v>84</v>
      </c>
      <c r="AJ197" s="38">
        <f>IF(AN197=0,I197,0)</f>
        <v>0</v>
      </c>
      <c r="AK197" s="38">
        <f>IF(AN197=12,I197,0)</f>
        <v>0</v>
      </c>
      <c r="AL197" s="38">
        <f>IF(AN197=21,I197,0)</f>
        <v>0</v>
      </c>
      <c r="AN197" s="38">
        <v>21</v>
      </c>
      <c r="AO197" s="38">
        <f>H197*0.402799145</f>
        <v>0</v>
      </c>
      <c r="AP197" s="38">
        <f>H197*(1-0.402799145)</f>
        <v>0</v>
      </c>
      <c r="AQ197" s="72" t="s">
        <v>132</v>
      </c>
      <c r="AV197" s="38">
        <f>AW197+AX197</f>
        <v>0</v>
      </c>
      <c r="AW197" s="38">
        <f>G197*AO197</f>
        <v>0</v>
      </c>
      <c r="AX197" s="38">
        <f>G197*AP197</f>
        <v>0</v>
      </c>
      <c r="AY197" s="72" t="s">
        <v>484</v>
      </c>
      <c r="AZ197" s="72" t="s">
        <v>477</v>
      </c>
      <c r="BA197" s="50" t="s">
        <v>139</v>
      </c>
      <c r="BB197" s="73">
        <v>100041</v>
      </c>
      <c r="BC197" s="38">
        <f>AW197+AX197</f>
        <v>0</v>
      </c>
      <c r="BD197" s="38">
        <f>H197/(100-BE197)*100</f>
        <v>0</v>
      </c>
      <c r="BE197" s="38">
        <v>0</v>
      </c>
      <c r="BF197" s="38">
        <f>K197</f>
        <v>0.0298275</v>
      </c>
      <c r="BH197" s="38">
        <f>G197*AO197</f>
        <v>0</v>
      </c>
      <c r="BI197" s="38">
        <f>G197*AP197</f>
        <v>0</v>
      </c>
      <c r="BJ197" s="38">
        <f>G197*H197</f>
        <v>0</v>
      </c>
      <c r="BK197" s="38"/>
      <c r="BL197" s="38">
        <v>59</v>
      </c>
      <c r="BW197" s="38">
        <v>21</v>
      </c>
    </row>
    <row r="198" spans="1:12" ht="15">
      <c r="A198" s="74"/>
      <c r="D198" s="75" t="s">
        <v>485</v>
      </c>
      <c r="E198" s="75" t="s">
        <v>4</v>
      </c>
      <c r="G198" s="76">
        <v>0.25</v>
      </c>
      <c r="L198" s="77"/>
    </row>
    <row r="199" spans="1:75" ht="13.5" customHeight="1">
      <c r="A199" s="1" t="s">
        <v>486</v>
      </c>
      <c r="B199" s="2" t="s">
        <v>84</v>
      </c>
      <c r="C199" s="2" t="s">
        <v>487</v>
      </c>
      <c r="D199" s="108" t="s">
        <v>488</v>
      </c>
      <c r="E199" s="103"/>
      <c r="F199" s="2" t="s">
        <v>263</v>
      </c>
      <c r="G199" s="38">
        <v>0.75</v>
      </c>
      <c r="H199" s="70">
        <v>0</v>
      </c>
      <c r="I199" s="38">
        <f>G199*H199</f>
        <v>0</v>
      </c>
      <c r="J199" s="38">
        <v>0.0739</v>
      </c>
      <c r="K199" s="38">
        <f>G199*J199</f>
        <v>0.055424999999999995</v>
      </c>
      <c r="L199" s="71" t="s">
        <v>136</v>
      </c>
      <c r="Z199" s="38">
        <f>IF(AQ199="5",BJ199,0)</f>
        <v>0</v>
      </c>
      <c r="AB199" s="38">
        <f>IF(AQ199="1",BH199,0)</f>
        <v>0</v>
      </c>
      <c r="AC199" s="38">
        <f>IF(AQ199="1",BI199,0)</f>
        <v>0</v>
      </c>
      <c r="AD199" s="38">
        <f>IF(AQ199="7",BH199,0)</f>
        <v>0</v>
      </c>
      <c r="AE199" s="38">
        <f>IF(AQ199="7",BI199,0)</f>
        <v>0</v>
      </c>
      <c r="AF199" s="38">
        <f>IF(AQ199="2",BH199,0)</f>
        <v>0</v>
      </c>
      <c r="AG199" s="38">
        <f>IF(AQ199="2",BI199,0)</f>
        <v>0</v>
      </c>
      <c r="AH199" s="38">
        <f>IF(AQ199="0",BJ199,0)</f>
        <v>0</v>
      </c>
      <c r="AI199" s="50" t="s">
        <v>84</v>
      </c>
      <c r="AJ199" s="38">
        <f>IF(AN199=0,I199,0)</f>
        <v>0</v>
      </c>
      <c r="AK199" s="38">
        <f>IF(AN199=12,I199,0)</f>
        <v>0</v>
      </c>
      <c r="AL199" s="38">
        <f>IF(AN199=21,I199,0)</f>
        <v>0</v>
      </c>
      <c r="AN199" s="38">
        <v>21</v>
      </c>
      <c r="AO199" s="38">
        <f>H199*0.171497845</f>
        <v>0</v>
      </c>
      <c r="AP199" s="38">
        <f>H199*(1-0.171497845)</f>
        <v>0</v>
      </c>
      <c r="AQ199" s="72" t="s">
        <v>132</v>
      </c>
      <c r="AV199" s="38">
        <f>AW199+AX199</f>
        <v>0</v>
      </c>
      <c r="AW199" s="38">
        <f>G199*AO199</f>
        <v>0</v>
      </c>
      <c r="AX199" s="38">
        <f>G199*AP199</f>
        <v>0</v>
      </c>
      <c r="AY199" s="72" t="s">
        <v>484</v>
      </c>
      <c r="AZ199" s="72" t="s">
        <v>477</v>
      </c>
      <c r="BA199" s="50" t="s">
        <v>139</v>
      </c>
      <c r="BB199" s="73">
        <v>100041</v>
      </c>
      <c r="BC199" s="38">
        <f>AW199+AX199</f>
        <v>0</v>
      </c>
      <c r="BD199" s="38">
        <f>H199/(100-BE199)*100</f>
        <v>0</v>
      </c>
      <c r="BE199" s="38">
        <v>0</v>
      </c>
      <c r="BF199" s="38">
        <f>K199</f>
        <v>0.055424999999999995</v>
      </c>
      <c r="BH199" s="38">
        <f>G199*AO199</f>
        <v>0</v>
      </c>
      <c r="BI199" s="38">
        <f>G199*AP199</f>
        <v>0</v>
      </c>
      <c r="BJ199" s="38">
        <f>G199*H199</f>
        <v>0</v>
      </c>
      <c r="BK199" s="38"/>
      <c r="BL199" s="38">
        <v>59</v>
      </c>
      <c r="BW199" s="38">
        <v>21</v>
      </c>
    </row>
    <row r="200" spans="1:12" ht="13.5" customHeight="1">
      <c r="A200" s="74"/>
      <c r="D200" s="194" t="s">
        <v>489</v>
      </c>
      <c r="E200" s="195"/>
      <c r="F200" s="195"/>
      <c r="G200" s="195"/>
      <c r="H200" s="196"/>
      <c r="I200" s="195"/>
      <c r="J200" s="195"/>
      <c r="K200" s="195"/>
      <c r="L200" s="197"/>
    </row>
    <row r="201" spans="1:12" ht="15">
      <c r="A201" s="74"/>
      <c r="D201" s="75" t="s">
        <v>490</v>
      </c>
      <c r="E201" s="75" t="s">
        <v>4</v>
      </c>
      <c r="G201" s="76">
        <v>0.75</v>
      </c>
      <c r="L201" s="77"/>
    </row>
    <row r="202" spans="1:75" ht="13.5" customHeight="1">
      <c r="A202" s="78" t="s">
        <v>491</v>
      </c>
      <c r="B202" s="79" t="s">
        <v>84</v>
      </c>
      <c r="C202" s="79" t="s">
        <v>492</v>
      </c>
      <c r="D202" s="198" t="s">
        <v>493</v>
      </c>
      <c r="E202" s="199"/>
      <c r="F202" s="79" t="s">
        <v>263</v>
      </c>
      <c r="G202" s="80">
        <v>1.05</v>
      </c>
      <c r="H202" s="81">
        <v>0</v>
      </c>
      <c r="I202" s="80">
        <f>G202*H202</f>
        <v>0</v>
      </c>
      <c r="J202" s="80">
        <v>0.129</v>
      </c>
      <c r="K202" s="80">
        <f>G202*J202</f>
        <v>0.13545000000000001</v>
      </c>
      <c r="L202" s="82" t="s">
        <v>136</v>
      </c>
      <c r="Z202" s="38">
        <f>IF(AQ202="5",BJ202,0)</f>
        <v>0</v>
      </c>
      <c r="AB202" s="38">
        <f>IF(AQ202="1",BH202,0)</f>
        <v>0</v>
      </c>
      <c r="AC202" s="38">
        <f>IF(AQ202="1",BI202,0)</f>
        <v>0</v>
      </c>
      <c r="AD202" s="38">
        <f>IF(AQ202="7",BH202,0)</f>
        <v>0</v>
      </c>
      <c r="AE202" s="38">
        <f>IF(AQ202="7",BI202,0)</f>
        <v>0</v>
      </c>
      <c r="AF202" s="38">
        <f>IF(AQ202="2",BH202,0)</f>
        <v>0</v>
      </c>
      <c r="AG202" s="38">
        <f>IF(AQ202="2",BI202,0)</f>
        <v>0</v>
      </c>
      <c r="AH202" s="38">
        <f>IF(AQ202="0",BJ202,0)</f>
        <v>0</v>
      </c>
      <c r="AI202" s="50" t="s">
        <v>84</v>
      </c>
      <c r="AJ202" s="80">
        <f>IF(AN202=0,I202,0)</f>
        <v>0</v>
      </c>
      <c r="AK202" s="80">
        <f>IF(AN202=12,I202,0)</f>
        <v>0</v>
      </c>
      <c r="AL202" s="80">
        <f>IF(AN202=21,I202,0)</f>
        <v>0</v>
      </c>
      <c r="AN202" s="38">
        <v>21</v>
      </c>
      <c r="AO202" s="38">
        <f>H202*1</f>
        <v>0</v>
      </c>
      <c r="AP202" s="38">
        <f>H202*(1-1)</f>
        <v>0</v>
      </c>
      <c r="AQ202" s="83" t="s">
        <v>132</v>
      </c>
      <c r="AV202" s="38">
        <f>AW202+AX202</f>
        <v>0</v>
      </c>
      <c r="AW202" s="38">
        <f>G202*AO202</f>
        <v>0</v>
      </c>
      <c r="AX202" s="38">
        <f>G202*AP202</f>
        <v>0</v>
      </c>
      <c r="AY202" s="72" t="s">
        <v>484</v>
      </c>
      <c r="AZ202" s="72" t="s">
        <v>477</v>
      </c>
      <c r="BA202" s="50" t="s">
        <v>139</v>
      </c>
      <c r="BC202" s="38">
        <f>AW202+AX202</f>
        <v>0</v>
      </c>
      <c r="BD202" s="38">
        <f>H202/(100-BE202)*100</f>
        <v>0</v>
      </c>
      <c r="BE202" s="38">
        <v>0</v>
      </c>
      <c r="BF202" s="38">
        <f>K202</f>
        <v>0.13545000000000001</v>
      </c>
      <c r="BH202" s="80">
        <f>G202*AO202</f>
        <v>0</v>
      </c>
      <c r="BI202" s="80">
        <f>G202*AP202</f>
        <v>0</v>
      </c>
      <c r="BJ202" s="80">
        <f>G202*H202</f>
        <v>0</v>
      </c>
      <c r="BK202" s="80"/>
      <c r="BL202" s="38">
        <v>59</v>
      </c>
      <c r="BW202" s="38">
        <v>21</v>
      </c>
    </row>
    <row r="203" spans="1:12" ht="15">
      <c r="A203" s="74"/>
      <c r="D203" s="75" t="s">
        <v>494</v>
      </c>
      <c r="E203" s="75" t="s">
        <v>4</v>
      </c>
      <c r="G203" s="76">
        <v>1</v>
      </c>
      <c r="L203" s="77"/>
    </row>
    <row r="204" spans="1:12" ht="15">
      <c r="A204" s="74"/>
      <c r="D204" s="75" t="s">
        <v>495</v>
      </c>
      <c r="E204" s="75" t="s">
        <v>4</v>
      </c>
      <c r="G204" s="76">
        <v>0.05</v>
      </c>
      <c r="L204" s="77"/>
    </row>
    <row r="205" spans="1:75" ht="13.5" customHeight="1">
      <c r="A205" s="1" t="s">
        <v>496</v>
      </c>
      <c r="B205" s="2" t="s">
        <v>84</v>
      </c>
      <c r="C205" s="2" t="s">
        <v>497</v>
      </c>
      <c r="D205" s="108" t="s">
        <v>498</v>
      </c>
      <c r="E205" s="103"/>
      <c r="F205" s="2" t="s">
        <v>214</v>
      </c>
      <c r="G205" s="38">
        <v>4</v>
      </c>
      <c r="H205" s="70">
        <v>0</v>
      </c>
      <c r="I205" s="38">
        <f>G205*H205</f>
        <v>0</v>
      </c>
      <c r="J205" s="38">
        <v>0.00033</v>
      </c>
      <c r="K205" s="38">
        <f>G205*J205</f>
        <v>0.00132</v>
      </c>
      <c r="L205" s="71" t="s">
        <v>136</v>
      </c>
      <c r="Z205" s="38">
        <f>IF(AQ205="5",BJ205,0)</f>
        <v>0</v>
      </c>
      <c r="AB205" s="38">
        <f>IF(AQ205="1",BH205,0)</f>
        <v>0</v>
      </c>
      <c r="AC205" s="38">
        <f>IF(AQ205="1",BI205,0)</f>
        <v>0</v>
      </c>
      <c r="AD205" s="38">
        <f>IF(AQ205="7",BH205,0)</f>
        <v>0</v>
      </c>
      <c r="AE205" s="38">
        <f>IF(AQ205="7",BI205,0)</f>
        <v>0</v>
      </c>
      <c r="AF205" s="38">
        <f>IF(AQ205="2",BH205,0)</f>
        <v>0</v>
      </c>
      <c r="AG205" s="38">
        <f>IF(AQ205="2",BI205,0)</f>
        <v>0</v>
      </c>
      <c r="AH205" s="38">
        <f>IF(AQ205="0",BJ205,0)</f>
        <v>0</v>
      </c>
      <c r="AI205" s="50" t="s">
        <v>84</v>
      </c>
      <c r="AJ205" s="38">
        <f>IF(AN205=0,I205,0)</f>
        <v>0</v>
      </c>
      <c r="AK205" s="38">
        <f>IF(AN205=12,I205,0)</f>
        <v>0</v>
      </c>
      <c r="AL205" s="38">
        <f>IF(AN205=21,I205,0)</f>
        <v>0</v>
      </c>
      <c r="AN205" s="38">
        <v>21</v>
      </c>
      <c r="AO205" s="38">
        <f>H205*0.051525424</f>
        <v>0</v>
      </c>
      <c r="AP205" s="38">
        <f>H205*(1-0.051525424)</f>
        <v>0</v>
      </c>
      <c r="AQ205" s="72" t="s">
        <v>132</v>
      </c>
      <c r="AV205" s="38">
        <f>AW205+AX205</f>
        <v>0</v>
      </c>
      <c r="AW205" s="38">
        <f>G205*AO205</f>
        <v>0</v>
      </c>
      <c r="AX205" s="38">
        <f>G205*AP205</f>
        <v>0</v>
      </c>
      <c r="AY205" s="72" t="s">
        <v>484</v>
      </c>
      <c r="AZ205" s="72" t="s">
        <v>477</v>
      </c>
      <c r="BA205" s="50" t="s">
        <v>139</v>
      </c>
      <c r="BB205" s="73">
        <v>100041</v>
      </c>
      <c r="BC205" s="38">
        <f>AW205+AX205</f>
        <v>0</v>
      </c>
      <c r="BD205" s="38">
        <f>H205/(100-BE205)*100</f>
        <v>0</v>
      </c>
      <c r="BE205" s="38">
        <v>0</v>
      </c>
      <c r="BF205" s="38">
        <f>K205</f>
        <v>0.00132</v>
      </c>
      <c r="BH205" s="38">
        <f>G205*AO205</f>
        <v>0</v>
      </c>
      <c r="BI205" s="38">
        <f>G205*AP205</f>
        <v>0</v>
      </c>
      <c r="BJ205" s="38">
        <f>G205*H205</f>
        <v>0</v>
      </c>
      <c r="BK205" s="38"/>
      <c r="BL205" s="38">
        <v>59</v>
      </c>
      <c r="BW205" s="38">
        <v>21</v>
      </c>
    </row>
    <row r="206" spans="1:12" ht="15">
      <c r="A206" s="74"/>
      <c r="D206" s="75" t="s">
        <v>157</v>
      </c>
      <c r="E206" s="75" t="s">
        <v>4</v>
      </c>
      <c r="G206" s="76">
        <v>4</v>
      </c>
      <c r="L206" s="77"/>
    </row>
    <row r="207" spans="1:75" ht="13.5" customHeight="1">
      <c r="A207" s="1" t="s">
        <v>499</v>
      </c>
      <c r="B207" s="2" t="s">
        <v>84</v>
      </c>
      <c r="C207" s="2" t="s">
        <v>500</v>
      </c>
      <c r="D207" s="108" t="s">
        <v>501</v>
      </c>
      <c r="E207" s="103"/>
      <c r="F207" s="2" t="s">
        <v>214</v>
      </c>
      <c r="G207" s="38">
        <v>1.8</v>
      </c>
      <c r="H207" s="70">
        <v>0</v>
      </c>
      <c r="I207" s="38">
        <f>G207*H207</f>
        <v>0</v>
      </c>
      <c r="J207" s="38">
        <v>0.12405</v>
      </c>
      <c r="K207" s="38">
        <f>G207*J207</f>
        <v>0.22329</v>
      </c>
      <c r="L207" s="71" t="s">
        <v>136</v>
      </c>
      <c r="Z207" s="38">
        <f>IF(AQ207="5",BJ207,0)</f>
        <v>0</v>
      </c>
      <c r="AB207" s="38">
        <f>IF(AQ207="1",BH207,0)</f>
        <v>0</v>
      </c>
      <c r="AC207" s="38">
        <f>IF(AQ207="1",BI207,0)</f>
        <v>0</v>
      </c>
      <c r="AD207" s="38">
        <f>IF(AQ207="7",BH207,0)</f>
        <v>0</v>
      </c>
      <c r="AE207" s="38">
        <f>IF(AQ207="7",BI207,0)</f>
        <v>0</v>
      </c>
      <c r="AF207" s="38">
        <f>IF(AQ207="2",BH207,0)</f>
        <v>0</v>
      </c>
      <c r="AG207" s="38">
        <f>IF(AQ207="2",BI207,0)</f>
        <v>0</v>
      </c>
      <c r="AH207" s="38">
        <f>IF(AQ207="0",BJ207,0)</f>
        <v>0</v>
      </c>
      <c r="AI207" s="50" t="s">
        <v>84</v>
      </c>
      <c r="AJ207" s="38">
        <f>IF(AN207=0,I207,0)</f>
        <v>0</v>
      </c>
      <c r="AK207" s="38">
        <f>IF(AN207=12,I207,0)</f>
        <v>0</v>
      </c>
      <c r="AL207" s="38">
        <f>IF(AN207=21,I207,0)</f>
        <v>0</v>
      </c>
      <c r="AN207" s="38">
        <v>21</v>
      </c>
      <c r="AO207" s="38">
        <f>H207*0.848714286</f>
        <v>0</v>
      </c>
      <c r="AP207" s="38">
        <f>H207*(1-0.848714286)</f>
        <v>0</v>
      </c>
      <c r="AQ207" s="72" t="s">
        <v>132</v>
      </c>
      <c r="AV207" s="38">
        <f>AW207+AX207</f>
        <v>0</v>
      </c>
      <c r="AW207" s="38">
        <f>G207*AO207</f>
        <v>0</v>
      </c>
      <c r="AX207" s="38">
        <f>G207*AP207</f>
        <v>0</v>
      </c>
      <c r="AY207" s="72" t="s">
        <v>484</v>
      </c>
      <c r="AZ207" s="72" t="s">
        <v>477</v>
      </c>
      <c r="BA207" s="50" t="s">
        <v>139</v>
      </c>
      <c r="BB207" s="73">
        <v>100041</v>
      </c>
      <c r="BC207" s="38">
        <f>AW207+AX207</f>
        <v>0</v>
      </c>
      <c r="BD207" s="38">
        <f>H207/(100-BE207)*100</f>
        <v>0</v>
      </c>
      <c r="BE207" s="38">
        <v>0</v>
      </c>
      <c r="BF207" s="38">
        <f>K207</f>
        <v>0.22329</v>
      </c>
      <c r="BH207" s="38">
        <f>G207*AO207</f>
        <v>0</v>
      </c>
      <c r="BI207" s="38">
        <f>G207*AP207</f>
        <v>0</v>
      </c>
      <c r="BJ207" s="38">
        <f>G207*H207</f>
        <v>0</v>
      </c>
      <c r="BK207" s="38"/>
      <c r="BL207" s="38">
        <v>59</v>
      </c>
      <c r="BW207" s="38">
        <v>21</v>
      </c>
    </row>
    <row r="208" spans="1:12" ht="13.5" customHeight="1">
      <c r="A208" s="74"/>
      <c r="D208" s="194" t="s">
        <v>502</v>
      </c>
      <c r="E208" s="195"/>
      <c r="F208" s="195"/>
      <c r="G208" s="195"/>
      <c r="H208" s="196"/>
      <c r="I208" s="195"/>
      <c r="J208" s="195"/>
      <c r="K208" s="195"/>
      <c r="L208" s="197"/>
    </row>
    <row r="209" spans="1:12" ht="15">
      <c r="A209" s="74"/>
      <c r="D209" s="75" t="s">
        <v>467</v>
      </c>
      <c r="E209" s="75" t="s">
        <v>4</v>
      </c>
      <c r="G209" s="76">
        <v>1.8</v>
      </c>
      <c r="L209" s="77"/>
    </row>
    <row r="210" spans="1:75" ht="13.5" customHeight="1">
      <c r="A210" s="1" t="s">
        <v>503</v>
      </c>
      <c r="B210" s="2" t="s">
        <v>84</v>
      </c>
      <c r="C210" s="2" t="s">
        <v>504</v>
      </c>
      <c r="D210" s="108" t="s">
        <v>505</v>
      </c>
      <c r="E210" s="103"/>
      <c r="F210" s="2" t="s">
        <v>199</v>
      </c>
      <c r="G210" s="38">
        <v>1</v>
      </c>
      <c r="H210" s="70">
        <v>0</v>
      </c>
      <c r="I210" s="38">
        <f>G210*H210</f>
        <v>0</v>
      </c>
      <c r="J210" s="38">
        <v>0.12965</v>
      </c>
      <c r="K210" s="38">
        <f>G210*J210</f>
        <v>0.12965</v>
      </c>
      <c r="L210" s="71" t="s">
        <v>136</v>
      </c>
      <c r="Z210" s="38">
        <f>IF(AQ210="5",BJ210,0)</f>
        <v>0</v>
      </c>
      <c r="AB210" s="38">
        <f>IF(AQ210="1",BH210,0)</f>
        <v>0</v>
      </c>
      <c r="AC210" s="38">
        <f>IF(AQ210="1",BI210,0)</f>
        <v>0</v>
      </c>
      <c r="AD210" s="38">
        <f>IF(AQ210="7",BH210,0)</f>
        <v>0</v>
      </c>
      <c r="AE210" s="38">
        <f>IF(AQ210="7",BI210,0)</f>
        <v>0</v>
      </c>
      <c r="AF210" s="38">
        <f>IF(AQ210="2",BH210,0)</f>
        <v>0</v>
      </c>
      <c r="AG210" s="38">
        <f>IF(AQ210="2",BI210,0)</f>
        <v>0</v>
      </c>
      <c r="AH210" s="38">
        <f>IF(AQ210="0",BJ210,0)</f>
        <v>0</v>
      </c>
      <c r="AI210" s="50" t="s">
        <v>84</v>
      </c>
      <c r="AJ210" s="38">
        <f>IF(AN210=0,I210,0)</f>
        <v>0</v>
      </c>
      <c r="AK210" s="38">
        <f>IF(AN210=12,I210,0)</f>
        <v>0</v>
      </c>
      <c r="AL210" s="38">
        <f>IF(AN210=21,I210,0)</f>
        <v>0</v>
      </c>
      <c r="AN210" s="38">
        <v>21</v>
      </c>
      <c r="AO210" s="38">
        <f>H210*0.901099029</f>
        <v>0</v>
      </c>
      <c r="AP210" s="38">
        <f>H210*(1-0.901099029)</f>
        <v>0</v>
      </c>
      <c r="AQ210" s="72" t="s">
        <v>132</v>
      </c>
      <c r="AV210" s="38">
        <f>AW210+AX210</f>
        <v>0</v>
      </c>
      <c r="AW210" s="38">
        <f>G210*AO210</f>
        <v>0</v>
      </c>
      <c r="AX210" s="38">
        <f>G210*AP210</f>
        <v>0</v>
      </c>
      <c r="AY210" s="72" t="s">
        <v>484</v>
      </c>
      <c r="AZ210" s="72" t="s">
        <v>477</v>
      </c>
      <c r="BA210" s="50" t="s">
        <v>139</v>
      </c>
      <c r="BB210" s="73">
        <v>100041</v>
      </c>
      <c r="BC210" s="38">
        <f>AW210+AX210</f>
        <v>0</v>
      </c>
      <c r="BD210" s="38">
        <f>H210/(100-BE210)*100</f>
        <v>0</v>
      </c>
      <c r="BE210" s="38">
        <v>0</v>
      </c>
      <c r="BF210" s="38">
        <f>K210</f>
        <v>0.12965</v>
      </c>
      <c r="BH210" s="38">
        <f>G210*AO210</f>
        <v>0</v>
      </c>
      <c r="BI210" s="38">
        <f>G210*AP210</f>
        <v>0</v>
      </c>
      <c r="BJ210" s="38">
        <f>G210*H210</f>
        <v>0</v>
      </c>
      <c r="BK210" s="38"/>
      <c r="BL210" s="38">
        <v>59</v>
      </c>
      <c r="BW210" s="38">
        <v>21</v>
      </c>
    </row>
    <row r="211" spans="1:12" ht="15">
      <c r="A211" s="74"/>
      <c r="D211" s="75" t="s">
        <v>132</v>
      </c>
      <c r="E211" s="75" t="s">
        <v>4</v>
      </c>
      <c r="G211" s="76">
        <v>1</v>
      </c>
      <c r="L211" s="77"/>
    </row>
    <row r="212" spans="1:47" ht="15">
      <c r="A212" s="65" t="s">
        <v>4</v>
      </c>
      <c r="B212" s="66" t="s">
        <v>84</v>
      </c>
      <c r="C212" s="66" t="s">
        <v>473</v>
      </c>
      <c r="D212" s="192" t="s">
        <v>506</v>
      </c>
      <c r="E212" s="193"/>
      <c r="F212" s="67" t="s">
        <v>78</v>
      </c>
      <c r="G212" s="67" t="s">
        <v>78</v>
      </c>
      <c r="H212" s="68" t="s">
        <v>78</v>
      </c>
      <c r="I212" s="44">
        <f>SUM(I213:I233)</f>
        <v>0</v>
      </c>
      <c r="J212" s="50" t="s">
        <v>4</v>
      </c>
      <c r="K212" s="44">
        <f>SUM(K213:K233)</f>
        <v>33.119127</v>
      </c>
      <c r="L212" s="69" t="s">
        <v>4</v>
      </c>
      <c r="AI212" s="50" t="s">
        <v>84</v>
      </c>
      <c r="AS212" s="44">
        <f>SUM(AJ213:AJ233)</f>
        <v>0</v>
      </c>
      <c r="AT212" s="44">
        <f>SUM(AK213:AK233)</f>
        <v>0</v>
      </c>
      <c r="AU212" s="44">
        <f>SUM(AL213:AL233)</f>
        <v>0</v>
      </c>
    </row>
    <row r="213" spans="1:75" ht="13.5" customHeight="1">
      <c r="A213" s="1" t="s">
        <v>507</v>
      </c>
      <c r="B213" s="2" t="s">
        <v>84</v>
      </c>
      <c r="C213" s="2" t="s">
        <v>508</v>
      </c>
      <c r="D213" s="108" t="s">
        <v>509</v>
      </c>
      <c r="E213" s="103"/>
      <c r="F213" s="2" t="s">
        <v>263</v>
      </c>
      <c r="G213" s="38">
        <v>413.69</v>
      </c>
      <c r="H213" s="70">
        <v>0</v>
      </c>
      <c r="I213" s="38">
        <f>G213*H213</f>
        <v>0</v>
      </c>
      <c r="J213" s="38">
        <v>0.0063</v>
      </c>
      <c r="K213" s="38">
        <f>G213*J213</f>
        <v>2.606247</v>
      </c>
      <c r="L213" s="71" t="s">
        <v>136</v>
      </c>
      <c r="Z213" s="38">
        <f>IF(AQ213="5",BJ213,0)</f>
        <v>0</v>
      </c>
      <c r="AB213" s="38">
        <f>IF(AQ213="1",BH213,0)</f>
        <v>0</v>
      </c>
      <c r="AC213" s="38">
        <f>IF(AQ213="1",BI213,0)</f>
        <v>0</v>
      </c>
      <c r="AD213" s="38">
        <f>IF(AQ213="7",BH213,0)</f>
        <v>0</v>
      </c>
      <c r="AE213" s="38">
        <f>IF(AQ213="7",BI213,0)</f>
        <v>0</v>
      </c>
      <c r="AF213" s="38">
        <f>IF(AQ213="2",BH213,0)</f>
        <v>0</v>
      </c>
      <c r="AG213" s="38">
        <f>IF(AQ213="2",BI213,0)</f>
        <v>0</v>
      </c>
      <c r="AH213" s="38">
        <f>IF(AQ213="0",BJ213,0)</f>
        <v>0</v>
      </c>
      <c r="AI213" s="50" t="s">
        <v>84</v>
      </c>
      <c r="AJ213" s="38">
        <f>IF(AN213=0,I213,0)</f>
        <v>0</v>
      </c>
      <c r="AK213" s="38">
        <f>IF(AN213=12,I213,0)</f>
        <v>0</v>
      </c>
      <c r="AL213" s="38">
        <f>IF(AN213=21,I213,0)</f>
        <v>0</v>
      </c>
      <c r="AN213" s="38">
        <v>21</v>
      </c>
      <c r="AO213" s="38">
        <f>H213*0.578351051</f>
        <v>0</v>
      </c>
      <c r="AP213" s="38">
        <f>H213*(1-0.578351051)</f>
        <v>0</v>
      </c>
      <c r="AQ213" s="72" t="s">
        <v>132</v>
      </c>
      <c r="AV213" s="38">
        <f>AW213+AX213</f>
        <v>0</v>
      </c>
      <c r="AW213" s="38">
        <f>G213*AO213</f>
        <v>0</v>
      </c>
      <c r="AX213" s="38">
        <f>G213*AP213</f>
        <v>0</v>
      </c>
      <c r="AY213" s="72" t="s">
        <v>510</v>
      </c>
      <c r="AZ213" s="72" t="s">
        <v>511</v>
      </c>
      <c r="BA213" s="50" t="s">
        <v>139</v>
      </c>
      <c r="BB213" s="73">
        <v>100037</v>
      </c>
      <c r="BC213" s="38">
        <f>AW213+AX213</f>
        <v>0</v>
      </c>
      <c r="BD213" s="38">
        <f>H213/(100-BE213)*100</f>
        <v>0</v>
      </c>
      <c r="BE213" s="38">
        <v>0</v>
      </c>
      <c r="BF213" s="38">
        <f>K213</f>
        <v>2.606247</v>
      </c>
      <c r="BH213" s="38">
        <f>G213*AO213</f>
        <v>0</v>
      </c>
      <c r="BI213" s="38">
        <f>G213*AP213</f>
        <v>0</v>
      </c>
      <c r="BJ213" s="38">
        <f>G213*H213</f>
        <v>0</v>
      </c>
      <c r="BK213" s="38"/>
      <c r="BL213" s="38">
        <v>60</v>
      </c>
      <c r="BW213" s="38">
        <v>21</v>
      </c>
    </row>
    <row r="214" spans="1:12" ht="15">
      <c r="A214" s="74"/>
      <c r="D214" s="75" t="s">
        <v>512</v>
      </c>
      <c r="E214" s="75" t="s">
        <v>513</v>
      </c>
      <c r="G214" s="76">
        <v>71.7</v>
      </c>
      <c r="L214" s="77"/>
    </row>
    <row r="215" spans="1:12" ht="15">
      <c r="A215" s="74"/>
      <c r="D215" s="75" t="s">
        <v>514</v>
      </c>
      <c r="E215" s="75" t="s">
        <v>515</v>
      </c>
      <c r="G215" s="76">
        <v>81.1</v>
      </c>
      <c r="L215" s="77"/>
    </row>
    <row r="216" spans="1:12" ht="15">
      <c r="A216" s="74"/>
      <c r="D216" s="75" t="s">
        <v>516</v>
      </c>
      <c r="E216" s="75" t="s">
        <v>517</v>
      </c>
      <c r="G216" s="76">
        <v>108.1</v>
      </c>
      <c r="L216" s="77"/>
    </row>
    <row r="217" spans="1:12" ht="15">
      <c r="A217" s="74"/>
      <c r="D217" s="75" t="s">
        <v>518</v>
      </c>
      <c r="E217" s="75" t="s">
        <v>519</v>
      </c>
      <c r="G217" s="76">
        <v>59.5</v>
      </c>
      <c r="L217" s="77"/>
    </row>
    <row r="218" spans="1:12" ht="15">
      <c r="A218" s="74"/>
      <c r="D218" s="75" t="s">
        <v>520</v>
      </c>
      <c r="E218" s="75" t="s">
        <v>521</v>
      </c>
      <c r="G218" s="76">
        <v>122.1</v>
      </c>
      <c r="L218" s="77"/>
    </row>
    <row r="219" spans="1:12" ht="15">
      <c r="A219" s="74"/>
      <c r="D219" s="75" t="s">
        <v>522</v>
      </c>
      <c r="E219" s="75" t="s">
        <v>523</v>
      </c>
      <c r="G219" s="76">
        <v>13.54</v>
      </c>
      <c r="L219" s="77"/>
    </row>
    <row r="220" spans="1:12" ht="15">
      <c r="A220" s="74"/>
      <c r="D220" s="75" t="s">
        <v>524</v>
      </c>
      <c r="E220" s="75" t="s">
        <v>525</v>
      </c>
      <c r="G220" s="76">
        <v>-42.35</v>
      </c>
      <c r="L220" s="77"/>
    </row>
    <row r="221" spans="1:75" ht="13.5" customHeight="1">
      <c r="A221" s="1" t="s">
        <v>526</v>
      </c>
      <c r="B221" s="2" t="s">
        <v>84</v>
      </c>
      <c r="C221" s="2" t="s">
        <v>527</v>
      </c>
      <c r="D221" s="108" t="s">
        <v>528</v>
      </c>
      <c r="E221" s="103"/>
      <c r="F221" s="2" t="s">
        <v>263</v>
      </c>
      <c r="G221" s="38">
        <v>413.69</v>
      </c>
      <c r="H221" s="70">
        <v>0</v>
      </c>
      <c r="I221" s="38">
        <f>G221*H221</f>
        <v>0</v>
      </c>
      <c r="J221" s="38">
        <v>0.02625</v>
      </c>
      <c r="K221" s="38">
        <f>G221*J221</f>
        <v>10.8593625</v>
      </c>
      <c r="L221" s="71" t="s">
        <v>136</v>
      </c>
      <c r="Z221" s="38">
        <f>IF(AQ221="5",BJ221,0)</f>
        <v>0</v>
      </c>
      <c r="AB221" s="38">
        <f>IF(AQ221="1",BH221,0)</f>
        <v>0</v>
      </c>
      <c r="AC221" s="38">
        <f>IF(AQ221="1",BI221,0)</f>
        <v>0</v>
      </c>
      <c r="AD221" s="38">
        <f>IF(AQ221="7",BH221,0)</f>
        <v>0</v>
      </c>
      <c r="AE221" s="38">
        <f>IF(AQ221="7",BI221,0)</f>
        <v>0</v>
      </c>
      <c r="AF221" s="38">
        <f>IF(AQ221="2",BH221,0)</f>
        <v>0</v>
      </c>
      <c r="AG221" s="38">
        <f>IF(AQ221="2",BI221,0)</f>
        <v>0</v>
      </c>
      <c r="AH221" s="38">
        <f>IF(AQ221="0",BJ221,0)</f>
        <v>0</v>
      </c>
      <c r="AI221" s="50" t="s">
        <v>84</v>
      </c>
      <c r="AJ221" s="38">
        <f>IF(AN221=0,I221,0)</f>
        <v>0</v>
      </c>
      <c r="AK221" s="38">
        <f>IF(AN221=12,I221,0)</f>
        <v>0</v>
      </c>
      <c r="AL221" s="38">
        <f>IF(AN221=21,I221,0)</f>
        <v>0</v>
      </c>
      <c r="AN221" s="38">
        <v>21</v>
      </c>
      <c r="AO221" s="38">
        <f>H221*0.639451114</f>
        <v>0</v>
      </c>
      <c r="AP221" s="38">
        <f>H221*(1-0.639451114)</f>
        <v>0</v>
      </c>
      <c r="AQ221" s="72" t="s">
        <v>132</v>
      </c>
      <c r="AV221" s="38">
        <f>AW221+AX221</f>
        <v>0</v>
      </c>
      <c r="AW221" s="38">
        <f>G221*AO221</f>
        <v>0</v>
      </c>
      <c r="AX221" s="38">
        <f>G221*AP221</f>
        <v>0</v>
      </c>
      <c r="AY221" s="72" t="s">
        <v>510</v>
      </c>
      <c r="AZ221" s="72" t="s">
        <v>511</v>
      </c>
      <c r="BA221" s="50" t="s">
        <v>139</v>
      </c>
      <c r="BB221" s="73">
        <v>100037</v>
      </c>
      <c r="BC221" s="38">
        <f>AW221+AX221</f>
        <v>0</v>
      </c>
      <c r="BD221" s="38">
        <f>H221/(100-BE221)*100</f>
        <v>0</v>
      </c>
      <c r="BE221" s="38">
        <v>0</v>
      </c>
      <c r="BF221" s="38">
        <f>K221</f>
        <v>10.8593625</v>
      </c>
      <c r="BH221" s="38">
        <f>G221*AO221</f>
        <v>0</v>
      </c>
      <c r="BI221" s="38">
        <f>G221*AP221</f>
        <v>0</v>
      </c>
      <c r="BJ221" s="38">
        <f>G221*H221</f>
        <v>0</v>
      </c>
      <c r="BK221" s="38"/>
      <c r="BL221" s="38">
        <v>60</v>
      </c>
      <c r="BW221" s="38">
        <v>21</v>
      </c>
    </row>
    <row r="222" spans="1:12" ht="13.5" customHeight="1">
      <c r="A222" s="74"/>
      <c r="D222" s="194" t="s">
        <v>529</v>
      </c>
      <c r="E222" s="195"/>
      <c r="F222" s="195"/>
      <c r="G222" s="195"/>
      <c r="H222" s="196"/>
      <c r="I222" s="195"/>
      <c r="J222" s="195"/>
      <c r="K222" s="195"/>
      <c r="L222" s="197"/>
    </row>
    <row r="223" spans="1:12" ht="15">
      <c r="A223" s="74"/>
      <c r="D223" s="75" t="s">
        <v>530</v>
      </c>
      <c r="E223" s="75" t="s">
        <v>4</v>
      </c>
      <c r="G223" s="76">
        <v>413.69</v>
      </c>
      <c r="L223" s="77"/>
    </row>
    <row r="224" spans="1:75" ht="13.5" customHeight="1">
      <c r="A224" s="1" t="s">
        <v>531</v>
      </c>
      <c r="B224" s="2" t="s">
        <v>84</v>
      </c>
      <c r="C224" s="2" t="s">
        <v>532</v>
      </c>
      <c r="D224" s="108" t="s">
        <v>533</v>
      </c>
      <c r="E224" s="103"/>
      <c r="F224" s="2" t="s">
        <v>263</v>
      </c>
      <c r="G224" s="38">
        <v>413.69</v>
      </c>
      <c r="H224" s="70">
        <v>0</v>
      </c>
      <c r="I224" s="38">
        <f>G224*H224</f>
        <v>0</v>
      </c>
      <c r="J224" s="38">
        <v>0.041</v>
      </c>
      <c r="K224" s="38">
        <f>G224*J224</f>
        <v>16.96129</v>
      </c>
      <c r="L224" s="71" t="s">
        <v>136</v>
      </c>
      <c r="Z224" s="38">
        <f>IF(AQ224="5",BJ224,0)</f>
        <v>0</v>
      </c>
      <c r="AB224" s="38">
        <f>IF(AQ224="1",BH224,0)</f>
        <v>0</v>
      </c>
      <c r="AC224" s="38">
        <f>IF(AQ224="1",BI224,0)</f>
        <v>0</v>
      </c>
      <c r="AD224" s="38">
        <f>IF(AQ224="7",BH224,0)</f>
        <v>0</v>
      </c>
      <c r="AE224" s="38">
        <f>IF(AQ224="7",BI224,0)</f>
        <v>0</v>
      </c>
      <c r="AF224" s="38">
        <f>IF(AQ224="2",BH224,0)</f>
        <v>0</v>
      </c>
      <c r="AG224" s="38">
        <f>IF(AQ224="2",BI224,0)</f>
        <v>0</v>
      </c>
      <c r="AH224" s="38">
        <f>IF(AQ224="0",BJ224,0)</f>
        <v>0</v>
      </c>
      <c r="AI224" s="50" t="s">
        <v>84</v>
      </c>
      <c r="AJ224" s="38">
        <f>IF(AN224=0,I224,0)</f>
        <v>0</v>
      </c>
      <c r="AK224" s="38">
        <f>IF(AN224=12,I224,0)</f>
        <v>0</v>
      </c>
      <c r="AL224" s="38">
        <f>IF(AN224=21,I224,0)</f>
        <v>0</v>
      </c>
      <c r="AN224" s="38">
        <v>21</v>
      </c>
      <c r="AO224" s="38">
        <f>H224*0.616081313</f>
        <v>0</v>
      </c>
      <c r="AP224" s="38">
        <f>H224*(1-0.616081313)</f>
        <v>0</v>
      </c>
      <c r="AQ224" s="72" t="s">
        <v>132</v>
      </c>
      <c r="AV224" s="38">
        <f>AW224+AX224</f>
        <v>0</v>
      </c>
      <c r="AW224" s="38">
        <f>G224*AO224</f>
        <v>0</v>
      </c>
      <c r="AX224" s="38">
        <f>G224*AP224</f>
        <v>0</v>
      </c>
      <c r="AY224" s="72" t="s">
        <v>510</v>
      </c>
      <c r="AZ224" s="72" t="s">
        <v>511</v>
      </c>
      <c r="BA224" s="50" t="s">
        <v>139</v>
      </c>
      <c r="BB224" s="73">
        <v>100037</v>
      </c>
      <c r="BC224" s="38">
        <f>AW224+AX224</f>
        <v>0</v>
      </c>
      <c r="BD224" s="38">
        <f>H224/(100-BE224)*100</f>
        <v>0</v>
      </c>
      <c r="BE224" s="38">
        <v>0</v>
      </c>
      <c r="BF224" s="38">
        <f>K224</f>
        <v>16.96129</v>
      </c>
      <c r="BH224" s="38">
        <f>G224*AO224</f>
        <v>0</v>
      </c>
      <c r="BI224" s="38">
        <f>G224*AP224</f>
        <v>0</v>
      </c>
      <c r="BJ224" s="38">
        <f>G224*H224</f>
        <v>0</v>
      </c>
      <c r="BK224" s="38"/>
      <c r="BL224" s="38">
        <v>60</v>
      </c>
      <c r="BW224" s="38">
        <v>21</v>
      </c>
    </row>
    <row r="225" spans="1:12" ht="13.5" customHeight="1">
      <c r="A225" s="74"/>
      <c r="D225" s="194" t="s">
        <v>529</v>
      </c>
      <c r="E225" s="195"/>
      <c r="F225" s="195"/>
      <c r="G225" s="195"/>
      <c r="H225" s="196"/>
      <c r="I225" s="195"/>
      <c r="J225" s="195"/>
      <c r="K225" s="195"/>
      <c r="L225" s="197"/>
    </row>
    <row r="226" spans="1:12" ht="15">
      <c r="A226" s="74"/>
      <c r="D226" s="75" t="s">
        <v>530</v>
      </c>
      <c r="E226" s="75" t="s">
        <v>4</v>
      </c>
      <c r="G226" s="76">
        <v>413.69</v>
      </c>
      <c r="L226" s="77"/>
    </row>
    <row r="227" spans="1:75" ht="27" customHeight="1">
      <c r="A227" s="1" t="s">
        <v>534</v>
      </c>
      <c r="B227" s="2" t="s">
        <v>84</v>
      </c>
      <c r="C227" s="2" t="s">
        <v>535</v>
      </c>
      <c r="D227" s="108" t="s">
        <v>536</v>
      </c>
      <c r="E227" s="103"/>
      <c r="F227" s="2" t="s">
        <v>263</v>
      </c>
      <c r="G227" s="38">
        <v>42.35</v>
      </c>
      <c r="H227" s="70">
        <v>0</v>
      </c>
      <c r="I227" s="38">
        <f>G227*H227</f>
        <v>0</v>
      </c>
      <c r="J227" s="38">
        <v>0.03665</v>
      </c>
      <c r="K227" s="38">
        <f>G227*J227</f>
        <v>1.5521275</v>
      </c>
      <c r="L227" s="71" t="s">
        <v>207</v>
      </c>
      <c r="Z227" s="38">
        <f>IF(AQ227="5",BJ227,0)</f>
        <v>0</v>
      </c>
      <c r="AB227" s="38">
        <f>IF(AQ227="1",BH227,0)</f>
        <v>0</v>
      </c>
      <c r="AC227" s="38">
        <f>IF(AQ227="1",BI227,0)</f>
        <v>0</v>
      </c>
      <c r="AD227" s="38">
        <f>IF(AQ227="7",BH227,0)</f>
        <v>0</v>
      </c>
      <c r="AE227" s="38">
        <f>IF(AQ227="7",BI227,0)</f>
        <v>0</v>
      </c>
      <c r="AF227" s="38">
        <f>IF(AQ227="2",BH227,0)</f>
        <v>0</v>
      </c>
      <c r="AG227" s="38">
        <f>IF(AQ227="2",BI227,0)</f>
        <v>0</v>
      </c>
      <c r="AH227" s="38">
        <f>IF(AQ227="0",BJ227,0)</f>
        <v>0</v>
      </c>
      <c r="AI227" s="50" t="s">
        <v>84</v>
      </c>
      <c r="AJ227" s="38">
        <f>IF(AN227=0,I227,0)</f>
        <v>0</v>
      </c>
      <c r="AK227" s="38">
        <f>IF(AN227=12,I227,0)</f>
        <v>0</v>
      </c>
      <c r="AL227" s="38">
        <f>IF(AN227=21,I227,0)</f>
        <v>0</v>
      </c>
      <c r="AN227" s="38">
        <v>21</v>
      </c>
      <c r="AO227" s="38">
        <f>H227*0.796958741</f>
        <v>0</v>
      </c>
      <c r="AP227" s="38">
        <f>H227*(1-0.796958741)</f>
        <v>0</v>
      </c>
      <c r="AQ227" s="72" t="s">
        <v>132</v>
      </c>
      <c r="AV227" s="38">
        <f>AW227+AX227</f>
        <v>0</v>
      </c>
      <c r="AW227" s="38">
        <f>G227*AO227</f>
        <v>0</v>
      </c>
      <c r="AX227" s="38">
        <f>G227*AP227</f>
        <v>0</v>
      </c>
      <c r="AY227" s="72" t="s">
        <v>510</v>
      </c>
      <c r="AZ227" s="72" t="s">
        <v>511</v>
      </c>
      <c r="BA227" s="50" t="s">
        <v>139</v>
      </c>
      <c r="BB227" s="73">
        <v>100037</v>
      </c>
      <c r="BC227" s="38">
        <f>AW227+AX227</f>
        <v>0</v>
      </c>
      <c r="BD227" s="38">
        <f>H227/(100-BE227)*100</f>
        <v>0</v>
      </c>
      <c r="BE227" s="38">
        <v>0</v>
      </c>
      <c r="BF227" s="38">
        <f>K227</f>
        <v>1.5521275</v>
      </c>
      <c r="BH227" s="38">
        <f>G227*AO227</f>
        <v>0</v>
      </c>
      <c r="BI227" s="38">
        <f>G227*AP227</f>
        <v>0</v>
      </c>
      <c r="BJ227" s="38">
        <f>G227*H227</f>
        <v>0</v>
      </c>
      <c r="BK227" s="38"/>
      <c r="BL227" s="38">
        <v>60</v>
      </c>
      <c r="BW227" s="38">
        <v>21</v>
      </c>
    </row>
    <row r="228" spans="1:12" ht="13.5" customHeight="1">
      <c r="A228" s="74"/>
      <c r="D228" s="194" t="s">
        <v>537</v>
      </c>
      <c r="E228" s="195"/>
      <c r="F228" s="195"/>
      <c r="G228" s="195"/>
      <c r="H228" s="196"/>
      <c r="I228" s="195"/>
      <c r="J228" s="195"/>
      <c r="K228" s="195"/>
      <c r="L228" s="197"/>
    </row>
    <row r="229" spans="1:12" ht="15">
      <c r="A229" s="74"/>
      <c r="D229" s="75" t="s">
        <v>538</v>
      </c>
      <c r="E229" s="75" t="s">
        <v>539</v>
      </c>
      <c r="G229" s="76">
        <v>3.85</v>
      </c>
      <c r="L229" s="77"/>
    </row>
    <row r="230" spans="1:12" ht="15">
      <c r="A230" s="74"/>
      <c r="D230" s="75" t="s">
        <v>540</v>
      </c>
      <c r="E230" s="75" t="s">
        <v>541</v>
      </c>
      <c r="G230" s="76">
        <v>7.7</v>
      </c>
      <c r="L230" s="77"/>
    </row>
    <row r="231" spans="1:12" ht="15">
      <c r="A231" s="74"/>
      <c r="D231" s="75" t="s">
        <v>542</v>
      </c>
      <c r="E231" s="75" t="s">
        <v>543</v>
      </c>
      <c r="G231" s="76">
        <v>11.55</v>
      </c>
      <c r="L231" s="77"/>
    </row>
    <row r="232" spans="1:12" ht="15">
      <c r="A232" s="74"/>
      <c r="D232" s="75" t="s">
        <v>544</v>
      </c>
      <c r="E232" s="75" t="s">
        <v>545</v>
      </c>
      <c r="G232" s="76">
        <v>19.25</v>
      </c>
      <c r="L232" s="77"/>
    </row>
    <row r="233" spans="1:75" ht="13.5" customHeight="1">
      <c r="A233" s="1" t="s">
        <v>546</v>
      </c>
      <c r="B233" s="2" t="s">
        <v>84</v>
      </c>
      <c r="C233" s="2" t="s">
        <v>547</v>
      </c>
      <c r="D233" s="108" t="s">
        <v>548</v>
      </c>
      <c r="E233" s="103"/>
      <c r="F233" s="2" t="s">
        <v>263</v>
      </c>
      <c r="G233" s="38">
        <v>456.04</v>
      </c>
      <c r="H233" s="70">
        <v>0</v>
      </c>
      <c r="I233" s="38">
        <f>G233*H233</f>
        <v>0</v>
      </c>
      <c r="J233" s="38">
        <v>0.0025</v>
      </c>
      <c r="K233" s="38">
        <f>G233*J233</f>
        <v>1.1401000000000001</v>
      </c>
      <c r="L233" s="71" t="s">
        <v>136</v>
      </c>
      <c r="Z233" s="38">
        <f>IF(AQ233="5",BJ233,0)</f>
        <v>0</v>
      </c>
      <c r="AB233" s="38">
        <f>IF(AQ233="1",BH233,0)</f>
        <v>0</v>
      </c>
      <c r="AC233" s="38">
        <f>IF(AQ233="1",BI233,0)</f>
        <v>0</v>
      </c>
      <c r="AD233" s="38">
        <f>IF(AQ233="7",BH233,0)</f>
        <v>0</v>
      </c>
      <c r="AE233" s="38">
        <f>IF(AQ233="7",BI233,0)</f>
        <v>0</v>
      </c>
      <c r="AF233" s="38">
        <f>IF(AQ233="2",BH233,0)</f>
        <v>0</v>
      </c>
      <c r="AG233" s="38">
        <f>IF(AQ233="2",BI233,0)</f>
        <v>0</v>
      </c>
      <c r="AH233" s="38">
        <f>IF(AQ233="0",BJ233,0)</f>
        <v>0</v>
      </c>
      <c r="AI233" s="50" t="s">
        <v>84</v>
      </c>
      <c r="AJ233" s="38">
        <f>IF(AN233=0,I233,0)</f>
        <v>0</v>
      </c>
      <c r="AK233" s="38">
        <f>IF(AN233=12,I233,0)</f>
        <v>0</v>
      </c>
      <c r="AL233" s="38">
        <f>IF(AN233=21,I233,0)</f>
        <v>0</v>
      </c>
      <c r="AN233" s="38">
        <v>21</v>
      </c>
      <c r="AO233" s="38">
        <f>H233*0.213407489</f>
        <v>0</v>
      </c>
      <c r="AP233" s="38">
        <f>H233*(1-0.213407489)</f>
        <v>0</v>
      </c>
      <c r="AQ233" s="72" t="s">
        <v>132</v>
      </c>
      <c r="AV233" s="38">
        <f>AW233+AX233</f>
        <v>0</v>
      </c>
      <c r="AW233" s="38">
        <f>G233*AO233</f>
        <v>0</v>
      </c>
      <c r="AX233" s="38">
        <f>G233*AP233</f>
        <v>0</v>
      </c>
      <c r="AY233" s="72" t="s">
        <v>510</v>
      </c>
      <c r="AZ233" s="72" t="s">
        <v>511</v>
      </c>
      <c r="BA233" s="50" t="s">
        <v>139</v>
      </c>
      <c r="BB233" s="73">
        <v>100037</v>
      </c>
      <c r="BC233" s="38">
        <f>AW233+AX233</f>
        <v>0</v>
      </c>
      <c r="BD233" s="38">
        <f>H233/(100-BE233)*100</f>
        <v>0</v>
      </c>
      <c r="BE233" s="38">
        <v>0</v>
      </c>
      <c r="BF233" s="38">
        <f>K233</f>
        <v>1.1401000000000001</v>
      </c>
      <c r="BH233" s="38">
        <f>G233*AO233</f>
        <v>0</v>
      </c>
      <c r="BI233" s="38">
        <f>G233*AP233</f>
        <v>0</v>
      </c>
      <c r="BJ233" s="38">
        <f>G233*H233</f>
        <v>0</v>
      </c>
      <c r="BK233" s="38"/>
      <c r="BL233" s="38">
        <v>60</v>
      </c>
      <c r="BW233" s="38">
        <v>21</v>
      </c>
    </row>
    <row r="234" spans="1:12" ht="15">
      <c r="A234" s="74"/>
      <c r="D234" s="75" t="s">
        <v>530</v>
      </c>
      <c r="E234" s="75" t="s">
        <v>549</v>
      </c>
      <c r="G234" s="76">
        <v>413.69</v>
      </c>
      <c r="L234" s="77"/>
    </row>
    <row r="235" spans="1:12" ht="15">
      <c r="A235" s="74"/>
      <c r="D235" s="75" t="s">
        <v>550</v>
      </c>
      <c r="E235" s="75" t="s">
        <v>551</v>
      </c>
      <c r="G235" s="76">
        <v>42.35</v>
      </c>
      <c r="L235" s="77"/>
    </row>
    <row r="236" spans="1:47" ht="15">
      <c r="A236" s="65" t="s">
        <v>4</v>
      </c>
      <c r="B236" s="66" t="s">
        <v>84</v>
      </c>
      <c r="C236" s="66" t="s">
        <v>481</v>
      </c>
      <c r="D236" s="192" t="s">
        <v>552</v>
      </c>
      <c r="E236" s="193"/>
      <c r="F236" s="67" t="s">
        <v>78</v>
      </c>
      <c r="G236" s="67" t="s">
        <v>78</v>
      </c>
      <c r="H236" s="68" t="s">
        <v>78</v>
      </c>
      <c r="I236" s="44">
        <f>SUM(I237:I294)</f>
        <v>0</v>
      </c>
      <c r="J236" s="50" t="s">
        <v>4</v>
      </c>
      <c r="K236" s="44">
        <f>SUM(K237:K294)</f>
        <v>27.627441900000004</v>
      </c>
      <c r="L236" s="69" t="s">
        <v>4</v>
      </c>
      <c r="AI236" s="50" t="s">
        <v>84</v>
      </c>
      <c r="AS236" s="44">
        <f>SUM(AJ237:AJ294)</f>
        <v>0</v>
      </c>
      <c r="AT236" s="44">
        <f>SUM(AK237:AK294)</f>
        <v>0</v>
      </c>
      <c r="AU236" s="44">
        <f>SUM(AL237:AL294)</f>
        <v>0</v>
      </c>
    </row>
    <row r="237" spans="1:75" ht="13.5" customHeight="1">
      <c r="A237" s="1" t="s">
        <v>553</v>
      </c>
      <c r="B237" s="2" t="s">
        <v>84</v>
      </c>
      <c r="C237" s="2" t="s">
        <v>554</v>
      </c>
      <c r="D237" s="108" t="s">
        <v>555</v>
      </c>
      <c r="E237" s="103"/>
      <c r="F237" s="2" t="s">
        <v>263</v>
      </c>
      <c r="G237" s="38">
        <v>8.15</v>
      </c>
      <c r="H237" s="70">
        <v>0</v>
      </c>
      <c r="I237" s="38">
        <f>G237*H237</f>
        <v>0</v>
      </c>
      <c r="J237" s="38">
        <v>0.04777</v>
      </c>
      <c r="K237" s="38">
        <f>G237*J237</f>
        <v>0.3893255</v>
      </c>
      <c r="L237" s="71" t="s">
        <v>136</v>
      </c>
      <c r="Z237" s="38">
        <f>IF(AQ237="5",BJ237,0)</f>
        <v>0</v>
      </c>
      <c r="AB237" s="38">
        <f>IF(AQ237="1",BH237,0)</f>
        <v>0</v>
      </c>
      <c r="AC237" s="38">
        <f>IF(AQ237="1",BI237,0)</f>
        <v>0</v>
      </c>
      <c r="AD237" s="38">
        <f>IF(AQ237="7",BH237,0)</f>
        <v>0</v>
      </c>
      <c r="AE237" s="38">
        <f>IF(AQ237="7",BI237,0)</f>
        <v>0</v>
      </c>
      <c r="AF237" s="38">
        <f>IF(AQ237="2",BH237,0)</f>
        <v>0</v>
      </c>
      <c r="AG237" s="38">
        <f>IF(AQ237="2",BI237,0)</f>
        <v>0</v>
      </c>
      <c r="AH237" s="38">
        <f>IF(AQ237="0",BJ237,0)</f>
        <v>0</v>
      </c>
      <c r="AI237" s="50" t="s">
        <v>84</v>
      </c>
      <c r="AJ237" s="38">
        <f>IF(AN237=0,I237,0)</f>
        <v>0</v>
      </c>
      <c r="AK237" s="38">
        <f>IF(AN237=12,I237,0)</f>
        <v>0</v>
      </c>
      <c r="AL237" s="38">
        <f>IF(AN237=21,I237,0)</f>
        <v>0</v>
      </c>
      <c r="AN237" s="38">
        <v>21</v>
      </c>
      <c r="AO237" s="38">
        <f>H237*0.440969404</f>
        <v>0</v>
      </c>
      <c r="AP237" s="38">
        <f>H237*(1-0.440969404)</f>
        <v>0</v>
      </c>
      <c r="AQ237" s="72" t="s">
        <v>132</v>
      </c>
      <c r="AV237" s="38">
        <f>AW237+AX237</f>
        <v>0</v>
      </c>
      <c r="AW237" s="38">
        <f>G237*AO237</f>
        <v>0</v>
      </c>
      <c r="AX237" s="38">
        <f>G237*AP237</f>
        <v>0</v>
      </c>
      <c r="AY237" s="72" t="s">
        <v>556</v>
      </c>
      <c r="AZ237" s="72" t="s">
        <v>511</v>
      </c>
      <c r="BA237" s="50" t="s">
        <v>139</v>
      </c>
      <c r="BB237" s="73">
        <v>100014</v>
      </c>
      <c r="BC237" s="38">
        <f>AW237+AX237</f>
        <v>0</v>
      </c>
      <c r="BD237" s="38">
        <f>H237/(100-BE237)*100</f>
        <v>0</v>
      </c>
      <c r="BE237" s="38">
        <v>0</v>
      </c>
      <c r="BF237" s="38">
        <f>K237</f>
        <v>0.3893255</v>
      </c>
      <c r="BH237" s="38">
        <f>G237*AO237</f>
        <v>0</v>
      </c>
      <c r="BI237" s="38">
        <f>G237*AP237</f>
        <v>0</v>
      </c>
      <c r="BJ237" s="38">
        <f>G237*H237</f>
        <v>0</v>
      </c>
      <c r="BK237" s="38"/>
      <c r="BL237" s="38">
        <v>61</v>
      </c>
      <c r="BW237" s="38">
        <v>21</v>
      </c>
    </row>
    <row r="238" spans="1:12" ht="15">
      <c r="A238" s="74"/>
      <c r="D238" s="75" t="s">
        <v>557</v>
      </c>
      <c r="E238" s="75" t="s">
        <v>231</v>
      </c>
      <c r="G238" s="76">
        <v>3.1</v>
      </c>
      <c r="L238" s="77"/>
    </row>
    <row r="239" spans="1:12" ht="15">
      <c r="A239" s="74"/>
      <c r="D239" s="75" t="s">
        <v>558</v>
      </c>
      <c r="E239" s="75" t="s">
        <v>233</v>
      </c>
      <c r="G239" s="76">
        <v>3.73</v>
      </c>
      <c r="L239" s="77"/>
    </row>
    <row r="240" spans="1:12" ht="15">
      <c r="A240" s="74"/>
      <c r="D240" s="75" t="s">
        <v>559</v>
      </c>
      <c r="E240" s="75" t="s">
        <v>224</v>
      </c>
      <c r="G240" s="76">
        <v>0.72</v>
      </c>
      <c r="L240" s="77"/>
    </row>
    <row r="241" spans="1:12" ht="15">
      <c r="A241" s="74"/>
      <c r="D241" s="75" t="s">
        <v>560</v>
      </c>
      <c r="E241" s="75" t="s">
        <v>226</v>
      </c>
      <c r="G241" s="76">
        <v>0.6</v>
      </c>
      <c r="L241" s="77"/>
    </row>
    <row r="242" spans="1:75" ht="13.5" customHeight="1">
      <c r="A242" s="1" t="s">
        <v>561</v>
      </c>
      <c r="B242" s="2" t="s">
        <v>84</v>
      </c>
      <c r="C242" s="2" t="s">
        <v>562</v>
      </c>
      <c r="D242" s="108" t="s">
        <v>563</v>
      </c>
      <c r="E242" s="103"/>
      <c r="F242" s="2" t="s">
        <v>263</v>
      </c>
      <c r="G242" s="38">
        <v>75.5</v>
      </c>
      <c r="H242" s="70">
        <v>0</v>
      </c>
      <c r="I242" s="38">
        <f>G242*H242</f>
        <v>0</v>
      </c>
      <c r="J242" s="38">
        <v>4E-05</v>
      </c>
      <c r="K242" s="38">
        <f>G242*J242</f>
        <v>0.00302</v>
      </c>
      <c r="L242" s="71" t="s">
        <v>136</v>
      </c>
      <c r="Z242" s="38">
        <f>IF(AQ242="5",BJ242,0)</f>
        <v>0</v>
      </c>
      <c r="AB242" s="38">
        <f>IF(AQ242="1",BH242,0)</f>
        <v>0</v>
      </c>
      <c r="AC242" s="38">
        <f>IF(AQ242="1",BI242,0)</f>
        <v>0</v>
      </c>
      <c r="AD242" s="38">
        <f>IF(AQ242="7",BH242,0)</f>
        <v>0</v>
      </c>
      <c r="AE242" s="38">
        <f>IF(AQ242="7",BI242,0)</f>
        <v>0</v>
      </c>
      <c r="AF242" s="38">
        <f>IF(AQ242="2",BH242,0)</f>
        <v>0</v>
      </c>
      <c r="AG242" s="38">
        <f>IF(AQ242="2",BI242,0)</f>
        <v>0</v>
      </c>
      <c r="AH242" s="38">
        <f>IF(AQ242="0",BJ242,0)</f>
        <v>0</v>
      </c>
      <c r="AI242" s="50" t="s">
        <v>84</v>
      </c>
      <c r="AJ242" s="38">
        <f>IF(AN242=0,I242,0)</f>
        <v>0</v>
      </c>
      <c r="AK242" s="38">
        <f>IF(AN242=12,I242,0)</f>
        <v>0</v>
      </c>
      <c r="AL242" s="38">
        <f>IF(AN242=21,I242,0)</f>
        <v>0</v>
      </c>
      <c r="AN242" s="38">
        <v>21</v>
      </c>
      <c r="AO242" s="38">
        <f>H242*0.33407539</f>
        <v>0</v>
      </c>
      <c r="AP242" s="38">
        <f>H242*(1-0.33407539)</f>
        <v>0</v>
      </c>
      <c r="AQ242" s="72" t="s">
        <v>132</v>
      </c>
      <c r="AV242" s="38">
        <f>AW242+AX242</f>
        <v>0</v>
      </c>
      <c r="AW242" s="38">
        <f>G242*AO242</f>
        <v>0</v>
      </c>
      <c r="AX242" s="38">
        <f>G242*AP242</f>
        <v>0</v>
      </c>
      <c r="AY242" s="72" t="s">
        <v>556</v>
      </c>
      <c r="AZ242" s="72" t="s">
        <v>511</v>
      </c>
      <c r="BA242" s="50" t="s">
        <v>139</v>
      </c>
      <c r="BB242" s="73">
        <v>100014</v>
      </c>
      <c r="BC242" s="38">
        <f>AW242+AX242</f>
        <v>0</v>
      </c>
      <c r="BD242" s="38">
        <f>H242/(100-BE242)*100</f>
        <v>0</v>
      </c>
      <c r="BE242" s="38">
        <v>0</v>
      </c>
      <c r="BF242" s="38">
        <f>K242</f>
        <v>0.00302</v>
      </c>
      <c r="BH242" s="38">
        <f>G242*AO242</f>
        <v>0</v>
      </c>
      <c r="BI242" s="38">
        <f>G242*AP242</f>
        <v>0</v>
      </c>
      <c r="BJ242" s="38">
        <f>G242*H242</f>
        <v>0</v>
      </c>
      <c r="BK242" s="38"/>
      <c r="BL242" s="38">
        <v>61</v>
      </c>
      <c r="BW242" s="38">
        <v>21</v>
      </c>
    </row>
    <row r="243" spans="1:12" ht="15">
      <c r="A243" s="74"/>
      <c r="D243" s="75" t="s">
        <v>564</v>
      </c>
      <c r="E243" s="75" t="s">
        <v>565</v>
      </c>
      <c r="G243" s="76">
        <v>5</v>
      </c>
      <c r="L243" s="77"/>
    </row>
    <row r="244" spans="1:12" ht="15">
      <c r="A244" s="74"/>
      <c r="D244" s="75" t="s">
        <v>566</v>
      </c>
      <c r="E244" s="75" t="s">
        <v>567</v>
      </c>
      <c r="G244" s="76">
        <v>70.5</v>
      </c>
      <c r="L244" s="77"/>
    </row>
    <row r="245" spans="1:75" ht="13.5" customHeight="1">
      <c r="A245" s="1" t="s">
        <v>568</v>
      </c>
      <c r="B245" s="2" t="s">
        <v>84</v>
      </c>
      <c r="C245" s="2" t="s">
        <v>569</v>
      </c>
      <c r="D245" s="108" t="s">
        <v>570</v>
      </c>
      <c r="E245" s="103"/>
      <c r="F245" s="2" t="s">
        <v>263</v>
      </c>
      <c r="G245" s="38">
        <v>827.38</v>
      </c>
      <c r="H245" s="70">
        <v>0</v>
      </c>
      <c r="I245" s="38">
        <f>G245*H245</f>
        <v>0</v>
      </c>
      <c r="J245" s="38">
        <v>0.0005</v>
      </c>
      <c r="K245" s="38">
        <f>G245*J245</f>
        <v>0.41369</v>
      </c>
      <c r="L245" s="71" t="s">
        <v>136</v>
      </c>
      <c r="Z245" s="38">
        <f>IF(AQ245="5",BJ245,0)</f>
        <v>0</v>
      </c>
      <c r="AB245" s="38">
        <f>IF(AQ245="1",BH245,0)</f>
        <v>0</v>
      </c>
      <c r="AC245" s="38">
        <f>IF(AQ245="1",BI245,0)</f>
        <v>0</v>
      </c>
      <c r="AD245" s="38">
        <f>IF(AQ245="7",BH245,0)</f>
        <v>0</v>
      </c>
      <c r="AE245" s="38">
        <f>IF(AQ245="7",BI245,0)</f>
        <v>0</v>
      </c>
      <c r="AF245" s="38">
        <f>IF(AQ245="2",BH245,0)</f>
        <v>0</v>
      </c>
      <c r="AG245" s="38">
        <f>IF(AQ245="2",BI245,0)</f>
        <v>0</v>
      </c>
      <c r="AH245" s="38">
        <f>IF(AQ245="0",BJ245,0)</f>
        <v>0</v>
      </c>
      <c r="AI245" s="50" t="s">
        <v>84</v>
      </c>
      <c r="AJ245" s="38">
        <f>IF(AN245=0,I245,0)</f>
        <v>0</v>
      </c>
      <c r="AK245" s="38">
        <f>IF(AN245=12,I245,0)</f>
        <v>0</v>
      </c>
      <c r="AL245" s="38">
        <f>IF(AN245=21,I245,0)</f>
        <v>0</v>
      </c>
      <c r="AN245" s="38">
        <v>21</v>
      </c>
      <c r="AO245" s="38">
        <f>H245*0.807100108</f>
        <v>0</v>
      </c>
      <c r="AP245" s="38">
        <f>H245*(1-0.807100108)</f>
        <v>0</v>
      </c>
      <c r="AQ245" s="72" t="s">
        <v>132</v>
      </c>
      <c r="AV245" s="38">
        <f>AW245+AX245</f>
        <v>0</v>
      </c>
      <c r="AW245" s="38">
        <f>G245*AO245</f>
        <v>0</v>
      </c>
      <c r="AX245" s="38">
        <f>G245*AP245</f>
        <v>0</v>
      </c>
      <c r="AY245" s="72" t="s">
        <v>556</v>
      </c>
      <c r="AZ245" s="72" t="s">
        <v>511</v>
      </c>
      <c r="BA245" s="50" t="s">
        <v>139</v>
      </c>
      <c r="BB245" s="73">
        <v>100014</v>
      </c>
      <c r="BC245" s="38">
        <f>AW245+AX245</f>
        <v>0</v>
      </c>
      <c r="BD245" s="38">
        <f>H245/(100-BE245)*100</f>
        <v>0</v>
      </c>
      <c r="BE245" s="38">
        <v>0</v>
      </c>
      <c r="BF245" s="38">
        <f>K245</f>
        <v>0.41369</v>
      </c>
      <c r="BH245" s="38">
        <f>G245*AO245</f>
        <v>0</v>
      </c>
      <c r="BI245" s="38">
        <f>G245*AP245</f>
        <v>0</v>
      </c>
      <c r="BJ245" s="38">
        <f>G245*H245</f>
        <v>0</v>
      </c>
      <c r="BK245" s="38"/>
      <c r="BL245" s="38">
        <v>61</v>
      </c>
      <c r="BW245" s="38">
        <v>21</v>
      </c>
    </row>
    <row r="246" spans="1:12" ht="15">
      <c r="A246" s="74"/>
      <c r="D246" s="75" t="s">
        <v>571</v>
      </c>
      <c r="E246" s="75" t="s">
        <v>4</v>
      </c>
      <c r="G246" s="76">
        <v>827.38</v>
      </c>
      <c r="L246" s="77"/>
    </row>
    <row r="247" spans="1:75" ht="13.5" customHeight="1">
      <c r="A247" s="1" t="s">
        <v>572</v>
      </c>
      <c r="B247" s="2" t="s">
        <v>84</v>
      </c>
      <c r="C247" s="2" t="s">
        <v>573</v>
      </c>
      <c r="D247" s="108" t="s">
        <v>574</v>
      </c>
      <c r="E247" s="103"/>
      <c r="F247" s="2" t="s">
        <v>263</v>
      </c>
      <c r="G247" s="38">
        <v>66.4</v>
      </c>
      <c r="H247" s="70">
        <v>0</v>
      </c>
      <c r="I247" s="38">
        <f>G247*H247</f>
        <v>0</v>
      </c>
      <c r="J247" s="38">
        <v>0.00609</v>
      </c>
      <c r="K247" s="38">
        <f>G247*J247</f>
        <v>0.404376</v>
      </c>
      <c r="L247" s="71" t="s">
        <v>136</v>
      </c>
      <c r="Z247" s="38">
        <f>IF(AQ247="5",BJ247,0)</f>
        <v>0</v>
      </c>
      <c r="AB247" s="38">
        <f>IF(AQ247="1",BH247,0)</f>
        <v>0</v>
      </c>
      <c r="AC247" s="38">
        <f>IF(AQ247="1",BI247,0)</f>
        <v>0</v>
      </c>
      <c r="AD247" s="38">
        <f>IF(AQ247="7",BH247,0)</f>
        <v>0</v>
      </c>
      <c r="AE247" s="38">
        <f>IF(AQ247="7",BI247,0)</f>
        <v>0</v>
      </c>
      <c r="AF247" s="38">
        <f>IF(AQ247="2",BH247,0)</f>
        <v>0</v>
      </c>
      <c r="AG247" s="38">
        <f>IF(AQ247="2",BI247,0)</f>
        <v>0</v>
      </c>
      <c r="AH247" s="38">
        <f>IF(AQ247="0",BJ247,0)</f>
        <v>0</v>
      </c>
      <c r="AI247" s="50" t="s">
        <v>84</v>
      </c>
      <c r="AJ247" s="38">
        <f>IF(AN247=0,I247,0)</f>
        <v>0</v>
      </c>
      <c r="AK247" s="38">
        <f>IF(AN247=12,I247,0)</f>
        <v>0</v>
      </c>
      <c r="AL247" s="38">
        <f>IF(AN247=21,I247,0)</f>
        <v>0</v>
      </c>
      <c r="AN247" s="38">
        <v>21</v>
      </c>
      <c r="AO247" s="38">
        <f>H247*0.149130321</f>
        <v>0</v>
      </c>
      <c r="AP247" s="38">
        <f>H247*(1-0.149130321)</f>
        <v>0</v>
      </c>
      <c r="AQ247" s="72" t="s">
        <v>132</v>
      </c>
      <c r="AV247" s="38">
        <f>AW247+AX247</f>
        <v>0</v>
      </c>
      <c r="AW247" s="38">
        <f>G247*AO247</f>
        <v>0</v>
      </c>
      <c r="AX247" s="38">
        <f>G247*AP247</f>
        <v>0</v>
      </c>
      <c r="AY247" s="72" t="s">
        <v>556</v>
      </c>
      <c r="AZ247" s="72" t="s">
        <v>511</v>
      </c>
      <c r="BA247" s="50" t="s">
        <v>139</v>
      </c>
      <c r="BB247" s="73">
        <v>100014</v>
      </c>
      <c r="BC247" s="38">
        <f>AW247+AX247</f>
        <v>0</v>
      </c>
      <c r="BD247" s="38">
        <f>H247/(100-BE247)*100</f>
        <v>0</v>
      </c>
      <c r="BE247" s="38">
        <v>0</v>
      </c>
      <c r="BF247" s="38">
        <f>K247</f>
        <v>0.404376</v>
      </c>
      <c r="BH247" s="38">
        <f>G247*AO247</f>
        <v>0</v>
      </c>
      <c r="BI247" s="38">
        <f>G247*AP247</f>
        <v>0</v>
      </c>
      <c r="BJ247" s="38">
        <f>G247*H247</f>
        <v>0</v>
      </c>
      <c r="BK247" s="38"/>
      <c r="BL247" s="38">
        <v>61</v>
      </c>
      <c r="BW247" s="38">
        <v>21</v>
      </c>
    </row>
    <row r="248" spans="1:12" ht="15">
      <c r="A248" s="74"/>
      <c r="D248" s="75" t="s">
        <v>575</v>
      </c>
      <c r="E248" s="75" t="s">
        <v>576</v>
      </c>
      <c r="G248" s="76">
        <v>25.9</v>
      </c>
      <c r="L248" s="77"/>
    </row>
    <row r="249" spans="1:12" ht="15">
      <c r="A249" s="74"/>
      <c r="D249" s="75" t="s">
        <v>577</v>
      </c>
      <c r="E249" s="75" t="s">
        <v>578</v>
      </c>
      <c r="G249" s="76">
        <v>35.7</v>
      </c>
      <c r="L249" s="77"/>
    </row>
    <row r="250" spans="1:12" ht="15">
      <c r="A250" s="74"/>
      <c r="D250" s="75" t="s">
        <v>579</v>
      </c>
      <c r="E250" s="75" t="s">
        <v>580</v>
      </c>
      <c r="G250" s="76">
        <v>4.8</v>
      </c>
      <c r="L250" s="77"/>
    </row>
    <row r="251" spans="1:75" ht="13.5" customHeight="1">
      <c r="A251" s="1" t="s">
        <v>581</v>
      </c>
      <c r="B251" s="2" t="s">
        <v>84</v>
      </c>
      <c r="C251" s="2" t="s">
        <v>582</v>
      </c>
      <c r="D251" s="108" t="s">
        <v>583</v>
      </c>
      <c r="E251" s="103"/>
      <c r="F251" s="2" t="s">
        <v>263</v>
      </c>
      <c r="G251" s="38">
        <v>12.05</v>
      </c>
      <c r="H251" s="70">
        <v>0</v>
      </c>
      <c r="I251" s="38">
        <f>G251*H251</f>
        <v>0</v>
      </c>
      <c r="J251" s="38">
        <v>0.05123</v>
      </c>
      <c r="K251" s="38">
        <f>G251*J251</f>
        <v>0.6173215</v>
      </c>
      <c r="L251" s="71" t="s">
        <v>136</v>
      </c>
      <c r="Z251" s="38">
        <f>IF(AQ251="5",BJ251,0)</f>
        <v>0</v>
      </c>
      <c r="AB251" s="38">
        <f>IF(AQ251="1",BH251,0)</f>
        <v>0</v>
      </c>
      <c r="AC251" s="38">
        <f>IF(AQ251="1",BI251,0)</f>
        <v>0</v>
      </c>
      <c r="AD251" s="38">
        <f>IF(AQ251="7",BH251,0)</f>
        <v>0</v>
      </c>
      <c r="AE251" s="38">
        <f>IF(AQ251="7",BI251,0)</f>
        <v>0</v>
      </c>
      <c r="AF251" s="38">
        <f>IF(AQ251="2",BH251,0)</f>
        <v>0</v>
      </c>
      <c r="AG251" s="38">
        <f>IF(AQ251="2",BI251,0)</f>
        <v>0</v>
      </c>
      <c r="AH251" s="38">
        <f>IF(AQ251="0",BJ251,0)</f>
        <v>0</v>
      </c>
      <c r="AI251" s="50" t="s">
        <v>84</v>
      </c>
      <c r="AJ251" s="38">
        <f>IF(AN251=0,I251,0)</f>
        <v>0</v>
      </c>
      <c r="AK251" s="38">
        <f>IF(AN251=12,I251,0)</f>
        <v>0</v>
      </c>
      <c r="AL251" s="38">
        <f>IF(AN251=21,I251,0)</f>
        <v>0</v>
      </c>
      <c r="AN251" s="38">
        <v>21</v>
      </c>
      <c r="AO251" s="38">
        <f>H251*0.165666854</f>
        <v>0</v>
      </c>
      <c r="AP251" s="38">
        <f>H251*(1-0.165666854)</f>
        <v>0</v>
      </c>
      <c r="AQ251" s="72" t="s">
        <v>132</v>
      </c>
      <c r="AV251" s="38">
        <f>AW251+AX251</f>
        <v>0</v>
      </c>
      <c r="AW251" s="38">
        <f>G251*AO251</f>
        <v>0</v>
      </c>
      <c r="AX251" s="38">
        <f>G251*AP251</f>
        <v>0</v>
      </c>
      <c r="AY251" s="72" t="s">
        <v>556</v>
      </c>
      <c r="AZ251" s="72" t="s">
        <v>511</v>
      </c>
      <c r="BA251" s="50" t="s">
        <v>139</v>
      </c>
      <c r="BB251" s="73">
        <v>100014</v>
      </c>
      <c r="BC251" s="38">
        <f>AW251+AX251</f>
        <v>0</v>
      </c>
      <c r="BD251" s="38">
        <f>H251/(100-BE251)*100</f>
        <v>0</v>
      </c>
      <c r="BE251" s="38">
        <v>0</v>
      </c>
      <c r="BF251" s="38">
        <f>K251</f>
        <v>0.6173215</v>
      </c>
      <c r="BH251" s="38">
        <f>G251*AO251</f>
        <v>0</v>
      </c>
      <c r="BI251" s="38">
        <f>G251*AP251</f>
        <v>0</v>
      </c>
      <c r="BJ251" s="38">
        <f>G251*H251</f>
        <v>0</v>
      </c>
      <c r="BK251" s="38"/>
      <c r="BL251" s="38">
        <v>61</v>
      </c>
      <c r="BW251" s="38">
        <v>21</v>
      </c>
    </row>
    <row r="252" spans="1:12" ht="15">
      <c r="A252" s="74"/>
      <c r="D252" s="75" t="s">
        <v>584</v>
      </c>
      <c r="E252" s="75" t="s">
        <v>585</v>
      </c>
      <c r="G252" s="76">
        <v>3.67</v>
      </c>
      <c r="L252" s="77"/>
    </row>
    <row r="253" spans="1:12" ht="15">
      <c r="A253" s="74"/>
      <c r="D253" s="75" t="s">
        <v>586</v>
      </c>
      <c r="E253" s="75" t="s">
        <v>587</v>
      </c>
      <c r="G253" s="76">
        <v>4.01</v>
      </c>
      <c r="L253" s="77"/>
    </row>
    <row r="254" spans="1:12" ht="15">
      <c r="A254" s="74"/>
      <c r="D254" s="75" t="s">
        <v>588</v>
      </c>
      <c r="E254" s="75" t="s">
        <v>589</v>
      </c>
      <c r="G254" s="76">
        <v>4.37</v>
      </c>
      <c r="L254" s="77"/>
    </row>
    <row r="255" spans="1:75" ht="13.5" customHeight="1">
      <c r="A255" s="1" t="s">
        <v>590</v>
      </c>
      <c r="B255" s="2" t="s">
        <v>84</v>
      </c>
      <c r="C255" s="2" t="s">
        <v>591</v>
      </c>
      <c r="D255" s="108" t="s">
        <v>592</v>
      </c>
      <c r="E255" s="103"/>
      <c r="F255" s="2" t="s">
        <v>263</v>
      </c>
      <c r="G255" s="38">
        <v>358.74</v>
      </c>
      <c r="H255" s="70">
        <v>0</v>
      </c>
      <c r="I255" s="38">
        <f>G255*H255</f>
        <v>0</v>
      </c>
      <c r="J255" s="38">
        <v>0.00543</v>
      </c>
      <c r="K255" s="38">
        <f>G255*J255</f>
        <v>1.9479582</v>
      </c>
      <c r="L255" s="71" t="s">
        <v>136</v>
      </c>
      <c r="Z255" s="38">
        <f>IF(AQ255="5",BJ255,0)</f>
        <v>0</v>
      </c>
      <c r="AB255" s="38">
        <f>IF(AQ255="1",BH255,0)</f>
        <v>0</v>
      </c>
      <c r="AC255" s="38">
        <f>IF(AQ255="1",BI255,0)</f>
        <v>0</v>
      </c>
      <c r="AD255" s="38">
        <f>IF(AQ255="7",BH255,0)</f>
        <v>0</v>
      </c>
      <c r="AE255" s="38">
        <f>IF(AQ255="7",BI255,0)</f>
        <v>0</v>
      </c>
      <c r="AF255" s="38">
        <f>IF(AQ255="2",BH255,0)</f>
        <v>0</v>
      </c>
      <c r="AG255" s="38">
        <f>IF(AQ255="2",BI255,0)</f>
        <v>0</v>
      </c>
      <c r="AH255" s="38">
        <f>IF(AQ255="0",BJ255,0)</f>
        <v>0</v>
      </c>
      <c r="AI255" s="50" t="s">
        <v>84</v>
      </c>
      <c r="AJ255" s="38">
        <f>IF(AN255=0,I255,0)</f>
        <v>0</v>
      </c>
      <c r="AK255" s="38">
        <f>IF(AN255=12,I255,0)</f>
        <v>0</v>
      </c>
      <c r="AL255" s="38">
        <f>IF(AN255=21,I255,0)</f>
        <v>0</v>
      </c>
      <c r="AN255" s="38">
        <v>21</v>
      </c>
      <c r="AO255" s="38">
        <f>H255*0.066951848</f>
        <v>0</v>
      </c>
      <c r="AP255" s="38">
        <f>H255*(1-0.066951848)</f>
        <v>0</v>
      </c>
      <c r="AQ255" s="72" t="s">
        <v>132</v>
      </c>
      <c r="AV255" s="38">
        <f>AW255+AX255</f>
        <v>0</v>
      </c>
      <c r="AW255" s="38">
        <f>G255*AO255</f>
        <v>0</v>
      </c>
      <c r="AX255" s="38">
        <f>G255*AP255</f>
        <v>0</v>
      </c>
      <c r="AY255" s="72" t="s">
        <v>556</v>
      </c>
      <c r="AZ255" s="72" t="s">
        <v>511</v>
      </c>
      <c r="BA255" s="50" t="s">
        <v>139</v>
      </c>
      <c r="BB255" s="73">
        <v>100014</v>
      </c>
      <c r="BC255" s="38">
        <f>AW255+AX255</f>
        <v>0</v>
      </c>
      <c r="BD255" s="38">
        <f>H255/(100-BE255)*100</f>
        <v>0</v>
      </c>
      <c r="BE255" s="38">
        <v>0</v>
      </c>
      <c r="BF255" s="38">
        <f>K255</f>
        <v>1.9479582</v>
      </c>
      <c r="BH255" s="38">
        <f>G255*AO255</f>
        <v>0</v>
      </c>
      <c r="BI255" s="38">
        <f>G255*AP255</f>
        <v>0</v>
      </c>
      <c r="BJ255" s="38">
        <f>G255*H255</f>
        <v>0</v>
      </c>
      <c r="BK255" s="38"/>
      <c r="BL255" s="38">
        <v>61</v>
      </c>
      <c r="BW255" s="38">
        <v>21</v>
      </c>
    </row>
    <row r="256" spans="1:12" ht="15">
      <c r="A256" s="74"/>
      <c r="D256" s="75" t="s">
        <v>593</v>
      </c>
      <c r="E256" s="75" t="s">
        <v>576</v>
      </c>
      <c r="G256" s="76">
        <v>75.54</v>
      </c>
      <c r="L256" s="77"/>
    </row>
    <row r="257" spans="1:12" ht="15">
      <c r="A257" s="74"/>
      <c r="D257" s="75" t="s">
        <v>594</v>
      </c>
      <c r="E257" s="75" t="s">
        <v>580</v>
      </c>
      <c r="G257" s="76">
        <v>33.75</v>
      </c>
      <c r="L257" s="77"/>
    </row>
    <row r="258" spans="1:12" ht="15">
      <c r="A258" s="74"/>
      <c r="D258" s="75" t="s">
        <v>595</v>
      </c>
      <c r="E258" s="75" t="s">
        <v>596</v>
      </c>
      <c r="G258" s="76">
        <v>108.43</v>
      </c>
      <c r="L258" s="77"/>
    </row>
    <row r="259" spans="1:12" ht="15">
      <c r="A259" s="74"/>
      <c r="D259" s="75" t="s">
        <v>597</v>
      </c>
      <c r="E259" s="75" t="s">
        <v>598</v>
      </c>
      <c r="G259" s="76">
        <v>56.7</v>
      </c>
      <c r="L259" s="77"/>
    </row>
    <row r="260" spans="1:12" ht="15">
      <c r="A260" s="74"/>
      <c r="D260" s="75" t="s">
        <v>599</v>
      </c>
      <c r="E260" s="75" t="s">
        <v>600</v>
      </c>
      <c r="G260" s="76">
        <v>49.2</v>
      </c>
      <c r="L260" s="77"/>
    </row>
    <row r="261" spans="1:12" ht="15">
      <c r="A261" s="74"/>
      <c r="D261" s="75" t="s">
        <v>601</v>
      </c>
      <c r="E261" s="75" t="s">
        <v>602</v>
      </c>
      <c r="G261" s="76">
        <v>35.12</v>
      </c>
      <c r="L261" s="77"/>
    </row>
    <row r="262" spans="1:75" ht="13.5" customHeight="1">
      <c r="A262" s="1" t="s">
        <v>603</v>
      </c>
      <c r="B262" s="2" t="s">
        <v>84</v>
      </c>
      <c r="C262" s="2" t="s">
        <v>604</v>
      </c>
      <c r="D262" s="108" t="s">
        <v>605</v>
      </c>
      <c r="E262" s="103"/>
      <c r="F262" s="2" t="s">
        <v>263</v>
      </c>
      <c r="G262" s="38">
        <v>426.82</v>
      </c>
      <c r="H262" s="70">
        <v>0</v>
      </c>
      <c r="I262" s="38">
        <f>G262*H262</f>
        <v>0</v>
      </c>
      <c r="J262" s="38">
        <v>0.01574</v>
      </c>
      <c r="K262" s="38">
        <f>G262*J262</f>
        <v>6.7181468</v>
      </c>
      <c r="L262" s="71" t="s">
        <v>136</v>
      </c>
      <c r="Z262" s="38">
        <f>IF(AQ262="5",BJ262,0)</f>
        <v>0</v>
      </c>
      <c r="AB262" s="38">
        <f>IF(AQ262="1",BH262,0)</f>
        <v>0</v>
      </c>
      <c r="AC262" s="38">
        <f>IF(AQ262="1",BI262,0)</f>
        <v>0</v>
      </c>
      <c r="AD262" s="38">
        <f>IF(AQ262="7",BH262,0)</f>
        <v>0</v>
      </c>
      <c r="AE262" s="38">
        <f>IF(AQ262="7",BI262,0)</f>
        <v>0</v>
      </c>
      <c r="AF262" s="38">
        <f>IF(AQ262="2",BH262,0)</f>
        <v>0</v>
      </c>
      <c r="AG262" s="38">
        <f>IF(AQ262="2",BI262,0)</f>
        <v>0</v>
      </c>
      <c r="AH262" s="38">
        <f>IF(AQ262="0",BJ262,0)</f>
        <v>0</v>
      </c>
      <c r="AI262" s="50" t="s">
        <v>84</v>
      </c>
      <c r="AJ262" s="38">
        <f>IF(AN262=0,I262,0)</f>
        <v>0</v>
      </c>
      <c r="AK262" s="38">
        <f>IF(AN262=12,I262,0)</f>
        <v>0</v>
      </c>
      <c r="AL262" s="38">
        <f>IF(AN262=21,I262,0)</f>
        <v>0</v>
      </c>
      <c r="AN262" s="38">
        <v>21</v>
      </c>
      <c r="AO262" s="38">
        <f>H262*0.16560179</f>
        <v>0</v>
      </c>
      <c r="AP262" s="38">
        <f>H262*(1-0.16560179)</f>
        <v>0</v>
      </c>
      <c r="AQ262" s="72" t="s">
        <v>132</v>
      </c>
      <c r="AV262" s="38">
        <f>AW262+AX262</f>
        <v>0</v>
      </c>
      <c r="AW262" s="38">
        <f>G262*AO262</f>
        <v>0</v>
      </c>
      <c r="AX262" s="38">
        <f>G262*AP262</f>
        <v>0</v>
      </c>
      <c r="AY262" s="72" t="s">
        <v>556</v>
      </c>
      <c r="AZ262" s="72" t="s">
        <v>511</v>
      </c>
      <c r="BA262" s="50" t="s">
        <v>139</v>
      </c>
      <c r="BB262" s="73">
        <v>100014</v>
      </c>
      <c r="BC262" s="38">
        <f>AW262+AX262</f>
        <v>0</v>
      </c>
      <c r="BD262" s="38">
        <f>H262/(100-BE262)*100</f>
        <v>0</v>
      </c>
      <c r="BE262" s="38">
        <v>0</v>
      </c>
      <c r="BF262" s="38">
        <f>K262</f>
        <v>6.7181468</v>
      </c>
      <c r="BH262" s="38">
        <f>G262*AO262</f>
        <v>0</v>
      </c>
      <c r="BI262" s="38">
        <f>G262*AP262</f>
        <v>0</v>
      </c>
      <c r="BJ262" s="38">
        <f>G262*H262</f>
        <v>0</v>
      </c>
      <c r="BK262" s="38"/>
      <c r="BL262" s="38">
        <v>61</v>
      </c>
      <c r="BW262" s="38">
        <v>21</v>
      </c>
    </row>
    <row r="263" spans="1:12" ht="15">
      <c r="A263" s="74"/>
      <c r="D263" s="75" t="s">
        <v>606</v>
      </c>
      <c r="E263" s="75" t="s">
        <v>607</v>
      </c>
      <c r="G263" s="76">
        <v>43</v>
      </c>
      <c r="L263" s="77"/>
    </row>
    <row r="264" spans="1:12" ht="15">
      <c r="A264" s="74"/>
      <c r="D264" s="75" t="s">
        <v>608</v>
      </c>
      <c r="E264" s="75" t="s">
        <v>609</v>
      </c>
      <c r="G264" s="76">
        <v>9.72</v>
      </c>
      <c r="L264" s="77"/>
    </row>
    <row r="265" spans="1:12" ht="15">
      <c r="A265" s="74"/>
      <c r="D265" s="75" t="s">
        <v>610</v>
      </c>
      <c r="E265" s="75" t="s">
        <v>611</v>
      </c>
      <c r="G265" s="76">
        <v>-57.71</v>
      </c>
      <c r="L265" s="77"/>
    </row>
    <row r="266" spans="1:12" ht="15">
      <c r="A266" s="74"/>
      <c r="D266" s="75" t="s">
        <v>612</v>
      </c>
      <c r="E266" s="75" t="s">
        <v>613</v>
      </c>
      <c r="G266" s="76">
        <v>87.8</v>
      </c>
      <c r="L266" s="77"/>
    </row>
    <row r="267" spans="1:12" ht="15">
      <c r="A267" s="74"/>
      <c r="D267" s="75" t="s">
        <v>614</v>
      </c>
      <c r="E267" s="75" t="s">
        <v>578</v>
      </c>
      <c r="G267" s="76">
        <v>122.4</v>
      </c>
      <c r="L267" s="77"/>
    </row>
    <row r="268" spans="1:12" ht="15">
      <c r="A268" s="74"/>
      <c r="D268" s="75" t="s">
        <v>615</v>
      </c>
      <c r="E268" s="75" t="s">
        <v>616</v>
      </c>
      <c r="G268" s="76">
        <v>61.2</v>
      </c>
      <c r="L268" s="77"/>
    </row>
    <row r="269" spans="1:12" ht="15">
      <c r="A269" s="74"/>
      <c r="D269" s="75" t="s">
        <v>617</v>
      </c>
      <c r="E269" s="75" t="s">
        <v>618</v>
      </c>
      <c r="G269" s="76">
        <v>68.81</v>
      </c>
      <c r="L269" s="77"/>
    </row>
    <row r="270" spans="1:12" ht="15">
      <c r="A270" s="74"/>
      <c r="D270" s="75" t="s">
        <v>619</v>
      </c>
      <c r="E270" s="75" t="s">
        <v>620</v>
      </c>
      <c r="G270" s="76">
        <v>64.6</v>
      </c>
      <c r="L270" s="77"/>
    </row>
    <row r="271" spans="1:12" ht="15">
      <c r="A271" s="74"/>
      <c r="D271" s="75" t="s">
        <v>621</v>
      </c>
      <c r="E271" s="75" t="s">
        <v>622</v>
      </c>
      <c r="G271" s="76">
        <v>20</v>
      </c>
      <c r="L271" s="77"/>
    </row>
    <row r="272" spans="1:12" ht="15">
      <c r="A272" s="74"/>
      <c r="D272" s="75" t="s">
        <v>623</v>
      </c>
      <c r="E272" s="75" t="s">
        <v>624</v>
      </c>
      <c r="G272" s="76">
        <v>7</v>
      </c>
      <c r="L272" s="77"/>
    </row>
    <row r="273" spans="1:75" ht="13.5" customHeight="1">
      <c r="A273" s="1" t="s">
        <v>625</v>
      </c>
      <c r="B273" s="2" t="s">
        <v>84</v>
      </c>
      <c r="C273" s="2" t="s">
        <v>626</v>
      </c>
      <c r="D273" s="108" t="s">
        <v>627</v>
      </c>
      <c r="E273" s="103"/>
      <c r="F273" s="2" t="s">
        <v>263</v>
      </c>
      <c r="G273" s="38">
        <v>4.31</v>
      </c>
      <c r="H273" s="70">
        <v>0</v>
      </c>
      <c r="I273" s="38">
        <f>G273*H273</f>
        <v>0</v>
      </c>
      <c r="J273" s="38">
        <v>0.05123</v>
      </c>
      <c r="K273" s="38">
        <f>G273*J273</f>
        <v>0.22080129999999998</v>
      </c>
      <c r="L273" s="71" t="s">
        <v>136</v>
      </c>
      <c r="Z273" s="38">
        <f>IF(AQ273="5",BJ273,0)</f>
        <v>0</v>
      </c>
      <c r="AB273" s="38">
        <f>IF(AQ273="1",BH273,0)</f>
        <v>0</v>
      </c>
      <c r="AC273" s="38">
        <f>IF(AQ273="1",BI273,0)</f>
        <v>0</v>
      </c>
      <c r="AD273" s="38">
        <f>IF(AQ273="7",BH273,0)</f>
        <v>0</v>
      </c>
      <c r="AE273" s="38">
        <f>IF(AQ273="7",BI273,0)</f>
        <v>0</v>
      </c>
      <c r="AF273" s="38">
        <f>IF(AQ273="2",BH273,0)</f>
        <v>0</v>
      </c>
      <c r="AG273" s="38">
        <f>IF(AQ273="2",BI273,0)</f>
        <v>0</v>
      </c>
      <c r="AH273" s="38">
        <f>IF(AQ273="0",BJ273,0)</f>
        <v>0</v>
      </c>
      <c r="AI273" s="50" t="s">
        <v>84</v>
      </c>
      <c r="AJ273" s="38">
        <f>IF(AN273=0,I273,0)</f>
        <v>0</v>
      </c>
      <c r="AK273" s="38">
        <f>IF(AN273=12,I273,0)</f>
        <v>0</v>
      </c>
      <c r="AL273" s="38">
        <f>IF(AN273=21,I273,0)</f>
        <v>0</v>
      </c>
      <c r="AN273" s="38">
        <v>21</v>
      </c>
      <c r="AO273" s="38">
        <f>H273*0.186041588</f>
        <v>0</v>
      </c>
      <c r="AP273" s="38">
        <f>H273*(1-0.186041588)</f>
        <v>0</v>
      </c>
      <c r="AQ273" s="72" t="s">
        <v>132</v>
      </c>
      <c r="AV273" s="38">
        <f>AW273+AX273</f>
        <v>0</v>
      </c>
      <c r="AW273" s="38">
        <f>G273*AO273</f>
        <v>0</v>
      </c>
      <c r="AX273" s="38">
        <f>G273*AP273</f>
        <v>0</v>
      </c>
      <c r="AY273" s="72" t="s">
        <v>556</v>
      </c>
      <c r="AZ273" s="72" t="s">
        <v>511</v>
      </c>
      <c r="BA273" s="50" t="s">
        <v>139</v>
      </c>
      <c r="BB273" s="73">
        <v>100014</v>
      </c>
      <c r="BC273" s="38">
        <f>AW273+AX273</f>
        <v>0</v>
      </c>
      <c r="BD273" s="38">
        <f>H273/(100-BE273)*100</f>
        <v>0</v>
      </c>
      <c r="BE273" s="38">
        <v>0</v>
      </c>
      <c r="BF273" s="38">
        <f>K273</f>
        <v>0.22080129999999998</v>
      </c>
      <c r="BH273" s="38">
        <f>G273*AO273</f>
        <v>0</v>
      </c>
      <c r="BI273" s="38">
        <f>G273*AP273</f>
        <v>0</v>
      </c>
      <c r="BJ273" s="38">
        <f>G273*H273</f>
        <v>0</v>
      </c>
      <c r="BK273" s="38"/>
      <c r="BL273" s="38">
        <v>61</v>
      </c>
      <c r="BW273" s="38">
        <v>21</v>
      </c>
    </row>
    <row r="274" spans="1:12" ht="15">
      <c r="A274" s="74"/>
      <c r="D274" s="75" t="s">
        <v>628</v>
      </c>
      <c r="E274" s="75" t="s">
        <v>523</v>
      </c>
      <c r="G274" s="76">
        <v>4.31</v>
      </c>
      <c r="L274" s="77"/>
    </row>
    <row r="275" spans="1:75" ht="13.5" customHeight="1">
      <c r="A275" s="1" t="s">
        <v>629</v>
      </c>
      <c r="B275" s="2" t="s">
        <v>84</v>
      </c>
      <c r="C275" s="2" t="s">
        <v>630</v>
      </c>
      <c r="D275" s="108" t="s">
        <v>631</v>
      </c>
      <c r="E275" s="103"/>
      <c r="F275" s="2" t="s">
        <v>263</v>
      </c>
      <c r="G275" s="38">
        <v>116.56</v>
      </c>
      <c r="H275" s="70">
        <v>0</v>
      </c>
      <c r="I275" s="38">
        <f>G275*H275</f>
        <v>0</v>
      </c>
      <c r="J275" s="38">
        <v>0.04414</v>
      </c>
      <c r="K275" s="38">
        <f>G275*J275</f>
        <v>5.1449584</v>
      </c>
      <c r="L275" s="71" t="s">
        <v>136</v>
      </c>
      <c r="Z275" s="38">
        <f>IF(AQ275="5",BJ275,0)</f>
        <v>0</v>
      </c>
      <c r="AB275" s="38">
        <f>IF(AQ275="1",BH275,0)</f>
        <v>0</v>
      </c>
      <c r="AC275" s="38">
        <f>IF(AQ275="1",BI275,0)</f>
        <v>0</v>
      </c>
      <c r="AD275" s="38">
        <f>IF(AQ275="7",BH275,0)</f>
        <v>0</v>
      </c>
      <c r="AE275" s="38">
        <f>IF(AQ275="7",BI275,0)</f>
        <v>0</v>
      </c>
      <c r="AF275" s="38">
        <f>IF(AQ275="2",BH275,0)</f>
        <v>0</v>
      </c>
      <c r="AG275" s="38">
        <f>IF(AQ275="2",BI275,0)</f>
        <v>0</v>
      </c>
      <c r="AH275" s="38">
        <f>IF(AQ275="0",BJ275,0)</f>
        <v>0</v>
      </c>
      <c r="AI275" s="50" t="s">
        <v>84</v>
      </c>
      <c r="AJ275" s="38">
        <f>IF(AN275=0,I275,0)</f>
        <v>0</v>
      </c>
      <c r="AK275" s="38">
        <f>IF(AN275=12,I275,0)</f>
        <v>0</v>
      </c>
      <c r="AL275" s="38">
        <f>IF(AN275=21,I275,0)</f>
        <v>0</v>
      </c>
      <c r="AN275" s="38">
        <v>21</v>
      </c>
      <c r="AO275" s="38">
        <f>H275*0.152221037</f>
        <v>0</v>
      </c>
      <c r="AP275" s="38">
        <f>H275*(1-0.152221037)</f>
        <v>0</v>
      </c>
      <c r="AQ275" s="72" t="s">
        <v>132</v>
      </c>
      <c r="AV275" s="38">
        <f>AW275+AX275</f>
        <v>0</v>
      </c>
      <c r="AW275" s="38">
        <f>G275*AO275</f>
        <v>0</v>
      </c>
      <c r="AX275" s="38">
        <f>G275*AP275</f>
        <v>0</v>
      </c>
      <c r="AY275" s="72" t="s">
        <v>556</v>
      </c>
      <c r="AZ275" s="72" t="s">
        <v>511</v>
      </c>
      <c r="BA275" s="50" t="s">
        <v>139</v>
      </c>
      <c r="BB275" s="73">
        <v>100014</v>
      </c>
      <c r="BC275" s="38">
        <f>AW275+AX275</f>
        <v>0</v>
      </c>
      <c r="BD275" s="38">
        <f>H275/(100-BE275)*100</f>
        <v>0</v>
      </c>
      <c r="BE275" s="38">
        <v>0</v>
      </c>
      <c r="BF275" s="38">
        <f>K275</f>
        <v>5.1449584</v>
      </c>
      <c r="BH275" s="38">
        <f>G275*AO275</f>
        <v>0</v>
      </c>
      <c r="BI275" s="38">
        <f>G275*AP275</f>
        <v>0</v>
      </c>
      <c r="BJ275" s="38">
        <f>G275*H275</f>
        <v>0</v>
      </c>
      <c r="BK275" s="38"/>
      <c r="BL275" s="38">
        <v>61</v>
      </c>
      <c r="BW275" s="38">
        <v>21</v>
      </c>
    </row>
    <row r="276" spans="1:12" ht="15">
      <c r="A276" s="74"/>
      <c r="D276" s="75" t="s">
        <v>632</v>
      </c>
      <c r="E276" s="75" t="s">
        <v>633</v>
      </c>
      <c r="G276" s="76">
        <v>59.22</v>
      </c>
      <c r="L276" s="77"/>
    </row>
    <row r="277" spans="1:12" ht="15">
      <c r="A277" s="74"/>
      <c r="D277" s="75" t="s">
        <v>634</v>
      </c>
      <c r="E277" s="75" t="s">
        <v>635</v>
      </c>
      <c r="G277" s="76">
        <v>32.14</v>
      </c>
      <c r="L277" s="77"/>
    </row>
    <row r="278" spans="1:12" ht="15">
      <c r="A278" s="74"/>
      <c r="D278" s="75" t="s">
        <v>636</v>
      </c>
      <c r="E278" s="75" t="s">
        <v>637</v>
      </c>
      <c r="G278" s="76">
        <v>25.2</v>
      </c>
      <c r="L278" s="77"/>
    </row>
    <row r="279" spans="1:75" ht="13.5" customHeight="1">
      <c r="A279" s="1" t="s">
        <v>638</v>
      </c>
      <c r="B279" s="2" t="s">
        <v>84</v>
      </c>
      <c r="C279" s="2" t="s">
        <v>639</v>
      </c>
      <c r="D279" s="108" t="s">
        <v>640</v>
      </c>
      <c r="E279" s="103"/>
      <c r="F279" s="2" t="s">
        <v>263</v>
      </c>
      <c r="G279" s="38">
        <v>136.19</v>
      </c>
      <c r="H279" s="70">
        <v>0</v>
      </c>
      <c r="I279" s="38">
        <f>G279*H279</f>
        <v>0</v>
      </c>
      <c r="J279" s="38">
        <v>0.04766</v>
      </c>
      <c r="K279" s="38">
        <f>G279*J279</f>
        <v>6.4908154</v>
      </c>
      <c r="L279" s="71" t="s">
        <v>136</v>
      </c>
      <c r="Z279" s="38">
        <f>IF(AQ279="5",BJ279,0)</f>
        <v>0</v>
      </c>
      <c r="AB279" s="38">
        <f>IF(AQ279="1",BH279,0)</f>
        <v>0</v>
      </c>
      <c r="AC279" s="38">
        <f>IF(AQ279="1",BI279,0)</f>
        <v>0</v>
      </c>
      <c r="AD279" s="38">
        <f>IF(AQ279="7",BH279,0)</f>
        <v>0</v>
      </c>
      <c r="AE279" s="38">
        <f>IF(AQ279="7",BI279,0)</f>
        <v>0</v>
      </c>
      <c r="AF279" s="38">
        <f>IF(AQ279="2",BH279,0)</f>
        <v>0</v>
      </c>
      <c r="AG279" s="38">
        <f>IF(AQ279="2",BI279,0)</f>
        <v>0</v>
      </c>
      <c r="AH279" s="38">
        <f>IF(AQ279="0",BJ279,0)</f>
        <v>0</v>
      </c>
      <c r="AI279" s="50" t="s">
        <v>84</v>
      </c>
      <c r="AJ279" s="38">
        <f>IF(AN279=0,I279,0)</f>
        <v>0</v>
      </c>
      <c r="AK279" s="38">
        <f>IF(AN279=12,I279,0)</f>
        <v>0</v>
      </c>
      <c r="AL279" s="38">
        <f>IF(AN279=21,I279,0)</f>
        <v>0</v>
      </c>
      <c r="AN279" s="38">
        <v>21</v>
      </c>
      <c r="AO279" s="38">
        <f>H279*0.131226386</f>
        <v>0</v>
      </c>
      <c r="AP279" s="38">
        <f>H279*(1-0.131226386)</f>
        <v>0</v>
      </c>
      <c r="AQ279" s="72" t="s">
        <v>132</v>
      </c>
      <c r="AV279" s="38">
        <f>AW279+AX279</f>
        <v>0</v>
      </c>
      <c r="AW279" s="38">
        <f>G279*AO279</f>
        <v>0</v>
      </c>
      <c r="AX279" s="38">
        <f>G279*AP279</f>
        <v>0</v>
      </c>
      <c r="AY279" s="72" t="s">
        <v>556</v>
      </c>
      <c r="AZ279" s="72" t="s">
        <v>511</v>
      </c>
      <c r="BA279" s="50" t="s">
        <v>139</v>
      </c>
      <c r="BB279" s="73">
        <v>100014</v>
      </c>
      <c r="BC279" s="38">
        <f>AW279+AX279</f>
        <v>0</v>
      </c>
      <c r="BD279" s="38">
        <f>H279/(100-BE279)*100</f>
        <v>0</v>
      </c>
      <c r="BE279" s="38">
        <v>0</v>
      </c>
      <c r="BF279" s="38">
        <f>K279</f>
        <v>6.4908154</v>
      </c>
      <c r="BH279" s="38">
        <f>G279*AO279</f>
        <v>0</v>
      </c>
      <c r="BI279" s="38">
        <f>G279*AP279</f>
        <v>0</v>
      </c>
      <c r="BJ279" s="38">
        <f>G279*H279</f>
        <v>0</v>
      </c>
      <c r="BK279" s="38"/>
      <c r="BL279" s="38">
        <v>61</v>
      </c>
      <c r="BW279" s="38">
        <v>21</v>
      </c>
    </row>
    <row r="280" spans="1:12" ht="13.5" customHeight="1">
      <c r="A280" s="74"/>
      <c r="D280" s="194" t="s">
        <v>641</v>
      </c>
      <c r="E280" s="195"/>
      <c r="F280" s="195"/>
      <c r="G280" s="195"/>
      <c r="H280" s="196"/>
      <c r="I280" s="195"/>
      <c r="J280" s="195"/>
      <c r="K280" s="195"/>
      <c r="L280" s="197"/>
    </row>
    <row r="281" spans="1:12" ht="15">
      <c r="A281" s="74"/>
      <c r="D281" s="75" t="s">
        <v>642</v>
      </c>
      <c r="E281" s="75" t="s">
        <v>643</v>
      </c>
      <c r="G281" s="76">
        <v>1.83</v>
      </c>
      <c r="L281" s="77"/>
    </row>
    <row r="282" spans="1:12" ht="15">
      <c r="A282" s="74"/>
      <c r="D282" s="75" t="s">
        <v>644</v>
      </c>
      <c r="E282" s="75" t="s">
        <v>645</v>
      </c>
      <c r="G282" s="76">
        <v>13.34</v>
      </c>
      <c r="L282" s="77"/>
    </row>
    <row r="283" spans="1:12" ht="15">
      <c r="A283" s="74"/>
      <c r="D283" s="75" t="s">
        <v>646</v>
      </c>
      <c r="E283" s="75" t="s">
        <v>315</v>
      </c>
      <c r="G283" s="76">
        <v>13.16</v>
      </c>
      <c r="L283" s="77"/>
    </row>
    <row r="284" spans="1:12" ht="15">
      <c r="A284" s="74"/>
      <c r="D284" s="75" t="s">
        <v>647</v>
      </c>
      <c r="E284" s="75" t="s">
        <v>317</v>
      </c>
      <c r="G284" s="76">
        <v>107.86</v>
      </c>
      <c r="L284" s="77"/>
    </row>
    <row r="285" spans="1:75" ht="13.5" customHeight="1">
      <c r="A285" s="1" t="s">
        <v>648</v>
      </c>
      <c r="B285" s="2" t="s">
        <v>84</v>
      </c>
      <c r="C285" s="2" t="s">
        <v>649</v>
      </c>
      <c r="D285" s="108" t="s">
        <v>650</v>
      </c>
      <c r="E285" s="103"/>
      <c r="F285" s="2" t="s">
        <v>263</v>
      </c>
      <c r="G285" s="38">
        <v>466.5</v>
      </c>
      <c r="H285" s="70">
        <v>0</v>
      </c>
      <c r="I285" s="38">
        <f>G285*H285</f>
        <v>0</v>
      </c>
      <c r="J285" s="38">
        <v>0.00803</v>
      </c>
      <c r="K285" s="38">
        <f>G285*J285</f>
        <v>3.745995</v>
      </c>
      <c r="L285" s="71" t="s">
        <v>136</v>
      </c>
      <c r="Z285" s="38">
        <f>IF(AQ285="5",BJ285,0)</f>
        <v>0</v>
      </c>
      <c r="AB285" s="38">
        <f>IF(AQ285="1",BH285,0)</f>
        <v>0</v>
      </c>
      <c r="AC285" s="38">
        <f>IF(AQ285="1",BI285,0)</f>
        <v>0</v>
      </c>
      <c r="AD285" s="38">
        <f>IF(AQ285="7",BH285,0)</f>
        <v>0</v>
      </c>
      <c r="AE285" s="38">
        <f>IF(AQ285="7",BI285,0)</f>
        <v>0</v>
      </c>
      <c r="AF285" s="38">
        <f>IF(AQ285="2",BH285,0)</f>
        <v>0</v>
      </c>
      <c r="AG285" s="38">
        <f>IF(AQ285="2",BI285,0)</f>
        <v>0</v>
      </c>
      <c r="AH285" s="38">
        <f>IF(AQ285="0",BJ285,0)</f>
        <v>0</v>
      </c>
      <c r="AI285" s="50" t="s">
        <v>84</v>
      </c>
      <c r="AJ285" s="38">
        <f>IF(AN285=0,I285,0)</f>
        <v>0</v>
      </c>
      <c r="AK285" s="38">
        <f>IF(AN285=12,I285,0)</f>
        <v>0</v>
      </c>
      <c r="AL285" s="38">
        <f>IF(AN285=21,I285,0)</f>
        <v>0</v>
      </c>
      <c r="AN285" s="38">
        <v>21</v>
      </c>
      <c r="AO285" s="38">
        <f>H285*0.207987814</f>
        <v>0</v>
      </c>
      <c r="AP285" s="38">
        <f>H285*(1-0.207987814)</f>
        <v>0</v>
      </c>
      <c r="AQ285" s="72" t="s">
        <v>132</v>
      </c>
      <c r="AV285" s="38">
        <f>AW285+AX285</f>
        <v>0</v>
      </c>
      <c r="AW285" s="38">
        <f>G285*AO285</f>
        <v>0</v>
      </c>
      <c r="AX285" s="38">
        <f>G285*AP285</f>
        <v>0</v>
      </c>
      <c r="AY285" s="72" t="s">
        <v>556</v>
      </c>
      <c r="AZ285" s="72" t="s">
        <v>511</v>
      </c>
      <c r="BA285" s="50" t="s">
        <v>139</v>
      </c>
      <c r="BB285" s="73">
        <v>100014</v>
      </c>
      <c r="BC285" s="38">
        <f>AW285+AX285</f>
        <v>0</v>
      </c>
      <c r="BD285" s="38">
        <f>H285/(100-BE285)*100</f>
        <v>0</v>
      </c>
      <c r="BE285" s="38">
        <v>0</v>
      </c>
      <c r="BF285" s="38">
        <f>K285</f>
        <v>3.745995</v>
      </c>
      <c r="BH285" s="38">
        <f>G285*AO285</f>
        <v>0</v>
      </c>
      <c r="BI285" s="38">
        <f>G285*AP285</f>
        <v>0</v>
      </c>
      <c r="BJ285" s="38">
        <f>G285*H285</f>
        <v>0</v>
      </c>
      <c r="BK285" s="38"/>
      <c r="BL285" s="38">
        <v>61</v>
      </c>
      <c r="BW285" s="38">
        <v>21</v>
      </c>
    </row>
    <row r="286" spans="1:12" ht="13.5" customHeight="1">
      <c r="A286" s="74"/>
      <c r="D286" s="194" t="s">
        <v>651</v>
      </c>
      <c r="E286" s="195"/>
      <c r="F286" s="195"/>
      <c r="G286" s="195"/>
      <c r="H286" s="196"/>
      <c r="I286" s="195"/>
      <c r="J286" s="195"/>
      <c r="K286" s="195"/>
      <c r="L286" s="197"/>
    </row>
    <row r="287" spans="1:12" ht="15">
      <c r="A287" s="74"/>
      <c r="D287" s="75" t="s">
        <v>652</v>
      </c>
      <c r="E287" s="75" t="s">
        <v>653</v>
      </c>
      <c r="G287" s="76">
        <v>466.5</v>
      </c>
      <c r="L287" s="77"/>
    </row>
    <row r="288" spans="1:75" ht="13.5" customHeight="1">
      <c r="A288" s="1" t="s">
        <v>654</v>
      </c>
      <c r="B288" s="2" t="s">
        <v>84</v>
      </c>
      <c r="C288" s="2" t="s">
        <v>655</v>
      </c>
      <c r="D288" s="108" t="s">
        <v>656</v>
      </c>
      <c r="E288" s="103"/>
      <c r="F288" s="2" t="s">
        <v>263</v>
      </c>
      <c r="G288" s="38">
        <v>84.42</v>
      </c>
      <c r="H288" s="70">
        <v>0</v>
      </c>
      <c r="I288" s="38">
        <f>G288*H288</f>
        <v>0</v>
      </c>
      <c r="J288" s="38">
        <v>0.01339</v>
      </c>
      <c r="K288" s="38">
        <f>G288*J288</f>
        <v>1.1303838000000002</v>
      </c>
      <c r="L288" s="71" t="s">
        <v>207</v>
      </c>
      <c r="Z288" s="38">
        <f>IF(AQ288="5",BJ288,0)</f>
        <v>0</v>
      </c>
      <c r="AB288" s="38">
        <f>IF(AQ288="1",BH288,0)</f>
        <v>0</v>
      </c>
      <c r="AC288" s="38">
        <f>IF(AQ288="1",BI288,0)</f>
        <v>0</v>
      </c>
      <c r="AD288" s="38">
        <f>IF(AQ288="7",BH288,0)</f>
        <v>0</v>
      </c>
      <c r="AE288" s="38">
        <f>IF(AQ288="7",BI288,0)</f>
        <v>0</v>
      </c>
      <c r="AF288" s="38">
        <f>IF(AQ288="2",BH288,0)</f>
        <v>0</v>
      </c>
      <c r="AG288" s="38">
        <f>IF(AQ288="2",BI288,0)</f>
        <v>0</v>
      </c>
      <c r="AH288" s="38">
        <f>IF(AQ288="0",BJ288,0)</f>
        <v>0</v>
      </c>
      <c r="AI288" s="50" t="s">
        <v>84</v>
      </c>
      <c r="AJ288" s="38">
        <f>IF(AN288=0,I288,0)</f>
        <v>0</v>
      </c>
      <c r="AK288" s="38">
        <f>IF(AN288=12,I288,0)</f>
        <v>0</v>
      </c>
      <c r="AL288" s="38">
        <f>IF(AN288=21,I288,0)</f>
        <v>0</v>
      </c>
      <c r="AN288" s="38">
        <v>21</v>
      </c>
      <c r="AO288" s="38">
        <f>H288*0.243653503</f>
        <v>0</v>
      </c>
      <c r="AP288" s="38">
        <f>H288*(1-0.243653503)</f>
        <v>0</v>
      </c>
      <c r="AQ288" s="72" t="s">
        <v>132</v>
      </c>
      <c r="AV288" s="38">
        <f>AW288+AX288</f>
        <v>0</v>
      </c>
      <c r="AW288" s="38">
        <f>G288*AO288</f>
        <v>0</v>
      </c>
      <c r="AX288" s="38">
        <f>G288*AP288</f>
        <v>0</v>
      </c>
      <c r="AY288" s="72" t="s">
        <v>556</v>
      </c>
      <c r="AZ288" s="72" t="s">
        <v>511</v>
      </c>
      <c r="BA288" s="50" t="s">
        <v>139</v>
      </c>
      <c r="BB288" s="73">
        <v>100014</v>
      </c>
      <c r="BC288" s="38">
        <f>AW288+AX288</f>
        <v>0</v>
      </c>
      <c r="BD288" s="38">
        <f>H288/(100-BE288)*100</f>
        <v>0</v>
      </c>
      <c r="BE288" s="38">
        <v>0</v>
      </c>
      <c r="BF288" s="38">
        <f>K288</f>
        <v>1.1303838000000002</v>
      </c>
      <c r="BH288" s="38">
        <f>G288*AO288</f>
        <v>0</v>
      </c>
      <c r="BI288" s="38">
        <f>G288*AP288</f>
        <v>0</v>
      </c>
      <c r="BJ288" s="38">
        <f>G288*H288</f>
        <v>0</v>
      </c>
      <c r="BK288" s="38"/>
      <c r="BL288" s="38">
        <v>61</v>
      </c>
      <c r="BW288" s="38">
        <v>21</v>
      </c>
    </row>
    <row r="289" spans="1:12" ht="13.5" customHeight="1">
      <c r="A289" s="74"/>
      <c r="D289" s="194" t="s">
        <v>651</v>
      </c>
      <c r="E289" s="195"/>
      <c r="F289" s="195"/>
      <c r="G289" s="195"/>
      <c r="H289" s="196"/>
      <c r="I289" s="195"/>
      <c r="J289" s="195"/>
      <c r="K289" s="195"/>
      <c r="L289" s="197"/>
    </row>
    <row r="290" spans="1:12" ht="15">
      <c r="A290" s="74"/>
      <c r="D290" s="75" t="s">
        <v>657</v>
      </c>
      <c r="E290" s="75" t="s">
        <v>658</v>
      </c>
      <c r="G290" s="76">
        <v>84.42</v>
      </c>
      <c r="L290" s="77"/>
    </row>
    <row r="291" spans="1:75" ht="13.5" customHeight="1">
      <c r="A291" s="1" t="s">
        <v>659</v>
      </c>
      <c r="B291" s="2" t="s">
        <v>84</v>
      </c>
      <c r="C291" s="2" t="s">
        <v>660</v>
      </c>
      <c r="D291" s="108" t="s">
        <v>661</v>
      </c>
      <c r="E291" s="103"/>
      <c r="F291" s="2" t="s">
        <v>199</v>
      </c>
      <c r="G291" s="38">
        <v>10</v>
      </c>
      <c r="H291" s="70">
        <v>0</v>
      </c>
      <c r="I291" s="38">
        <f>G291*H291</f>
        <v>0</v>
      </c>
      <c r="J291" s="38">
        <v>0.03562</v>
      </c>
      <c r="K291" s="38">
        <f>G291*J291</f>
        <v>0.35619999999999996</v>
      </c>
      <c r="L291" s="71" t="s">
        <v>207</v>
      </c>
      <c r="Z291" s="38">
        <f>IF(AQ291="5",BJ291,0)</f>
        <v>0</v>
      </c>
      <c r="AB291" s="38">
        <f>IF(AQ291="1",BH291,0)</f>
        <v>0</v>
      </c>
      <c r="AC291" s="38">
        <f>IF(AQ291="1",BI291,0)</f>
        <v>0</v>
      </c>
      <c r="AD291" s="38">
        <f>IF(AQ291="7",BH291,0)</f>
        <v>0</v>
      </c>
      <c r="AE291" s="38">
        <f>IF(AQ291="7",BI291,0)</f>
        <v>0</v>
      </c>
      <c r="AF291" s="38">
        <f>IF(AQ291="2",BH291,0)</f>
        <v>0</v>
      </c>
      <c r="AG291" s="38">
        <f>IF(AQ291="2",BI291,0)</f>
        <v>0</v>
      </c>
      <c r="AH291" s="38">
        <f>IF(AQ291="0",BJ291,0)</f>
        <v>0</v>
      </c>
      <c r="AI291" s="50" t="s">
        <v>84</v>
      </c>
      <c r="AJ291" s="38">
        <f>IF(AN291=0,I291,0)</f>
        <v>0</v>
      </c>
      <c r="AK291" s="38">
        <f>IF(AN291=12,I291,0)</f>
        <v>0</v>
      </c>
      <c r="AL291" s="38">
        <f>IF(AN291=21,I291,0)</f>
        <v>0</v>
      </c>
      <c r="AN291" s="38">
        <v>21</v>
      </c>
      <c r="AO291" s="38">
        <f>H291*0.381144279</f>
        <v>0</v>
      </c>
      <c r="AP291" s="38">
        <f>H291*(1-0.381144279)</f>
        <v>0</v>
      </c>
      <c r="AQ291" s="72" t="s">
        <v>132</v>
      </c>
      <c r="AV291" s="38">
        <f>AW291+AX291</f>
        <v>0</v>
      </c>
      <c r="AW291" s="38">
        <f>G291*AO291</f>
        <v>0</v>
      </c>
      <c r="AX291" s="38">
        <f>G291*AP291</f>
        <v>0</v>
      </c>
      <c r="AY291" s="72" t="s">
        <v>556</v>
      </c>
      <c r="AZ291" s="72" t="s">
        <v>511</v>
      </c>
      <c r="BA291" s="50" t="s">
        <v>139</v>
      </c>
      <c r="BB291" s="73">
        <v>100014</v>
      </c>
      <c r="BC291" s="38">
        <f>AW291+AX291</f>
        <v>0</v>
      </c>
      <c r="BD291" s="38">
        <f>H291/(100-BE291)*100</f>
        <v>0</v>
      </c>
      <c r="BE291" s="38">
        <v>0</v>
      </c>
      <c r="BF291" s="38">
        <f>K291</f>
        <v>0.35619999999999996</v>
      </c>
      <c r="BH291" s="38">
        <f>G291*AO291</f>
        <v>0</v>
      </c>
      <c r="BI291" s="38">
        <f>G291*AP291</f>
        <v>0</v>
      </c>
      <c r="BJ291" s="38">
        <f>G291*H291</f>
        <v>0</v>
      </c>
      <c r="BK291" s="38"/>
      <c r="BL291" s="38">
        <v>61</v>
      </c>
      <c r="BW291" s="38">
        <v>21</v>
      </c>
    </row>
    <row r="292" spans="1:12" ht="13.5" customHeight="1">
      <c r="A292" s="74"/>
      <c r="D292" s="194" t="s">
        <v>662</v>
      </c>
      <c r="E292" s="195"/>
      <c r="F292" s="195"/>
      <c r="G292" s="195"/>
      <c r="H292" s="196"/>
      <c r="I292" s="195"/>
      <c r="J292" s="195"/>
      <c r="K292" s="195"/>
      <c r="L292" s="197"/>
    </row>
    <row r="293" spans="1:12" ht="15">
      <c r="A293" s="74"/>
      <c r="D293" s="75" t="s">
        <v>186</v>
      </c>
      <c r="E293" s="75" t="s">
        <v>4</v>
      </c>
      <c r="G293" s="76">
        <v>10</v>
      </c>
      <c r="L293" s="77"/>
    </row>
    <row r="294" spans="1:75" ht="13.5" customHeight="1">
      <c r="A294" s="1" t="s">
        <v>663</v>
      </c>
      <c r="B294" s="2" t="s">
        <v>84</v>
      </c>
      <c r="C294" s="2" t="s">
        <v>664</v>
      </c>
      <c r="D294" s="108" t="s">
        <v>665</v>
      </c>
      <c r="E294" s="103"/>
      <c r="F294" s="2" t="s">
        <v>263</v>
      </c>
      <c r="G294" s="38">
        <v>7</v>
      </c>
      <c r="H294" s="70">
        <v>0</v>
      </c>
      <c r="I294" s="38">
        <f>G294*H294</f>
        <v>0</v>
      </c>
      <c r="J294" s="38">
        <v>0.00635</v>
      </c>
      <c r="K294" s="38">
        <f>G294*J294</f>
        <v>0.044449999999999996</v>
      </c>
      <c r="L294" s="71" t="s">
        <v>136</v>
      </c>
      <c r="Z294" s="38">
        <f>IF(AQ294="5",BJ294,0)</f>
        <v>0</v>
      </c>
      <c r="AB294" s="38">
        <f>IF(AQ294="1",BH294,0)</f>
        <v>0</v>
      </c>
      <c r="AC294" s="38">
        <f>IF(AQ294="1",BI294,0)</f>
        <v>0</v>
      </c>
      <c r="AD294" s="38">
        <f>IF(AQ294="7",BH294,0)</f>
        <v>0</v>
      </c>
      <c r="AE294" s="38">
        <f>IF(AQ294="7",BI294,0)</f>
        <v>0</v>
      </c>
      <c r="AF294" s="38">
        <f>IF(AQ294="2",BH294,0)</f>
        <v>0</v>
      </c>
      <c r="AG294" s="38">
        <f>IF(AQ294="2",BI294,0)</f>
        <v>0</v>
      </c>
      <c r="AH294" s="38">
        <f>IF(AQ294="0",BJ294,0)</f>
        <v>0</v>
      </c>
      <c r="AI294" s="50" t="s">
        <v>84</v>
      </c>
      <c r="AJ294" s="38">
        <f>IF(AN294=0,I294,0)</f>
        <v>0</v>
      </c>
      <c r="AK294" s="38">
        <f>IF(AN294=12,I294,0)</f>
        <v>0</v>
      </c>
      <c r="AL294" s="38">
        <f>IF(AN294=21,I294,0)</f>
        <v>0</v>
      </c>
      <c r="AN294" s="38">
        <v>21</v>
      </c>
      <c r="AO294" s="38">
        <f>H294*0.05170579</f>
        <v>0</v>
      </c>
      <c r="AP294" s="38">
        <f>H294*(1-0.05170579)</f>
        <v>0</v>
      </c>
      <c r="AQ294" s="72" t="s">
        <v>132</v>
      </c>
      <c r="AV294" s="38">
        <f>AW294+AX294</f>
        <v>0</v>
      </c>
      <c r="AW294" s="38">
        <f>G294*AO294</f>
        <v>0</v>
      </c>
      <c r="AX294" s="38">
        <f>G294*AP294</f>
        <v>0</v>
      </c>
      <c r="AY294" s="72" t="s">
        <v>556</v>
      </c>
      <c r="AZ294" s="72" t="s">
        <v>511</v>
      </c>
      <c r="BA294" s="50" t="s">
        <v>139</v>
      </c>
      <c r="BB294" s="73">
        <v>100014</v>
      </c>
      <c r="BC294" s="38">
        <f>AW294+AX294</f>
        <v>0</v>
      </c>
      <c r="BD294" s="38">
        <f>H294/(100-BE294)*100</f>
        <v>0</v>
      </c>
      <c r="BE294" s="38">
        <v>0</v>
      </c>
      <c r="BF294" s="38">
        <f>K294</f>
        <v>0.044449999999999996</v>
      </c>
      <c r="BH294" s="38">
        <f>G294*AO294</f>
        <v>0</v>
      </c>
      <c r="BI294" s="38">
        <f>G294*AP294</f>
        <v>0</v>
      </c>
      <c r="BJ294" s="38">
        <f>G294*H294</f>
        <v>0</v>
      </c>
      <c r="BK294" s="38"/>
      <c r="BL294" s="38">
        <v>61</v>
      </c>
      <c r="BW294" s="38">
        <v>21</v>
      </c>
    </row>
    <row r="295" spans="1:12" ht="13.5" customHeight="1">
      <c r="A295" s="74"/>
      <c r="D295" s="194" t="s">
        <v>666</v>
      </c>
      <c r="E295" s="195"/>
      <c r="F295" s="195"/>
      <c r="G295" s="195"/>
      <c r="H295" s="196"/>
      <c r="I295" s="195"/>
      <c r="J295" s="195"/>
      <c r="K295" s="195"/>
      <c r="L295" s="197"/>
    </row>
    <row r="296" spans="1:12" ht="15">
      <c r="A296" s="74"/>
      <c r="D296" s="75" t="s">
        <v>667</v>
      </c>
      <c r="E296" s="75" t="s">
        <v>602</v>
      </c>
      <c r="G296" s="76">
        <v>6.32</v>
      </c>
      <c r="L296" s="77"/>
    </row>
    <row r="297" spans="1:12" ht="15">
      <c r="A297" s="74"/>
      <c r="D297" s="75" t="s">
        <v>668</v>
      </c>
      <c r="E297" s="75" t="s">
        <v>580</v>
      </c>
      <c r="G297" s="76">
        <v>0.68</v>
      </c>
      <c r="L297" s="77"/>
    </row>
    <row r="298" spans="1:47" ht="15">
      <c r="A298" s="65" t="s">
        <v>4</v>
      </c>
      <c r="B298" s="66" t="s">
        <v>84</v>
      </c>
      <c r="C298" s="66" t="s">
        <v>486</v>
      </c>
      <c r="D298" s="192" t="s">
        <v>669</v>
      </c>
      <c r="E298" s="193"/>
      <c r="F298" s="67" t="s">
        <v>78</v>
      </c>
      <c r="G298" s="67" t="s">
        <v>78</v>
      </c>
      <c r="H298" s="68" t="s">
        <v>78</v>
      </c>
      <c r="I298" s="44">
        <f>SUM(I299:I301)</f>
        <v>0</v>
      </c>
      <c r="J298" s="50" t="s">
        <v>4</v>
      </c>
      <c r="K298" s="44">
        <f>SUM(K299:K301)</f>
        <v>0.43543119999999996</v>
      </c>
      <c r="L298" s="69" t="s">
        <v>4</v>
      </c>
      <c r="AI298" s="50" t="s">
        <v>84</v>
      </c>
      <c r="AS298" s="44">
        <f>SUM(AJ299:AJ301)</f>
        <v>0</v>
      </c>
      <c r="AT298" s="44">
        <f>SUM(AK299:AK301)</f>
        <v>0</v>
      </c>
      <c r="AU298" s="44">
        <f>SUM(AL299:AL301)</f>
        <v>0</v>
      </c>
    </row>
    <row r="299" spans="1:75" ht="13.5" customHeight="1">
      <c r="A299" s="1" t="s">
        <v>670</v>
      </c>
      <c r="B299" s="2" t="s">
        <v>84</v>
      </c>
      <c r="C299" s="2" t="s">
        <v>671</v>
      </c>
      <c r="D299" s="108" t="s">
        <v>672</v>
      </c>
      <c r="E299" s="103"/>
      <c r="F299" s="2" t="s">
        <v>263</v>
      </c>
      <c r="G299" s="38">
        <v>6.06</v>
      </c>
      <c r="H299" s="70">
        <v>0</v>
      </c>
      <c r="I299" s="38">
        <f>G299*H299</f>
        <v>0</v>
      </c>
      <c r="J299" s="38">
        <v>0.07172</v>
      </c>
      <c r="K299" s="38">
        <f>G299*J299</f>
        <v>0.4346232</v>
      </c>
      <c r="L299" s="71" t="s">
        <v>136</v>
      </c>
      <c r="Z299" s="38">
        <f>IF(AQ299="5",BJ299,0)</f>
        <v>0</v>
      </c>
      <c r="AB299" s="38">
        <f>IF(AQ299="1",BH299,0)</f>
        <v>0</v>
      </c>
      <c r="AC299" s="38">
        <f>IF(AQ299="1",BI299,0)</f>
        <v>0</v>
      </c>
      <c r="AD299" s="38">
        <f>IF(AQ299="7",BH299,0)</f>
        <v>0</v>
      </c>
      <c r="AE299" s="38">
        <f>IF(AQ299="7",BI299,0)</f>
        <v>0</v>
      </c>
      <c r="AF299" s="38">
        <f>IF(AQ299="2",BH299,0)</f>
        <v>0</v>
      </c>
      <c r="AG299" s="38">
        <f>IF(AQ299="2",BI299,0)</f>
        <v>0</v>
      </c>
      <c r="AH299" s="38">
        <f>IF(AQ299="0",BJ299,0)</f>
        <v>0</v>
      </c>
      <c r="AI299" s="50" t="s">
        <v>84</v>
      </c>
      <c r="AJ299" s="38">
        <f>IF(AN299=0,I299,0)</f>
        <v>0</v>
      </c>
      <c r="AK299" s="38">
        <f>IF(AN299=12,I299,0)</f>
        <v>0</v>
      </c>
      <c r="AL299" s="38">
        <f>IF(AN299=21,I299,0)</f>
        <v>0</v>
      </c>
      <c r="AN299" s="38">
        <v>21</v>
      </c>
      <c r="AO299" s="38">
        <f>H299*0.242890972</f>
        <v>0</v>
      </c>
      <c r="AP299" s="38">
        <f>H299*(1-0.242890972)</f>
        <v>0</v>
      </c>
      <c r="AQ299" s="72" t="s">
        <v>132</v>
      </c>
      <c r="AV299" s="38">
        <f>AW299+AX299</f>
        <v>0</v>
      </c>
      <c r="AW299" s="38">
        <f>G299*AO299</f>
        <v>0</v>
      </c>
      <c r="AX299" s="38">
        <f>G299*AP299</f>
        <v>0</v>
      </c>
      <c r="AY299" s="72" t="s">
        <v>673</v>
      </c>
      <c r="AZ299" s="72" t="s">
        <v>511</v>
      </c>
      <c r="BA299" s="50" t="s">
        <v>139</v>
      </c>
      <c r="BB299" s="73">
        <v>100028</v>
      </c>
      <c r="BC299" s="38">
        <f>AW299+AX299</f>
        <v>0</v>
      </c>
      <c r="BD299" s="38">
        <f>H299/(100-BE299)*100</f>
        <v>0</v>
      </c>
      <c r="BE299" s="38">
        <v>0</v>
      </c>
      <c r="BF299" s="38">
        <f>K299</f>
        <v>0.4346232</v>
      </c>
      <c r="BH299" s="38">
        <f>G299*AO299</f>
        <v>0</v>
      </c>
      <c r="BI299" s="38">
        <f>G299*AP299</f>
        <v>0</v>
      </c>
      <c r="BJ299" s="38">
        <f>G299*H299</f>
        <v>0</v>
      </c>
      <c r="BK299" s="38"/>
      <c r="BL299" s="38">
        <v>62</v>
      </c>
      <c r="BW299" s="38">
        <v>21</v>
      </c>
    </row>
    <row r="300" spans="1:12" ht="15">
      <c r="A300" s="74"/>
      <c r="D300" s="75" t="s">
        <v>674</v>
      </c>
      <c r="E300" s="75" t="s">
        <v>4</v>
      </c>
      <c r="G300" s="76">
        <v>6.06</v>
      </c>
      <c r="L300" s="77"/>
    </row>
    <row r="301" spans="1:75" ht="13.5" customHeight="1">
      <c r="A301" s="1" t="s">
        <v>675</v>
      </c>
      <c r="B301" s="2" t="s">
        <v>84</v>
      </c>
      <c r="C301" s="2" t="s">
        <v>676</v>
      </c>
      <c r="D301" s="108" t="s">
        <v>677</v>
      </c>
      <c r="E301" s="103"/>
      <c r="F301" s="2" t="s">
        <v>214</v>
      </c>
      <c r="G301" s="38">
        <v>10.1</v>
      </c>
      <c r="H301" s="70">
        <v>0</v>
      </c>
      <c r="I301" s="38">
        <f>G301*H301</f>
        <v>0</v>
      </c>
      <c r="J301" s="38">
        <v>8E-05</v>
      </c>
      <c r="K301" s="38">
        <f>G301*J301</f>
        <v>0.000808</v>
      </c>
      <c r="L301" s="71" t="s">
        <v>207</v>
      </c>
      <c r="Z301" s="38">
        <f>IF(AQ301="5",BJ301,0)</f>
        <v>0</v>
      </c>
      <c r="AB301" s="38">
        <f>IF(AQ301="1",BH301,0)</f>
        <v>0</v>
      </c>
      <c r="AC301" s="38">
        <f>IF(AQ301="1",BI301,0)</f>
        <v>0</v>
      </c>
      <c r="AD301" s="38">
        <f>IF(AQ301="7",BH301,0)</f>
        <v>0</v>
      </c>
      <c r="AE301" s="38">
        <f>IF(AQ301="7",BI301,0)</f>
        <v>0</v>
      </c>
      <c r="AF301" s="38">
        <f>IF(AQ301="2",BH301,0)</f>
        <v>0</v>
      </c>
      <c r="AG301" s="38">
        <f>IF(AQ301="2",BI301,0)</f>
        <v>0</v>
      </c>
      <c r="AH301" s="38">
        <f>IF(AQ301="0",BJ301,0)</f>
        <v>0</v>
      </c>
      <c r="AI301" s="50" t="s">
        <v>84</v>
      </c>
      <c r="AJ301" s="38">
        <f>IF(AN301=0,I301,0)</f>
        <v>0</v>
      </c>
      <c r="AK301" s="38">
        <f>IF(AN301=12,I301,0)</f>
        <v>0</v>
      </c>
      <c r="AL301" s="38">
        <f>IF(AN301=21,I301,0)</f>
        <v>0</v>
      </c>
      <c r="AN301" s="38">
        <v>21</v>
      </c>
      <c r="AO301" s="38">
        <f>H301*0.077584775</f>
        <v>0</v>
      </c>
      <c r="AP301" s="38">
        <f>H301*(1-0.077584775)</f>
        <v>0</v>
      </c>
      <c r="AQ301" s="72" t="s">
        <v>132</v>
      </c>
      <c r="AV301" s="38">
        <f>AW301+AX301</f>
        <v>0</v>
      </c>
      <c r="AW301" s="38">
        <f>G301*AO301</f>
        <v>0</v>
      </c>
      <c r="AX301" s="38">
        <f>G301*AP301</f>
        <v>0</v>
      </c>
      <c r="AY301" s="72" t="s">
        <v>673</v>
      </c>
      <c r="AZ301" s="72" t="s">
        <v>511</v>
      </c>
      <c r="BA301" s="50" t="s">
        <v>139</v>
      </c>
      <c r="BB301" s="73">
        <v>100028</v>
      </c>
      <c r="BC301" s="38">
        <f>AW301+AX301</f>
        <v>0</v>
      </c>
      <c r="BD301" s="38">
        <f>H301/(100-BE301)*100</f>
        <v>0</v>
      </c>
      <c r="BE301" s="38">
        <v>0</v>
      </c>
      <c r="BF301" s="38">
        <f>K301</f>
        <v>0.000808</v>
      </c>
      <c r="BH301" s="38">
        <f>G301*AO301</f>
        <v>0</v>
      </c>
      <c r="BI301" s="38">
        <f>G301*AP301</f>
        <v>0</v>
      </c>
      <c r="BJ301" s="38">
        <f>G301*H301</f>
        <v>0</v>
      </c>
      <c r="BK301" s="38"/>
      <c r="BL301" s="38">
        <v>62</v>
      </c>
      <c r="BW301" s="38">
        <v>21</v>
      </c>
    </row>
    <row r="302" spans="1:12" ht="15">
      <c r="A302" s="74"/>
      <c r="D302" s="75" t="s">
        <v>678</v>
      </c>
      <c r="E302" s="75" t="s">
        <v>4</v>
      </c>
      <c r="G302" s="76">
        <v>10.1</v>
      </c>
      <c r="L302" s="77"/>
    </row>
    <row r="303" spans="1:47" ht="15">
      <c r="A303" s="65" t="s">
        <v>4</v>
      </c>
      <c r="B303" s="66" t="s">
        <v>84</v>
      </c>
      <c r="C303" s="66" t="s">
        <v>491</v>
      </c>
      <c r="D303" s="192" t="s">
        <v>679</v>
      </c>
      <c r="E303" s="193"/>
      <c r="F303" s="67" t="s">
        <v>78</v>
      </c>
      <c r="G303" s="67" t="s">
        <v>78</v>
      </c>
      <c r="H303" s="68" t="s">
        <v>78</v>
      </c>
      <c r="I303" s="44">
        <f>SUM(I304:I353)</f>
        <v>0</v>
      </c>
      <c r="J303" s="50" t="s">
        <v>4</v>
      </c>
      <c r="K303" s="44">
        <f>SUM(K304:K353)</f>
        <v>76.95165060000001</v>
      </c>
      <c r="L303" s="69" t="s">
        <v>4</v>
      </c>
      <c r="AI303" s="50" t="s">
        <v>84</v>
      </c>
      <c r="AS303" s="44">
        <f>SUM(AJ304:AJ353)</f>
        <v>0</v>
      </c>
      <c r="AT303" s="44">
        <f>SUM(AK304:AK353)</f>
        <v>0</v>
      </c>
      <c r="AU303" s="44">
        <f>SUM(AL304:AL353)</f>
        <v>0</v>
      </c>
    </row>
    <row r="304" spans="1:75" ht="13.5" customHeight="1">
      <c r="A304" s="1" t="s">
        <v>680</v>
      </c>
      <c r="B304" s="2" t="s">
        <v>84</v>
      </c>
      <c r="C304" s="2" t="s">
        <v>681</v>
      </c>
      <c r="D304" s="108" t="s">
        <v>682</v>
      </c>
      <c r="E304" s="103"/>
      <c r="F304" s="2" t="s">
        <v>263</v>
      </c>
      <c r="G304" s="38">
        <v>250.08</v>
      </c>
      <c r="H304" s="70">
        <v>0</v>
      </c>
      <c r="I304" s="38">
        <f>G304*H304</f>
        <v>0</v>
      </c>
      <c r="J304" s="38">
        <v>0.00357</v>
      </c>
      <c r="K304" s="38">
        <f>G304*J304</f>
        <v>0.8927856</v>
      </c>
      <c r="L304" s="71" t="s">
        <v>207</v>
      </c>
      <c r="Z304" s="38">
        <f>IF(AQ304="5",BJ304,0)</f>
        <v>0</v>
      </c>
      <c r="AB304" s="38">
        <f>IF(AQ304="1",BH304,0)</f>
        <v>0</v>
      </c>
      <c r="AC304" s="38">
        <f>IF(AQ304="1",BI304,0)</f>
        <v>0</v>
      </c>
      <c r="AD304" s="38">
        <f>IF(AQ304="7",BH304,0)</f>
        <v>0</v>
      </c>
      <c r="AE304" s="38">
        <f>IF(AQ304="7",BI304,0)</f>
        <v>0</v>
      </c>
      <c r="AF304" s="38">
        <f>IF(AQ304="2",BH304,0)</f>
        <v>0</v>
      </c>
      <c r="AG304" s="38">
        <f>IF(AQ304="2",BI304,0)</f>
        <v>0</v>
      </c>
      <c r="AH304" s="38">
        <f>IF(AQ304="0",BJ304,0)</f>
        <v>0</v>
      </c>
      <c r="AI304" s="50" t="s">
        <v>84</v>
      </c>
      <c r="AJ304" s="38">
        <f>IF(AN304=0,I304,0)</f>
        <v>0</v>
      </c>
      <c r="AK304" s="38">
        <f>IF(AN304=12,I304,0)</f>
        <v>0</v>
      </c>
      <c r="AL304" s="38">
        <f>IF(AN304=21,I304,0)</f>
        <v>0</v>
      </c>
      <c r="AN304" s="38">
        <v>21</v>
      </c>
      <c r="AO304" s="38">
        <f>H304*0.500719875</f>
        <v>0</v>
      </c>
      <c r="AP304" s="38">
        <f>H304*(1-0.500719875)</f>
        <v>0</v>
      </c>
      <c r="AQ304" s="72" t="s">
        <v>132</v>
      </c>
      <c r="AV304" s="38">
        <f>AW304+AX304</f>
        <v>0</v>
      </c>
      <c r="AW304" s="38">
        <f>G304*AO304</f>
        <v>0</v>
      </c>
      <c r="AX304" s="38">
        <f>G304*AP304</f>
        <v>0</v>
      </c>
      <c r="AY304" s="72" t="s">
        <v>683</v>
      </c>
      <c r="AZ304" s="72" t="s">
        <v>511</v>
      </c>
      <c r="BA304" s="50" t="s">
        <v>139</v>
      </c>
      <c r="BB304" s="73">
        <v>100023</v>
      </c>
      <c r="BC304" s="38">
        <f>AW304+AX304</f>
        <v>0</v>
      </c>
      <c r="BD304" s="38">
        <f>H304/(100-BE304)*100</f>
        <v>0</v>
      </c>
      <c r="BE304" s="38">
        <v>0</v>
      </c>
      <c r="BF304" s="38">
        <f>K304</f>
        <v>0.8927856</v>
      </c>
      <c r="BH304" s="38">
        <f>G304*AO304</f>
        <v>0</v>
      </c>
      <c r="BI304" s="38">
        <f>G304*AP304</f>
        <v>0</v>
      </c>
      <c r="BJ304" s="38">
        <f>G304*H304</f>
        <v>0</v>
      </c>
      <c r="BK304" s="38"/>
      <c r="BL304" s="38">
        <v>63</v>
      </c>
      <c r="BW304" s="38">
        <v>21</v>
      </c>
    </row>
    <row r="305" spans="1:12" ht="13.5" customHeight="1">
      <c r="A305" s="74"/>
      <c r="D305" s="194" t="s">
        <v>684</v>
      </c>
      <c r="E305" s="195"/>
      <c r="F305" s="195"/>
      <c r="G305" s="195"/>
      <c r="H305" s="196"/>
      <c r="I305" s="195"/>
      <c r="J305" s="195"/>
      <c r="K305" s="195"/>
      <c r="L305" s="197"/>
    </row>
    <row r="306" spans="1:12" ht="15">
      <c r="A306" s="74"/>
      <c r="D306" s="75" t="s">
        <v>685</v>
      </c>
      <c r="E306" s="75" t="s">
        <v>686</v>
      </c>
      <c r="G306" s="76">
        <v>166.93</v>
      </c>
      <c r="L306" s="77"/>
    </row>
    <row r="307" spans="1:12" ht="15">
      <c r="A307" s="74"/>
      <c r="D307" s="75" t="s">
        <v>687</v>
      </c>
      <c r="E307" s="75" t="s">
        <v>688</v>
      </c>
      <c r="G307" s="76">
        <v>9.15</v>
      </c>
      <c r="L307" s="77"/>
    </row>
    <row r="308" spans="1:12" ht="15">
      <c r="A308" s="74"/>
      <c r="D308" s="75" t="s">
        <v>689</v>
      </c>
      <c r="E308" s="75" t="s">
        <v>690</v>
      </c>
      <c r="G308" s="76">
        <v>74</v>
      </c>
      <c r="L308" s="77"/>
    </row>
    <row r="309" spans="1:75" ht="13.5" customHeight="1">
      <c r="A309" s="1" t="s">
        <v>691</v>
      </c>
      <c r="B309" s="2" t="s">
        <v>84</v>
      </c>
      <c r="C309" s="2" t="s">
        <v>692</v>
      </c>
      <c r="D309" s="108" t="s">
        <v>693</v>
      </c>
      <c r="E309" s="103"/>
      <c r="F309" s="2" t="s">
        <v>263</v>
      </c>
      <c r="G309" s="38">
        <v>6.5</v>
      </c>
      <c r="H309" s="70">
        <v>0</v>
      </c>
      <c r="I309" s="38">
        <f>G309*H309</f>
        <v>0</v>
      </c>
      <c r="J309" s="38">
        <v>0.01071</v>
      </c>
      <c r="K309" s="38">
        <f>G309*J309</f>
        <v>0.06961500000000001</v>
      </c>
      <c r="L309" s="71" t="s">
        <v>207</v>
      </c>
      <c r="Z309" s="38">
        <f>IF(AQ309="5",BJ309,0)</f>
        <v>0</v>
      </c>
      <c r="AB309" s="38">
        <f>IF(AQ309="1",BH309,0)</f>
        <v>0</v>
      </c>
      <c r="AC309" s="38">
        <f>IF(AQ309="1",BI309,0)</f>
        <v>0</v>
      </c>
      <c r="AD309" s="38">
        <f>IF(AQ309="7",BH309,0)</f>
        <v>0</v>
      </c>
      <c r="AE309" s="38">
        <f>IF(AQ309="7",BI309,0)</f>
        <v>0</v>
      </c>
      <c r="AF309" s="38">
        <f>IF(AQ309="2",BH309,0)</f>
        <v>0</v>
      </c>
      <c r="AG309" s="38">
        <f>IF(AQ309="2",BI309,0)</f>
        <v>0</v>
      </c>
      <c r="AH309" s="38">
        <f>IF(AQ309="0",BJ309,0)</f>
        <v>0</v>
      </c>
      <c r="AI309" s="50" t="s">
        <v>84</v>
      </c>
      <c r="AJ309" s="38">
        <f>IF(AN309=0,I309,0)</f>
        <v>0</v>
      </c>
      <c r="AK309" s="38">
        <f>IF(AN309=12,I309,0)</f>
        <v>0</v>
      </c>
      <c r="AL309" s="38">
        <f>IF(AN309=21,I309,0)</f>
        <v>0</v>
      </c>
      <c r="AN309" s="38">
        <v>21</v>
      </c>
      <c r="AO309" s="38">
        <f>H309*0.743594891</f>
        <v>0</v>
      </c>
      <c r="AP309" s="38">
        <f>H309*(1-0.743594891)</f>
        <v>0</v>
      </c>
      <c r="AQ309" s="72" t="s">
        <v>132</v>
      </c>
      <c r="AV309" s="38">
        <f>AW309+AX309</f>
        <v>0</v>
      </c>
      <c r="AW309" s="38">
        <f>G309*AO309</f>
        <v>0</v>
      </c>
      <c r="AX309" s="38">
        <f>G309*AP309</f>
        <v>0</v>
      </c>
      <c r="AY309" s="72" t="s">
        <v>683</v>
      </c>
      <c r="AZ309" s="72" t="s">
        <v>511</v>
      </c>
      <c r="BA309" s="50" t="s">
        <v>139</v>
      </c>
      <c r="BB309" s="73">
        <v>100023</v>
      </c>
      <c r="BC309" s="38">
        <f>AW309+AX309</f>
        <v>0</v>
      </c>
      <c r="BD309" s="38">
        <f>H309/(100-BE309)*100</f>
        <v>0</v>
      </c>
      <c r="BE309" s="38">
        <v>0</v>
      </c>
      <c r="BF309" s="38">
        <f>K309</f>
        <v>0.06961500000000001</v>
      </c>
      <c r="BH309" s="38">
        <f>G309*AO309</f>
        <v>0</v>
      </c>
      <c r="BI309" s="38">
        <f>G309*AP309</f>
        <v>0</v>
      </c>
      <c r="BJ309" s="38">
        <f>G309*H309</f>
        <v>0</v>
      </c>
      <c r="BK309" s="38"/>
      <c r="BL309" s="38">
        <v>63</v>
      </c>
      <c r="BW309" s="38">
        <v>21</v>
      </c>
    </row>
    <row r="310" spans="1:12" ht="13.5" customHeight="1">
      <c r="A310" s="74"/>
      <c r="D310" s="194" t="s">
        <v>684</v>
      </c>
      <c r="E310" s="195"/>
      <c r="F310" s="195"/>
      <c r="G310" s="195"/>
      <c r="H310" s="196"/>
      <c r="I310" s="195"/>
      <c r="J310" s="195"/>
      <c r="K310" s="195"/>
      <c r="L310" s="197"/>
    </row>
    <row r="311" spans="1:12" ht="15">
      <c r="A311" s="74"/>
      <c r="D311" s="75" t="s">
        <v>694</v>
      </c>
      <c r="E311" s="75" t="s">
        <v>695</v>
      </c>
      <c r="G311" s="76">
        <v>6.5</v>
      </c>
      <c r="L311" s="77"/>
    </row>
    <row r="312" spans="1:75" ht="13.5" customHeight="1">
      <c r="A312" s="1" t="s">
        <v>696</v>
      </c>
      <c r="B312" s="2" t="s">
        <v>84</v>
      </c>
      <c r="C312" s="2" t="s">
        <v>697</v>
      </c>
      <c r="D312" s="108" t="s">
        <v>698</v>
      </c>
      <c r="E312" s="103"/>
      <c r="F312" s="2" t="s">
        <v>263</v>
      </c>
      <c r="G312" s="38">
        <v>15.9</v>
      </c>
      <c r="H312" s="70">
        <v>0</v>
      </c>
      <c r="I312" s="38">
        <f>G312*H312</f>
        <v>0</v>
      </c>
      <c r="J312" s="38">
        <v>0.02678</v>
      </c>
      <c r="K312" s="38">
        <f>G312*J312</f>
        <v>0.425802</v>
      </c>
      <c r="L312" s="71" t="s">
        <v>207</v>
      </c>
      <c r="Z312" s="38">
        <f>IF(AQ312="5",BJ312,0)</f>
        <v>0</v>
      </c>
      <c r="AB312" s="38">
        <f>IF(AQ312="1",BH312,0)</f>
        <v>0</v>
      </c>
      <c r="AC312" s="38">
        <f>IF(AQ312="1",BI312,0)</f>
        <v>0</v>
      </c>
      <c r="AD312" s="38">
        <f>IF(AQ312="7",BH312,0)</f>
        <v>0</v>
      </c>
      <c r="AE312" s="38">
        <f>IF(AQ312="7",BI312,0)</f>
        <v>0</v>
      </c>
      <c r="AF312" s="38">
        <f>IF(AQ312="2",BH312,0)</f>
        <v>0</v>
      </c>
      <c r="AG312" s="38">
        <f>IF(AQ312="2",BI312,0)</f>
        <v>0</v>
      </c>
      <c r="AH312" s="38">
        <f>IF(AQ312="0",BJ312,0)</f>
        <v>0</v>
      </c>
      <c r="AI312" s="50" t="s">
        <v>84</v>
      </c>
      <c r="AJ312" s="38">
        <f>IF(AN312=0,I312,0)</f>
        <v>0</v>
      </c>
      <c r="AK312" s="38">
        <f>IF(AN312=12,I312,0)</f>
        <v>0</v>
      </c>
      <c r="AL312" s="38">
        <f>IF(AN312=21,I312,0)</f>
        <v>0</v>
      </c>
      <c r="AN312" s="38">
        <v>21</v>
      </c>
      <c r="AO312" s="38">
        <f>H312*0.864465772</f>
        <v>0</v>
      </c>
      <c r="AP312" s="38">
        <f>H312*(1-0.864465772)</f>
        <v>0</v>
      </c>
      <c r="AQ312" s="72" t="s">
        <v>132</v>
      </c>
      <c r="AV312" s="38">
        <f>AW312+AX312</f>
        <v>0</v>
      </c>
      <c r="AW312" s="38">
        <f>G312*AO312</f>
        <v>0</v>
      </c>
      <c r="AX312" s="38">
        <f>G312*AP312</f>
        <v>0</v>
      </c>
      <c r="AY312" s="72" t="s">
        <v>683</v>
      </c>
      <c r="AZ312" s="72" t="s">
        <v>511</v>
      </c>
      <c r="BA312" s="50" t="s">
        <v>139</v>
      </c>
      <c r="BB312" s="73">
        <v>100023</v>
      </c>
      <c r="BC312" s="38">
        <f>AW312+AX312</f>
        <v>0</v>
      </c>
      <c r="BD312" s="38">
        <f>H312/(100-BE312)*100</f>
        <v>0</v>
      </c>
      <c r="BE312" s="38">
        <v>0</v>
      </c>
      <c r="BF312" s="38">
        <f>K312</f>
        <v>0.425802</v>
      </c>
      <c r="BH312" s="38">
        <f>G312*AO312</f>
        <v>0</v>
      </c>
      <c r="BI312" s="38">
        <f>G312*AP312</f>
        <v>0</v>
      </c>
      <c r="BJ312" s="38">
        <f>G312*H312</f>
        <v>0</v>
      </c>
      <c r="BK312" s="38"/>
      <c r="BL312" s="38">
        <v>63</v>
      </c>
      <c r="BW312" s="38">
        <v>21</v>
      </c>
    </row>
    <row r="313" spans="1:12" ht="13.5" customHeight="1">
      <c r="A313" s="74"/>
      <c r="D313" s="194" t="s">
        <v>699</v>
      </c>
      <c r="E313" s="195"/>
      <c r="F313" s="195"/>
      <c r="G313" s="195"/>
      <c r="H313" s="196"/>
      <c r="I313" s="195"/>
      <c r="J313" s="195"/>
      <c r="K313" s="195"/>
      <c r="L313" s="197"/>
    </row>
    <row r="314" spans="1:12" ht="15">
      <c r="A314" s="74"/>
      <c r="D314" s="75" t="s">
        <v>309</v>
      </c>
      <c r="E314" s="75" t="s">
        <v>700</v>
      </c>
      <c r="G314" s="76">
        <v>15.9</v>
      </c>
      <c r="L314" s="77"/>
    </row>
    <row r="315" spans="1:75" ht="13.5" customHeight="1">
      <c r="A315" s="1" t="s">
        <v>701</v>
      </c>
      <c r="B315" s="2" t="s">
        <v>84</v>
      </c>
      <c r="C315" s="2" t="s">
        <v>681</v>
      </c>
      <c r="D315" s="108" t="s">
        <v>702</v>
      </c>
      <c r="E315" s="103"/>
      <c r="F315" s="2" t="s">
        <v>263</v>
      </c>
      <c r="G315" s="38">
        <v>9.15</v>
      </c>
      <c r="H315" s="70">
        <v>0</v>
      </c>
      <c r="I315" s="38">
        <f>G315*H315</f>
        <v>0</v>
      </c>
      <c r="J315" s="38">
        <v>0.00357</v>
      </c>
      <c r="K315" s="38">
        <f>G315*J315</f>
        <v>0.0326655</v>
      </c>
      <c r="L315" s="71" t="s">
        <v>207</v>
      </c>
      <c r="Z315" s="38">
        <f>IF(AQ315="5",BJ315,0)</f>
        <v>0</v>
      </c>
      <c r="AB315" s="38">
        <f>IF(AQ315="1",BH315,0)</f>
        <v>0</v>
      </c>
      <c r="AC315" s="38">
        <f>IF(AQ315="1",BI315,0)</f>
        <v>0</v>
      </c>
      <c r="AD315" s="38">
        <f>IF(AQ315="7",BH315,0)</f>
        <v>0</v>
      </c>
      <c r="AE315" s="38">
        <f>IF(AQ315="7",BI315,0)</f>
        <v>0</v>
      </c>
      <c r="AF315" s="38">
        <f>IF(AQ315="2",BH315,0)</f>
        <v>0</v>
      </c>
      <c r="AG315" s="38">
        <f>IF(AQ315="2",BI315,0)</f>
        <v>0</v>
      </c>
      <c r="AH315" s="38">
        <f>IF(AQ315="0",BJ315,0)</f>
        <v>0</v>
      </c>
      <c r="AI315" s="50" t="s">
        <v>84</v>
      </c>
      <c r="AJ315" s="38">
        <f>IF(AN315=0,I315,0)</f>
        <v>0</v>
      </c>
      <c r="AK315" s="38">
        <f>IF(AN315=12,I315,0)</f>
        <v>0</v>
      </c>
      <c r="AL315" s="38">
        <f>IF(AN315=21,I315,0)</f>
        <v>0</v>
      </c>
      <c r="AN315" s="38">
        <v>21</v>
      </c>
      <c r="AO315" s="38">
        <f>H315*0.500745169</f>
        <v>0</v>
      </c>
      <c r="AP315" s="38">
        <f>H315*(1-0.500745169)</f>
        <v>0</v>
      </c>
      <c r="AQ315" s="72" t="s">
        <v>132</v>
      </c>
      <c r="AV315" s="38">
        <f>AW315+AX315</f>
        <v>0</v>
      </c>
      <c r="AW315" s="38">
        <f>G315*AO315</f>
        <v>0</v>
      </c>
      <c r="AX315" s="38">
        <f>G315*AP315</f>
        <v>0</v>
      </c>
      <c r="AY315" s="72" t="s">
        <v>683</v>
      </c>
      <c r="AZ315" s="72" t="s">
        <v>511</v>
      </c>
      <c r="BA315" s="50" t="s">
        <v>139</v>
      </c>
      <c r="BB315" s="73">
        <v>100023</v>
      </c>
      <c r="BC315" s="38">
        <f>AW315+AX315</f>
        <v>0</v>
      </c>
      <c r="BD315" s="38">
        <f>H315/(100-BE315)*100</f>
        <v>0</v>
      </c>
      <c r="BE315" s="38">
        <v>0</v>
      </c>
      <c r="BF315" s="38">
        <f>K315</f>
        <v>0.0326655</v>
      </c>
      <c r="BH315" s="38">
        <f>G315*AO315</f>
        <v>0</v>
      </c>
      <c r="BI315" s="38">
        <f>G315*AP315</f>
        <v>0</v>
      </c>
      <c r="BJ315" s="38">
        <f>G315*H315</f>
        <v>0</v>
      </c>
      <c r="BK315" s="38"/>
      <c r="BL315" s="38">
        <v>63</v>
      </c>
      <c r="BW315" s="38">
        <v>21</v>
      </c>
    </row>
    <row r="316" spans="1:12" ht="13.5" customHeight="1">
      <c r="A316" s="74"/>
      <c r="D316" s="194" t="s">
        <v>684</v>
      </c>
      <c r="E316" s="195"/>
      <c r="F316" s="195"/>
      <c r="G316" s="195"/>
      <c r="H316" s="196"/>
      <c r="I316" s="195"/>
      <c r="J316" s="195"/>
      <c r="K316" s="195"/>
      <c r="L316" s="197"/>
    </row>
    <row r="317" spans="1:12" ht="15">
      <c r="A317" s="74"/>
      <c r="D317" s="75" t="s">
        <v>703</v>
      </c>
      <c r="E317" s="75" t="s">
        <v>704</v>
      </c>
      <c r="G317" s="76">
        <v>9.15</v>
      </c>
      <c r="L317" s="77"/>
    </row>
    <row r="318" spans="1:75" ht="13.5" customHeight="1">
      <c r="A318" s="1" t="s">
        <v>705</v>
      </c>
      <c r="B318" s="2" t="s">
        <v>84</v>
      </c>
      <c r="C318" s="2" t="s">
        <v>706</v>
      </c>
      <c r="D318" s="108" t="s">
        <v>707</v>
      </c>
      <c r="E318" s="103"/>
      <c r="F318" s="2" t="s">
        <v>135</v>
      </c>
      <c r="G318" s="38">
        <v>0.5</v>
      </c>
      <c r="H318" s="70">
        <v>0</v>
      </c>
      <c r="I318" s="38">
        <f>G318*H318</f>
        <v>0</v>
      </c>
      <c r="J318" s="38">
        <v>2.525</v>
      </c>
      <c r="K318" s="38">
        <f>G318*J318</f>
        <v>1.2625</v>
      </c>
      <c r="L318" s="71" t="s">
        <v>136</v>
      </c>
      <c r="Z318" s="38">
        <f>IF(AQ318="5",BJ318,0)</f>
        <v>0</v>
      </c>
      <c r="AB318" s="38">
        <f>IF(AQ318="1",BH318,0)</f>
        <v>0</v>
      </c>
      <c r="AC318" s="38">
        <f>IF(AQ318="1",BI318,0)</f>
        <v>0</v>
      </c>
      <c r="AD318" s="38">
        <f>IF(AQ318="7",BH318,0)</f>
        <v>0</v>
      </c>
      <c r="AE318" s="38">
        <f>IF(AQ318="7",BI318,0)</f>
        <v>0</v>
      </c>
      <c r="AF318" s="38">
        <f>IF(AQ318="2",BH318,0)</f>
        <v>0</v>
      </c>
      <c r="AG318" s="38">
        <f>IF(AQ318="2",BI318,0)</f>
        <v>0</v>
      </c>
      <c r="AH318" s="38">
        <f>IF(AQ318="0",BJ318,0)</f>
        <v>0</v>
      </c>
      <c r="AI318" s="50" t="s">
        <v>84</v>
      </c>
      <c r="AJ318" s="38">
        <f>IF(AN318=0,I318,0)</f>
        <v>0</v>
      </c>
      <c r="AK318" s="38">
        <f>IF(AN318=12,I318,0)</f>
        <v>0</v>
      </c>
      <c r="AL318" s="38">
        <f>IF(AN318=21,I318,0)</f>
        <v>0</v>
      </c>
      <c r="AN318" s="38">
        <v>21</v>
      </c>
      <c r="AO318" s="38">
        <f>H318*0.713847032</f>
        <v>0</v>
      </c>
      <c r="AP318" s="38">
        <f>H318*(1-0.713847032)</f>
        <v>0</v>
      </c>
      <c r="AQ318" s="72" t="s">
        <v>132</v>
      </c>
      <c r="AV318" s="38">
        <f>AW318+AX318</f>
        <v>0</v>
      </c>
      <c r="AW318" s="38">
        <f>G318*AO318</f>
        <v>0</v>
      </c>
      <c r="AX318" s="38">
        <f>G318*AP318</f>
        <v>0</v>
      </c>
      <c r="AY318" s="72" t="s">
        <v>683</v>
      </c>
      <c r="AZ318" s="72" t="s">
        <v>511</v>
      </c>
      <c r="BA318" s="50" t="s">
        <v>139</v>
      </c>
      <c r="BB318" s="73">
        <v>100023</v>
      </c>
      <c r="BC318" s="38">
        <f>AW318+AX318</f>
        <v>0</v>
      </c>
      <c r="BD318" s="38">
        <f>H318/(100-BE318)*100</f>
        <v>0</v>
      </c>
      <c r="BE318" s="38">
        <v>0</v>
      </c>
      <c r="BF318" s="38">
        <f>K318</f>
        <v>1.2625</v>
      </c>
      <c r="BH318" s="38">
        <f>G318*AO318</f>
        <v>0</v>
      </c>
      <c r="BI318" s="38">
        <f>G318*AP318</f>
        <v>0</v>
      </c>
      <c r="BJ318" s="38">
        <f>G318*H318</f>
        <v>0</v>
      </c>
      <c r="BK318" s="38"/>
      <c r="BL318" s="38">
        <v>63</v>
      </c>
      <c r="BW318" s="38">
        <v>21</v>
      </c>
    </row>
    <row r="319" spans="1:12" ht="15">
      <c r="A319" s="74"/>
      <c r="D319" s="75" t="s">
        <v>708</v>
      </c>
      <c r="E319" s="75" t="s">
        <v>709</v>
      </c>
      <c r="G319" s="76">
        <v>0.5</v>
      </c>
      <c r="L319" s="77"/>
    </row>
    <row r="320" spans="1:75" ht="13.5" customHeight="1">
      <c r="A320" s="1" t="s">
        <v>710</v>
      </c>
      <c r="B320" s="2" t="s">
        <v>84</v>
      </c>
      <c r="C320" s="2" t="s">
        <v>711</v>
      </c>
      <c r="D320" s="108" t="s">
        <v>712</v>
      </c>
      <c r="E320" s="103"/>
      <c r="F320" s="2" t="s">
        <v>135</v>
      </c>
      <c r="G320" s="38">
        <v>0.5</v>
      </c>
      <c r="H320" s="70">
        <v>0</v>
      </c>
      <c r="I320" s="38">
        <f>G320*H320</f>
        <v>0</v>
      </c>
      <c r="J320" s="38">
        <v>2.525</v>
      </c>
      <c r="K320" s="38">
        <f>G320*J320</f>
        <v>1.2625</v>
      </c>
      <c r="L320" s="71" t="s">
        <v>136</v>
      </c>
      <c r="Z320" s="38">
        <f>IF(AQ320="5",BJ320,0)</f>
        <v>0</v>
      </c>
      <c r="AB320" s="38">
        <f>IF(AQ320="1",BH320,0)</f>
        <v>0</v>
      </c>
      <c r="AC320" s="38">
        <f>IF(AQ320="1",BI320,0)</f>
        <v>0</v>
      </c>
      <c r="AD320" s="38">
        <f>IF(AQ320="7",BH320,0)</f>
        <v>0</v>
      </c>
      <c r="AE320" s="38">
        <f>IF(AQ320="7",BI320,0)</f>
        <v>0</v>
      </c>
      <c r="AF320" s="38">
        <f>IF(AQ320="2",BH320,0)</f>
        <v>0</v>
      </c>
      <c r="AG320" s="38">
        <f>IF(AQ320="2",BI320,0)</f>
        <v>0</v>
      </c>
      <c r="AH320" s="38">
        <f>IF(AQ320="0",BJ320,0)</f>
        <v>0</v>
      </c>
      <c r="AI320" s="50" t="s">
        <v>84</v>
      </c>
      <c r="AJ320" s="38">
        <f>IF(AN320=0,I320,0)</f>
        <v>0</v>
      </c>
      <c r="AK320" s="38">
        <f>IF(AN320=12,I320,0)</f>
        <v>0</v>
      </c>
      <c r="AL320" s="38">
        <f>IF(AN320=21,I320,0)</f>
        <v>0</v>
      </c>
      <c r="AN320" s="38">
        <v>21</v>
      </c>
      <c r="AO320" s="38">
        <f>H320*0.757539394</f>
        <v>0</v>
      </c>
      <c r="AP320" s="38">
        <f>H320*(1-0.757539394)</f>
        <v>0</v>
      </c>
      <c r="AQ320" s="72" t="s">
        <v>132</v>
      </c>
      <c r="AV320" s="38">
        <f>AW320+AX320</f>
        <v>0</v>
      </c>
      <c r="AW320" s="38">
        <f>G320*AO320</f>
        <v>0</v>
      </c>
      <c r="AX320" s="38">
        <f>G320*AP320</f>
        <v>0</v>
      </c>
      <c r="AY320" s="72" t="s">
        <v>683</v>
      </c>
      <c r="AZ320" s="72" t="s">
        <v>511</v>
      </c>
      <c r="BA320" s="50" t="s">
        <v>139</v>
      </c>
      <c r="BB320" s="73">
        <v>100023</v>
      </c>
      <c r="BC320" s="38">
        <f>AW320+AX320</f>
        <v>0</v>
      </c>
      <c r="BD320" s="38">
        <f>H320/(100-BE320)*100</f>
        <v>0</v>
      </c>
      <c r="BE320" s="38">
        <v>0</v>
      </c>
      <c r="BF320" s="38">
        <f>K320</f>
        <v>1.2625</v>
      </c>
      <c r="BH320" s="38">
        <f>G320*AO320</f>
        <v>0</v>
      </c>
      <c r="BI320" s="38">
        <f>G320*AP320</f>
        <v>0</v>
      </c>
      <c r="BJ320" s="38">
        <f>G320*H320</f>
        <v>0</v>
      </c>
      <c r="BK320" s="38"/>
      <c r="BL320" s="38">
        <v>63</v>
      </c>
      <c r="BW320" s="38">
        <v>21</v>
      </c>
    </row>
    <row r="321" spans="1:12" ht="13.5" customHeight="1">
      <c r="A321" s="74"/>
      <c r="D321" s="194" t="s">
        <v>713</v>
      </c>
      <c r="E321" s="195"/>
      <c r="F321" s="195"/>
      <c r="G321" s="195"/>
      <c r="H321" s="196"/>
      <c r="I321" s="195"/>
      <c r="J321" s="195"/>
      <c r="K321" s="195"/>
      <c r="L321" s="197"/>
    </row>
    <row r="322" spans="1:12" ht="15">
      <c r="A322" s="74"/>
      <c r="D322" s="75" t="s">
        <v>714</v>
      </c>
      <c r="E322" s="75" t="s">
        <v>709</v>
      </c>
      <c r="G322" s="76">
        <v>0.5</v>
      </c>
      <c r="L322" s="77"/>
    </row>
    <row r="323" spans="1:75" ht="13.5" customHeight="1">
      <c r="A323" s="1" t="s">
        <v>715</v>
      </c>
      <c r="B323" s="2" t="s">
        <v>84</v>
      </c>
      <c r="C323" s="2" t="s">
        <v>716</v>
      </c>
      <c r="D323" s="108" t="s">
        <v>717</v>
      </c>
      <c r="E323" s="103"/>
      <c r="F323" s="2" t="s">
        <v>189</v>
      </c>
      <c r="G323" s="38">
        <v>0.02</v>
      </c>
      <c r="H323" s="70">
        <v>0</v>
      </c>
      <c r="I323" s="38">
        <f>G323*H323</f>
        <v>0</v>
      </c>
      <c r="J323" s="38">
        <v>1.06625</v>
      </c>
      <c r="K323" s="38">
        <f>G323*J323</f>
        <v>0.021325</v>
      </c>
      <c r="L323" s="71" t="s">
        <v>136</v>
      </c>
      <c r="Z323" s="38">
        <f>IF(AQ323="5",BJ323,0)</f>
        <v>0</v>
      </c>
      <c r="AB323" s="38">
        <f>IF(AQ323="1",BH323,0)</f>
        <v>0</v>
      </c>
      <c r="AC323" s="38">
        <f>IF(AQ323="1",BI323,0)</f>
        <v>0</v>
      </c>
      <c r="AD323" s="38">
        <f>IF(AQ323="7",BH323,0)</f>
        <v>0</v>
      </c>
      <c r="AE323" s="38">
        <f>IF(AQ323="7",BI323,0)</f>
        <v>0</v>
      </c>
      <c r="AF323" s="38">
        <f>IF(AQ323="2",BH323,0)</f>
        <v>0</v>
      </c>
      <c r="AG323" s="38">
        <f>IF(AQ323="2",BI323,0)</f>
        <v>0</v>
      </c>
      <c r="AH323" s="38">
        <f>IF(AQ323="0",BJ323,0)</f>
        <v>0</v>
      </c>
      <c r="AI323" s="50" t="s">
        <v>84</v>
      </c>
      <c r="AJ323" s="38">
        <f>IF(AN323=0,I323,0)</f>
        <v>0</v>
      </c>
      <c r="AK323" s="38">
        <f>IF(AN323=12,I323,0)</f>
        <v>0</v>
      </c>
      <c r="AL323" s="38">
        <f>IF(AN323=21,I323,0)</f>
        <v>0</v>
      </c>
      <c r="AN323" s="38">
        <v>21</v>
      </c>
      <c r="AO323" s="38">
        <f>H323*0.792763085</f>
        <v>0</v>
      </c>
      <c r="AP323" s="38">
        <f>H323*(1-0.792763085)</f>
        <v>0</v>
      </c>
      <c r="AQ323" s="72" t="s">
        <v>132</v>
      </c>
      <c r="AV323" s="38">
        <f>AW323+AX323</f>
        <v>0</v>
      </c>
      <c r="AW323" s="38">
        <f>G323*AO323</f>
        <v>0</v>
      </c>
      <c r="AX323" s="38">
        <f>G323*AP323</f>
        <v>0</v>
      </c>
      <c r="AY323" s="72" t="s">
        <v>683</v>
      </c>
      <c r="AZ323" s="72" t="s">
        <v>511</v>
      </c>
      <c r="BA323" s="50" t="s">
        <v>139</v>
      </c>
      <c r="BB323" s="73">
        <v>100023</v>
      </c>
      <c r="BC323" s="38">
        <f>AW323+AX323</f>
        <v>0</v>
      </c>
      <c r="BD323" s="38">
        <f>H323/(100-BE323)*100</f>
        <v>0</v>
      </c>
      <c r="BE323" s="38">
        <v>0</v>
      </c>
      <c r="BF323" s="38">
        <f>K323</f>
        <v>0.021325</v>
      </c>
      <c r="BH323" s="38">
        <f>G323*AO323</f>
        <v>0</v>
      </c>
      <c r="BI323" s="38">
        <f>G323*AP323</f>
        <v>0</v>
      </c>
      <c r="BJ323" s="38">
        <f>G323*H323</f>
        <v>0</v>
      </c>
      <c r="BK323" s="38"/>
      <c r="BL323" s="38">
        <v>63</v>
      </c>
      <c r="BW323" s="38">
        <v>21</v>
      </c>
    </row>
    <row r="324" spans="1:12" ht="13.5" customHeight="1">
      <c r="A324" s="74"/>
      <c r="D324" s="194" t="s">
        <v>718</v>
      </c>
      <c r="E324" s="195"/>
      <c r="F324" s="195"/>
      <c r="G324" s="195"/>
      <c r="H324" s="196"/>
      <c r="I324" s="195"/>
      <c r="J324" s="195"/>
      <c r="K324" s="195"/>
      <c r="L324" s="197"/>
    </row>
    <row r="325" spans="1:12" ht="15">
      <c r="A325" s="74"/>
      <c r="D325" s="75" t="s">
        <v>719</v>
      </c>
      <c r="E325" s="75" t="s">
        <v>709</v>
      </c>
      <c r="G325" s="76">
        <v>0.02</v>
      </c>
      <c r="L325" s="77"/>
    </row>
    <row r="326" spans="1:75" ht="13.5" customHeight="1">
      <c r="A326" s="1" t="s">
        <v>720</v>
      </c>
      <c r="B326" s="2" t="s">
        <v>84</v>
      </c>
      <c r="C326" s="2" t="s">
        <v>721</v>
      </c>
      <c r="D326" s="108" t="s">
        <v>722</v>
      </c>
      <c r="E326" s="103"/>
      <c r="F326" s="2" t="s">
        <v>189</v>
      </c>
      <c r="G326" s="38">
        <v>0.02</v>
      </c>
      <c r="H326" s="70">
        <v>0</v>
      </c>
      <c r="I326" s="38">
        <f>G326*H326</f>
        <v>0</v>
      </c>
      <c r="J326" s="38">
        <v>1.06625</v>
      </c>
      <c r="K326" s="38">
        <f>G326*J326</f>
        <v>0.021325</v>
      </c>
      <c r="L326" s="71" t="s">
        <v>136</v>
      </c>
      <c r="Z326" s="38">
        <f>IF(AQ326="5",BJ326,0)</f>
        <v>0</v>
      </c>
      <c r="AB326" s="38">
        <f>IF(AQ326="1",BH326,0)</f>
        <v>0</v>
      </c>
      <c r="AC326" s="38">
        <f>IF(AQ326="1",BI326,0)</f>
        <v>0</v>
      </c>
      <c r="AD326" s="38">
        <f>IF(AQ326="7",BH326,0)</f>
        <v>0</v>
      </c>
      <c r="AE326" s="38">
        <f>IF(AQ326="7",BI326,0)</f>
        <v>0</v>
      </c>
      <c r="AF326" s="38">
        <f>IF(AQ326="2",BH326,0)</f>
        <v>0</v>
      </c>
      <c r="AG326" s="38">
        <f>IF(AQ326="2",BI326,0)</f>
        <v>0</v>
      </c>
      <c r="AH326" s="38">
        <f>IF(AQ326="0",BJ326,0)</f>
        <v>0</v>
      </c>
      <c r="AI326" s="50" t="s">
        <v>84</v>
      </c>
      <c r="AJ326" s="38">
        <f>IF(AN326=0,I326,0)</f>
        <v>0</v>
      </c>
      <c r="AK326" s="38">
        <f>IF(AN326=12,I326,0)</f>
        <v>0</v>
      </c>
      <c r="AL326" s="38">
        <f>IF(AN326=21,I326,0)</f>
        <v>0</v>
      </c>
      <c r="AN326" s="38">
        <v>21</v>
      </c>
      <c r="AO326" s="38">
        <f>H326*0.783520526</f>
        <v>0</v>
      </c>
      <c r="AP326" s="38">
        <f>H326*(1-0.783520526)</f>
        <v>0</v>
      </c>
      <c r="AQ326" s="72" t="s">
        <v>132</v>
      </c>
      <c r="AV326" s="38">
        <f>AW326+AX326</f>
        <v>0</v>
      </c>
      <c r="AW326" s="38">
        <f>G326*AO326</f>
        <v>0</v>
      </c>
      <c r="AX326" s="38">
        <f>G326*AP326</f>
        <v>0</v>
      </c>
      <c r="AY326" s="72" t="s">
        <v>683</v>
      </c>
      <c r="AZ326" s="72" t="s">
        <v>511</v>
      </c>
      <c r="BA326" s="50" t="s">
        <v>139</v>
      </c>
      <c r="BB326" s="73">
        <v>100023</v>
      </c>
      <c r="BC326" s="38">
        <f>AW326+AX326</f>
        <v>0</v>
      </c>
      <c r="BD326" s="38">
        <f>H326/(100-BE326)*100</f>
        <v>0</v>
      </c>
      <c r="BE326" s="38">
        <v>0</v>
      </c>
      <c r="BF326" s="38">
        <f>K326</f>
        <v>0.021325</v>
      </c>
      <c r="BH326" s="38">
        <f>G326*AO326</f>
        <v>0</v>
      </c>
      <c r="BI326" s="38">
        <f>G326*AP326</f>
        <v>0</v>
      </c>
      <c r="BJ326" s="38">
        <f>G326*H326</f>
        <v>0</v>
      </c>
      <c r="BK326" s="38"/>
      <c r="BL326" s="38">
        <v>63</v>
      </c>
      <c r="BW326" s="38">
        <v>21</v>
      </c>
    </row>
    <row r="327" spans="1:12" ht="13.5" customHeight="1">
      <c r="A327" s="74"/>
      <c r="D327" s="194" t="s">
        <v>723</v>
      </c>
      <c r="E327" s="195"/>
      <c r="F327" s="195"/>
      <c r="G327" s="195"/>
      <c r="H327" s="196"/>
      <c r="I327" s="195"/>
      <c r="J327" s="195"/>
      <c r="K327" s="195"/>
      <c r="L327" s="197"/>
    </row>
    <row r="328" spans="1:12" ht="15">
      <c r="A328" s="74"/>
      <c r="D328" s="75" t="s">
        <v>724</v>
      </c>
      <c r="E328" s="75" t="s">
        <v>709</v>
      </c>
      <c r="G328" s="76">
        <v>0.02</v>
      </c>
      <c r="L328" s="77"/>
    </row>
    <row r="329" spans="1:75" ht="13.5" customHeight="1">
      <c r="A329" s="1" t="s">
        <v>725</v>
      </c>
      <c r="B329" s="2" t="s">
        <v>84</v>
      </c>
      <c r="C329" s="2" t="s">
        <v>726</v>
      </c>
      <c r="D329" s="108" t="s">
        <v>727</v>
      </c>
      <c r="E329" s="103"/>
      <c r="F329" s="2" t="s">
        <v>135</v>
      </c>
      <c r="G329" s="38">
        <v>1.26</v>
      </c>
      <c r="H329" s="70">
        <v>0</v>
      </c>
      <c r="I329" s="38">
        <f>G329*H329</f>
        <v>0</v>
      </c>
      <c r="J329" s="38">
        <v>1.837</v>
      </c>
      <c r="K329" s="38">
        <f>G329*J329</f>
        <v>2.31462</v>
      </c>
      <c r="L329" s="71" t="s">
        <v>136</v>
      </c>
      <c r="Z329" s="38">
        <f>IF(AQ329="5",BJ329,0)</f>
        <v>0</v>
      </c>
      <c r="AB329" s="38">
        <f>IF(AQ329="1",BH329,0)</f>
        <v>0</v>
      </c>
      <c r="AC329" s="38">
        <f>IF(AQ329="1",BI329,0)</f>
        <v>0</v>
      </c>
      <c r="AD329" s="38">
        <f>IF(AQ329="7",BH329,0)</f>
        <v>0</v>
      </c>
      <c r="AE329" s="38">
        <f>IF(AQ329="7",BI329,0)</f>
        <v>0</v>
      </c>
      <c r="AF329" s="38">
        <f>IF(AQ329="2",BH329,0)</f>
        <v>0</v>
      </c>
      <c r="AG329" s="38">
        <f>IF(AQ329="2",BI329,0)</f>
        <v>0</v>
      </c>
      <c r="AH329" s="38">
        <f>IF(AQ329="0",BJ329,0)</f>
        <v>0</v>
      </c>
      <c r="AI329" s="50" t="s">
        <v>84</v>
      </c>
      <c r="AJ329" s="38">
        <f>IF(AN329=0,I329,0)</f>
        <v>0</v>
      </c>
      <c r="AK329" s="38">
        <f>IF(AN329=12,I329,0)</f>
        <v>0</v>
      </c>
      <c r="AL329" s="38">
        <f>IF(AN329=21,I329,0)</f>
        <v>0</v>
      </c>
      <c r="AN329" s="38">
        <v>21</v>
      </c>
      <c r="AO329" s="38">
        <f>H329*0.441820434</f>
        <v>0</v>
      </c>
      <c r="AP329" s="38">
        <f>H329*(1-0.441820434)</f>
        <v>0</v>
      </c>
      <c r="AQ329" s="72" t="s">
        <v>132</v>
      </c>
      <c r="AV329" s="38">
        <f>AW329+AX329</f>
        <v>0</v>
      </c>
      <c r="AW329" s="38">
        <f>G329*AO329</f>
        <v>0</v>
      </c>
      <c r="AX329" s="38">
        <f>G329*AP329</f>
        <v>0</v>
      </c>
      <c r="AY329" s="72" t="s">
        <v>683</v>
      </c>
      <c r="AZ329" s="72" t="s">
        <v>511</v>
      </c>
      <c r="BA329" s="50" t="s">
        <v>139</v>
      </c>
      <c r="BB329" s="73">
        <v>100023</v>
      </c>
      <c r="BC329" s="38">
        <f>AW329+AX329</f>
        <v>0</v>
      </c>
      <c r="BD329" s="38">
        <f>H329/(100-BE329)*100</f>
        <v>0</v>
      </c>
      <c r="BE329" s="38">
        <v>0</v>
      </c>
      <c r="BF329" s="38">
        <f>K329</f>
        <v>2.31462</v>
      </c>
      <c r="BH329" s="38">
        <f>G329*AO329</f>
        <v>0</v>
      </c>
      <c r="BI329" s="38">
        <f>G329*AP329</f>
        <v>0</v>
      </c>
      <c r="BJ329" s="38">
        <f>G329*H329</f>
        <v>0</v>
      </c>
      <c r="BK329" s="38"/>
      <c r="BL329" s="38">
        <v>63</v>
      </c>
      <c r="BW329" s="38">
        <v>21</v>
      </c>
    </row>
    <row r="330" spans="1:12" ht="15">
      <c r="A330" s="74"/>
      <c r="D330" s="75" t="s">
        <v>728</v>
      </c>
      <c r="E330" s="75" t="s">
        <v>709</v>
      </c>
      <c r="G330" s="76">
        <v>1.26</v>
      </c>
      <c r="L330" s="77"/>
    </row>
    <row r="331" spans="1:75" ht="13.5" customHeight="1">
      <c r="A331" s="1" t="s">
        <v>729</v>
      </c>
      <c r="B331" s="2" t="s">
        <v>84</v>
      </c>
      <c r="C331" s="2" t="s">
        <v>730</v>
      </c>
      <c r="D331" s="108" t="s">
        <v>731</v>
      </c>
      <c r="E331" s="103"/>
      <c r="F331" s="2" t="s">
        <v>135</v>
      </c>
      <c r="G331" s="38">
        <v>26.19</v>
      </c>
      <c r="H331" s="70">
        <v>0</v>
      </c>
      <c r="I331" s="38">
        <f>G331*H331</f>
        <v>0</v>
      </c>
      <c r="J331" s="38">
        <v>2.525</v>
      </c>
      <c r="K331" s="38">
        <f>G331*J331</f>
        <v>66.12975</v>
      </c>
      <c r="L331" s="71" t="s">
        <v>136</v>
      </c>
      <c r="Z331" s="38">
        <f>IF(AQ331="5",BJ331,0)</f>
        <v>0</v>
      </c>
      <c r="AB331" s="38">
        <f>IF(AQ331="1",BH331,0)</f>
        <v>0</v>
      </c>
      <c r="AC331" s="38">
        <f>IF(AQ331="1",BI331,0)</f>
        <v>0</v>
      </c>
      <c r="AD331" s="38">
        <f>IF(AQ331="7",BH331,0)</f>
        <v>0</v>
      </c>
      <c r="AE331" s="38">
        <f>IF(AQ331="7",BI331,0)</f>
        <v>0</v>
      </c>
      <c r="AF331" s="38">
        <f>IF(AQ331="2",BH331,0)</f>
        <v>0</v>
      </c>
      <c r="AG331" s="38">
        <f>IF(AQ331="2",BI331,0)</f>
        <v>0</v>
      </c>
      <c r="AH331" s="38">
        <f>IF(AQ331="0",BJ331,0)</f>
        <v>0</v>
      </c>
      <c r="AI331" s="50" t="s">
        <v>84</v>
      </c>
      <c r="AJ331" s="38">
        <f>IF(AN331=0,I331,0)</f>
        <v>0</v>
      </c>
      <c r="AK331" s="38">
        <f>IF(AN331=12,I331,0)</f>
        <v>0</v>
      </c>
      <c r="AL331" s="38">
        <f>IF(AN331=21,I331,0)</f>
        <v>0</v>
      </c>
      <c r="AN331" s="38">
        <v>21</v>
      </c>
      <c r="AO331" s="38">
        <f>H331*0.704421639</f>
        <v>0</v>
      </c>
      <c r="AP331" s="38">
        <f>H331*(1-0.704421639)</f>
        <v>0</v>
      </c>
      <c r="AQ331" s="72" t="s">
        <v>132</v>
      </c>
      <c r="AV331" s="38">
        <f>AW331+AX331</f>
        <v>0</v>
      </c>
      <c r="AW331" s="38">
        <f>G331*AO331</f>
        <v>0</v>
      </c>
      <c r="AX331" s="38">
        <f>G331*AP331</f>
        <v>0</v>
      </c>
      <c r="AY331" s="72" t="s">
        <v>683</v>
      </c>
      <c r="AZ331" s="72" t="s">
        <v>511</v>
      </c>
      <c r="BA331" s="50" t="s">
        <v>139</v>
      </c>
      <c r="BB331" s="73">
        <v>100023</v>
      </c>
      <c r="BC331" s="38">
        <f>AW331+AX331</f>
        <v>0</v>
      </c>
      <c r="BD331" s="38">
        <f>H331/(100-BE331)*100</f>
        <v>0</v>
      </c>
      <c r="BE331" s="38">
        <v>0</v>
      </c>
      <c r="BF331" s="38">
        <f>K331</f>
        <v>66.12975</v>
      </c>
      <c r="BH331" s="38">
        <f>G331*AO331</f>
        <v>0</v>
      </c>
      <c r="BI331" s="38">
        <f>G331*AP331</f>
        <v>0</v>
      </c>
      <c r="BJ331" s="38">
        <f>G331*H331</f>
        <v>0</v>
      </c>
      <c r="BK331" s="38"/>
      <c r="BL331" s="38">
        <v>63</v>
      </c>
      <c r="BW331" s="38">
        <v>21</v>
      </c>
    </row>
    <row r="332" spans="1:12" ht="15">
      <c r="A332" s="74"/>
      <c r="D332" s="75" t="s">
        <v>732</v>
      </c>
      <c r="E332" s="75" t="s">
        <v>733</v>
      </c>
      <c r="G332" s="76">
        <v>0.55</v>
      </c>
      <c r="L332" s="77"/>
    </row>
    <row r="333" spans="1:12" ht="15">
      <c r="A333" s="74"/>
      <c r="D333" s="75" t="s">
        <v>734</v>
      </c>
      <c r="E333" s="75" t="s">
        <v>735</v>
      </c>
      <c r="G333" s="76">
        <v>7.77</v>
      </c>
      <c r="L333" s="77"/>
    </row>
    <row r="334" spans="1:12" ht="15">
      <c r="A334" s="74"/>
      <c r="D334" s="75" t="s">
        <v>736</v>
      </c>
      <c r="E334" s="75" t="s">
        <v>737</v>
      </c>
      <c r="G334" s="76">
        <v>12.89</v>
      </c>
      <c r="L334" s="77"/>
    </row>
    <row r="335" spans="1:12" ht="15">
      <c r="A335" s="74"/>
      <c r="D335" s="75" t="s">
        <v>738</v>
      </c>
      <c r="E335" s="75" t="s">
        <v>739</v>
      </c>
      <c r="G335" s="76">
        <v>4.05</v>
      </c>
      <c r="L335" s="77"/>
    </row>
    <row r="336" spans="1:12" ht="15">
      <c r="A336" s="74"/>
      <c r="D336" s="75" t="s">
        <v>740</v>
      </c>
      <c r="E336" s="75" t="s">
        <v>741</v>
      </c>
      <c r="G336" s="76">
        <v>0.93</v>
      </c>
      <c r="L336" s="77"/>
    </row>
    <row r="337" spans="1:75" ht="13.5" customHeight="1">
      <c r="A337" s="1" t="s">
        <v>742</v>
      </c>
      <c r="B337" s="2" t="s">
        <v>84</v>
      </c>
      <c r="C337" s="2" t="s">
        <v>743</v>
      </c>
      <c r="D337" s="108" t="s">
        <v>744</v>
      </c>
      <c r="E337" s="103"/>
      <c r="F337" s="2" t="s">
        <v>135</v>
      </c>
      <c r="G337" s="38">
        <v>0.46</v>
      </c>
      <c r="H337" s="70">
        <v>0</v>
      </c>
      <c r="I337" s="38">
        <f>G337*H337</f>
        <v>0</v>
      </c>
      <c r="J337" s="38">
        <v>2.525</v>
      </c>
      <c r="K337" s="38">
        <f>G337*J337</f>
        <v>1.1615</v>
      </c>
      <c r="L337" s="71" t="s">
        <v>136</v>
      </c>
      <c r="Z337" s="38">
        <f>IF(AQ337="5",BJ337,0)</f>
        <v>0</v>
      </c>
      <c r="AB337" s="38">
        <f>IF(AQ337="1",BH337,0)</f>
        <v>0</v>
      </c>
      <c r="AC337" s="38">
        <f>IF(AQ337="1",BI337,0)</f>
        <v>0</v>
      </c>
      <c r="AD337" s="38">
        <f>IF(AQ337="7",BH337,0)</f>
        <v>0</v>
      </c>
      <c r="AE337" s="38">
        <f>IF(AQ337="7",BI337,0)</f>
        <v>0</v>
      </c>
      <c r="AF337" s="38">
        <f>IF(AQ337="2",BH337,0)</f>
        <v>0</v>
      </c>
      <c r="AG337" s="38">
        <f>IF(AQ337="2",BI337,0)</f>
        <v>0</v>
      </c>
      <c r="AH337" s="38">
        <f>IF(AQ337="0",BJ337,0)</f>
        <v>0</v>
      </c>
      <c r="AI337" s="50" t="s">
        <v>84</v>
      </c>
      <c r="AJ337" s="38">
        <f>IF(AN337=0,I337,0)</f>
        <v>0</v>
      </c>
      <c r="AK337" s="38">
        <f>IF(AN337=12,I337,0)</f>
        <v>0</v>
      </c>
      <c r="AL337" s="38">
        <f>IF(AN337=21,I337,0)</f>
        <v>0</v>
      </c>
      <c r="AN337" s="38">
        <v>21</v>
      </c>
      <c r="AO337" s="38">
        <f>H337*0.748848204</f>
        <v>0</v>
      </c>
      <c r="AP337" s="38">
        <f>H337*(1-0.748848204)</f>
        <v>0</v>
      </c>
      <c r="AQ337" s="72" t="s">
        <v>132</v>
      </c>
      <c r="AV337" s="38">
        <f>AW337+AX337</f>
        <v>0</v>
      </c>
      <c r="AW337" s="38">
        <f>G337*AO337</f>
        <v>0</v>
      </c>
      <c r="AX337" s="38">
        <f>G337*AP337</f>
        <v>0</v>
      </c>
      <c r="AY337" s="72" t="s">
        <v>683</v>
      </c>
      <c r="AZ337" s="72" t="s">
        <v>511</v>
      </c>
      <c r="BA337" s="50" t="s">
        <v>139</v>
      </c>
      <c r="BB337" s="73">
        <v>100023</v>
      </c>
      <c r="BC337" s="38">
        <f>AW337+AX337</f>
        <v>0</v>
      </c>
      <c r="BD337" s="38">
        <f>H337/(100-BE337)*100</f>
        <v>0</v>
      </c>
      <c r="BE337" s="38">
        <v>0</v>
      </c>
      <c r="BF337" s="38">
        <f>K337</f>
        <v>1.1615</v>
      </c>
      <c r="BH337" s="38">
        <f>G337*AO337</f>
        <v>0</v>
      </c>
      <c r="BI337" s="38">
        <f>G337*AP337</f>
        <v>0</v>
      </c>
      <c r="BJ337" s="38">
        <f>G337*H337</f>
        <v>0</v>
      </c>
      <c r="BK337" s="38"/>
      <c r="BL337" s="38">
        <v>63</v>
      </c>
      <c r="BW337" s="38">
        <v>21</v>
      </c>
    </row>
    <row r="338" spans="1:12" ht="15">
      <c r="A338" s="74"/>
      <c r="D338" s="75" t="s">
        <v>745</v>
      </c>
      <c r="E338" s="75" t="s">
        <v>746</v>
      </c>
      <c r="G338" s="76">
        <v>0.46</v>
      </c>
      <c r="L338" s="77"/>
    </row>
    <row r="339" spans="1:75" ht="13.5" customHeight="1">
      <c r="A339" s="1" t="s">
        <v>747</v>
      </c>
      <c r="B339" s="2" t="s">
        <v>84</v>
      </c>
      <c r="C339" s="2" t="s">
        <v>748</v>
      </c>
      <c r="D339" s="108" t="s">
        <v>749</v>
      </c>
      <c r="E339" s="103"/>
      <c r="F339" s="2" t="s">
        <v>135</v>
      </c>
      <c r="G339" s="38">
        <v>25.93</v>
      </c>
      <c r="H339" s="70">
        <v>0</v>
      </c>
      <c r="I339" s="38">
        <f>G339*H339</f>
        <v>0</v>
      </c>
      <c r="J339" s="38">
        <v>0</v>
      </c>
      <c r="K339" s="38">
        <f>G339*J339</f>
        <v>0</v>
      </c>
      <c r="L339" s="71" t="s">
        <v>136</v>
      </c>
      <c r="Z339" s="38">
        <f>IF(AQ339="5",BJ339,0)</f>
        <v>0</v>
      </c>
      <c r="AB339" s="38">
        <f>IF(AQ339="1",BH339,0)</f>
        <v>0</v>
      </c>
      <c r="AC339" s="38">
        <f>IF(AQ339="1",BI339,0)</f>
        <v>0</v>
      </c>
      <c r="AD339" s="38">
        <f>IF(AQ339="7",BH339,0)</f>
        <v>0</v>
      </c>
      <c r="AE339" s="38">
        <f>IF(AQ339="7",BI339,0)</f>
        <v>0</v>
      </c>
      <c r="AF339" s="38">
        <f>IF(AQ339="2",BH339,0)</f>
        <v>0</v>
      </c>
      <c r="AG339" s="38">
        <f>IF(AQ339="2",BI339,0)</f>
        <v>0</v>
      </c>
      <c r="AH339" s="38">
        <f>IF(AQ339="0",BJ339,0)</f>
        <v>0</v>
      </c>
      <c r="AI339" s="50" t="s">
        <v>84</v>
      </c>
      <c r="AJ339" s="38">
        <f>IF(AN339=0,I339,0)</f>
        <v>0</v>
      </c>
      <c r="AK339" s="38">
        <f>IF(AN339=12,I339,0)</f>
        <v>0</v>
      </c>
      <c r="AL339" s="38">
        <f>IF(AN339=21,I339,0)</f>
        <v>0</v>
      </c>
      <c r="AN339" s="38">
        <v>21</v>
      </c>
      <c r="AO339" s="38">
        <f>H339*0</f>
        <v>0</v>
      </c>
      <c r="AP339" s="38">
        <f>H339*(1-0)</f>
        <v>0</v>
      </c>
      <c r="AQ339" s="72" t="s">
        <v>132</v>
      </c>
      <c r="AV339" s="38">
        <f>AW339+AX339</f>
        <v>0</v>
      </c>
      <c r="AW339" s="38">
        <f>G339*AO339</f>
        <v>0</v>
      </c>
      <c r="AX339" s="38">
        <f>G339*AP339</f>
        <v>0</v>
      </c>
      <c r="AY339" s="72" t="s">
        <v>683</v>
      </c>
      <c r="AZ339" s="72" t="s">
        <v>511</v>
      </c>
      <c r="BA339" s="50" t="s">
        <v>139</v>
      </c>
      <c r="BB339" s="73">
        <v>100023</v>
      </c>
      <c r="BC339" s="38">
        <f>AW339+AX339</f>
        <v>0</v>
      </c>
      <c r="BD339" s="38">
        <f>H339/(100-BE339)*100</f>
        <v>0</v>
      </c>
      <c r="BE339" s="38">
        <v>0</v>
      </c>
      <c r="BF339" s="38">
        <f>K339</f>
        <v>0</v>
      </c>
      <c r="BH339" s="38">
        <f>G339*AO339</f>
        <v>0</v>
      </c>
      <c r="BI339" s="38">
        <f>G339*AP339</f>
        <v>0</v>
      </c>
      <c r="BJ339" s="38">
        <f>G339*H339</f>
        <v>0</v>
      </c>
      <c r="BK339" s="38"/>
      <c r="BL339" s="38">
        <v>63</v>
      </c>
      <c r="BW339" s="38">
        <v>21</v>
      </c>
    </row>
    <row r="340" spans="1:12" ht="15">
      <c r="A340" s="74"/>
      <c r="D340" s="75" t="s">
        <v>750</v>
      </c>
      <c r="E340" s="75" t="s">
        <v>4</v>
      </c>
      <c r="G340" s="76">
        <v>25.93</v>
      </c>
      <c r="L340" s="77"/>
    </row>
    <row r="341" spans="1:75" ht="13.5" customHeight="1">
      <c r="A341" s="1" t="s">
        <v>751</v>
      </c>
      <c r="B341" s="2" t="s">
        <v>84</v>
      </c>
      <c r="C341" s="2" t="s">
        <v>752</v>
      </c>
      <c r="D341" s="108" t="s">
        <v>753</v>
      </c>
      <c r="E341" s="103"/>
      <c r="F341" s="2" t="s">
        <v>135</v>
      </c>
      <c r="G341" s="38">
        <v>0.46</v>
      </c>
      <c r="H341" s="70">
        <v>0</v>
      </c>
      <c r="I341" s="38">
        <f>G341*H341</f>
        <v>0</v>
      </c>
      <c r="J341" s="38">
        <v>0</v>
      </c>
      <c r="K341" s="38">
        <f>G341*J341</f>
        <v>0</v>
      </c>
      <c r="L341" s="71" t="s">
        <v>136</v>
      </c>
      <c r="Z341" s="38">
        <f>IF(AQ341="5",BJ341,0)</f>
        <v>0</v>
      </c>
      <c r="AB341" s="38">
        <f>IF(AQ341="1",BH341,0)</f>
        <v>0</v>
      </c>
      <c r="AC341" s="38">
        <f>IF(AQ341="1",BI341,0)</f>
        <v>0</v>
      </c>
      <c r="AD341" s="38">
        <f>IF(AQ341="7",BH341,0)</f>
        <v>0</v>
      </c>
      <c r="AE341" s="38">
        <f>IF(AQ341="7",BI341,0)</f>
        <v>0</v>
      </c>
      <c r="AF341" s="38">
        <f>IF(AQ341="2",BH341,0)</f>
        <v>0</v>
      </c>
      <c r="AG341" s="38">
        <f>IF(AQ341="2",BI341,0)</f>
        <v>0</v>
      </c>
      <c r="AH341" s="38">
        <f>IF(AQ341="0",BJ341,0)</f>
        <v>0</v>
      </c>
      <c r="AI341" s="50" t="s">
        <v>84</v>
      </c>
      <c r="AJ341" s="38">
        <f>IF(AN341=0,I341,0)</f>
        <v>0</v>
      </c>
      <c r="AK341" s="38">
        <f>IF(AN341=12,I341,0)</f>
        <v>0</v>
      </c>
      <c r="AL341" s="38">
        <f>IF(AN341=21,I341,0)</f>
        <v>0</v>
      </c>
      <c r="AN341" s="38">
        <v>21</v>
      </c>
      <c r="AO341" s="38">
        <f>H341*0</f>
        <v>0</v>
      </c>
      <c r="AP341" s="38">
        <f>H341*(1-0)</f>
        <v>0</v>
      </c>
      <c r="AQ341" s="72" t="s">
        <v>132</v>
      </c>
      <c r="AV341" s="38">
        <f>AW341+AX341</f>
        <v>0</v>
      </c>
      <c r="AW341" s="38">
        <f>G341*AO341</f>
        <v>0</v>
      </c>
      <c r="AX341" s="38">
        <f>G341*AP341</f>
        <v>0</v>
      </c>
      <c r="AY341" s="72" t="s">
        <v>683</v>
      </c>
      <c r="AZ341" s="72" t="s">
        <v>511</v>
      </c>
      <c r="BA341" s="50" t="s">
        <v>139</v>
      </c>
      <c r="BB341" s="73">
        <v>100023</v>
      </c>
      <c r="BC341" s="38">
        <f>AW341+AX341</f>
        <v>0</v>
      </c>
      <c r="BD341" s="38">
        <f>H341/(100-BE341)*100</f>
        <v>0</v>
      </c>
      <c r="BE341" s="38">
        <v>0</v>
      </c>
      <c r="BF341" s="38">
        <f>K341</f>
        <v>0</v>
      </c>
      <c r="BH341" s="38">
        <f>G341*AO341</f>
        <v>0</v>
      </c>
      <c r="BI341" s="38">
        <f>G341*AP341</f>
        <v>0</v>
      </c>
      <c r="BJ341" s="38">
        <f>G341*H341</f>
        <v>0</v>
      </c>
      <c r="BK341" s="38"/>
      <c r="BL341" s="38">
        <v>63</v>
      </c>
      <c r="BW341" s="38">
        <v>21</v>
      </c>
    </row>
    <row r="342" spans="1:12" ht="15">
      <c r="A342" s="74"/>
      <c r="D342" s="75" t="s">
        <v>754</v>
      </c>
      <c r="E342" s="75" t="s">
        <v>4</v>
      </c>
      <c r="G342" s="76">
        <v>0.46</v>
      </c>
      <c r="L342" s="77"/>
    </row>
    <row r="343" spans="1:75" ht="13.5" customHeight="1">
      <c r="A343" s="1" t="s">
        <v>755</v>
      </c>
      <c r="B343" s="2" t="s">
        <v>84</v>
      </c>
      <c r="C343" s="2" t="s">
        <v>756</v>
      </c>
      <c r="D343" s="108" t="s">
        <v>712</v>
      </c>
      <c r="E343" s="103"/>
      <c r="F343" s="2" t="s">
        <v>135</v>
      </c>
      <c r="G343" s="38">
        <v>0.92</v>
      </c>
      <c r="H343" s="70">
        <v>0</v>
      </c>
      <c r="I343" s="38">
        <f>G343*H343</f>
        <v>0</v>
      </c>
      <c r="J343" s="38">
        <v>2.525</v>
      </c>
      <c r="K343" s="38">
        <f>G343*J343</f>
        <v>2.323</v>
      </c>
      <c r="L343" s="71" t="s">
        <v>136</v>
      </c>
      <c r="Z343" s="38">
        <f>IF(AQ343="5",BJ343,0)</f>
        <v>0</v>
      </c>
      <c r="AB343" s="38">
        <f>IF(AQ343="1",BH343,0)</f>
        <v>0</v>
      </c>
      <c r="AC343" s="38">
        <f>IF(AQ343="1",BI343,0)</f>
        <v>0</v>
      </c>
      <c r="AD343" s="38">
        <f>IF(AQ343="7",BH343,0)</f>
        <v>0</v>
      </c>
      <c r="AE343" s="38">
        <f>IF(AQ343="7",BI343,0)</f>
        <v>0</v>
      </c>
      <c r="AF343" s="38">
        <f>IF(AQ343="2",BH343,0)</f>
        <v>0</v>
      </c>
      <c r="AG343" s="38">
        <f>IF(AQ343="2",BI343,0)</f>
        <v>0</v>
      </c>
      <c r="AH343" s="38">
        <f>IF(AQ343="0",BJ343,0)</f>
        <v>0</v>
      </c>
      <c r="AI343" s="50" t="s">
        <v>84</v>
      </c>
      <c r="AJ343" s="38">
        <f>IF(AN343=0,I343,0)</f>
        <v>0</v>
      </c>
      <c r="AK343" s="38">
        <f>IF(AN343=12,I343,0)</f>
        <v>0</v>
      </c>
      <c r="AL343" s="38">
        <f>IF(AN343=21,I343,0)</f>
        <v>0</v>
      </c>
      <c r="AN343" s="38">
        <v>21</v>
      </c>
      <c r="AO343" s="38">
        <f>H343*0.757539394</f>
        <v>0</v>
      </c>
      <c r="AP343" s="38">
        <f>H343*(1-0.757539394)</f>
        <v>0</v>
      </c>
      <c r="AQ343" s="72" t="s">
        <v>132</v>
      </c>
      <c r="AV343" s="38">
        <f>AW343+AX343</f>
        <v>0</v>
      </c>
      <c r="AW343" s="38">
        <f>G343*AO343</f>
        <v>0</v>
      </c>
      <c r="AX343" s="38">
        <f>G343*AP343</f>
        <v>0</v>
      </c>
      <c r="AY343" s="72" t="s">
        <v>683</v>
      </c>
      <c r="AZ343" s="72" t="s">
        <v>511</v>
      </c>
      <c r="BA343" s="50" t="s">
        <v>139</v>
      </c>
      <c r="BB343" s="73">
        <v>100023</v>
      </c>
      <c r="BC343" s="38">
        <f>AW343+AX343</f>
        <v>0</v>
      </c>
      <c r="BD343" s="38">
        <f>H343/(100-BE343)*100</f>
        <v>0</v>
      </c>
      <c r="BE343" s="38">
        <v>0</v>
      </c>
      <c r="BF343" s="38">
        <f>K343</f>
        <v>2.323</v>
      </c>
      <c r="BH343" s="38">
        <f>G343*AO343</f>
        <v>0</v>
      </c>
      <c r="BI343" s="38">
        <f>G343*AP343</f>
        <v>0</v>
      </c>
      <c r="BJ343" s="38">
        <f>G343*H343</f>
        <v>0</v>
      </c>
      <c r="BK343" s="38"/>
      <c r="BL343" s="38">
        <v>63</v>
      </c>
      <c r="BW343" s="38">
        <v>21</v>
      </c>
    </row>
    <row r="344" spans="1:12" ht="15">
      <c r="A344" s="74"/>
      <c r="D344" s="75" t="s">
        <v>757</v>
      </c>
      <c r="E344" s="75" t="s">
        <v>445</v>
      </c>
      <c r="G344" s="76">
        <v>0.68</v>
      </c>
      <c r="L344" s="77"/>
    </row>
    <row r="345" spans="1:12" ht="15">
      <c r="A345" s="74"/>
      <c r="D345" s="75" t="s">
        <v>758</v>
      </c>
      <c r="E345" s="75" t="s">
        <v>447</v>
      </c>
      <c r="G345" s="76">
        <v>0.24</v>
      </c>
      <c r="L345" s="77"/>
    </row>
    <row r="346" spans="1:75" ht="13.5" customHeight="1">
      <c r="A346" s="1" t="s">
        <v>759</v>
      </c>
      <c r="B346" s="2" t="s">
        <v>84</v>
      </c>
      <c r="C346" s="2" t="s">
        <v>760</v>
      </c>
      <c r="D346" s="108" t="s">
        <v>761</v>
      </c>
      <c r="E346" s="103"/>
      <c r="F346" s="2" t="s">
        <v>135</v>
      </c>
      <c r="G346" s="38">
        <v>0.92</v>
      </c>
      <c r="H346" s="70">
        <v>0</v>
      </c>
      <c r="I346" s="38">
        <f>G346*H346</f>
        <v>0</v>
      </c>
      <c r="J346" s="38">
        <v>0</v>
      </c>
      <c r="K346" s="38">
        <f>G346*J346</f>
        <v>0</v>
      </c>
      <c r="L346" s="71" t="s">
        <v>136</v>
      </c>
      <c r="Z346" s="38">
        <f>IF(AQ346="5",BJ346,0)</f>
        <v>0</v>
      </c>
      <c r="AB346" s="38">
        <f>IF(AQ346="1",BH346,0)</f>
        <v>0</v>
      </c>
      <c r="AC346" s="38">
        <f>IF(AQ346="1",BI346,0)</f>
        <v>0</v>
      </c>
      <c r="AD346" s="38">
        <f>IF(AQ346="7",BH346,0)</f>
        <v>0</v>
      </c>
      <c r="AE346" s="38">
        <f>IF(AQ346="7",BI346,0)</f>
        <v>0</v>
      </c>
      <c r="AF346" s="38">
        <f>IF(AQ346="2",BH346,0)</f>
        <v>0</v>
      </c>
      <c r="AG346" s="38">
        <f>IF(AQ346="2",BI346,0)</f>
        <v>0</v>
      </c>
      <c r="AH346" s="38">
        <f>IF(AQ346="0",BJ346,0)</f>
        <v>0</v>
      </c>
      <c r="AI346" s="50" t="s">
        <v>84</v>
      </c>
      <c r="AJ346" s="38">
        <f>IF(AN346=0,I346,0)</f>
        <v>0</v>
      </c>
      <c r="AK346" s="38">
        <f>IF(AN346=12,I346,0)</f>
        <v>0</v>
      </c>
      <c r="AL346" s="38">
        <f>IF(AN346=21,I346,0)</f>
        <v>0</v>
      </c>
      <c r="AN346" s="38">
        <v>21</v>
      </c>
      <c r="AO346" s="38">
        <f>H346*0</f>
        <v>0</v>
      </c>
      <c r="AP346" s="38">
        <f>H346*(1-0)</f>
        <v>0</v>
      </c>
      <c r="AQ346" s="72" t="s">
        <v>132</v>
      </c>
      <c r="AV346" s="38">
        <f>AW346+AX346</f>
        <v>0</v>
      </c>
      <c r="AW346" s="38">
        <f>G346*AO346</f>
        <v>0</v>
      </c>
      <c r="AX346" s="38">
        <f>G346*AP346</f>
        <v>0</v>
      </c>
      <c r="AY346" s="72" t="s">
        <v>683</v>
      </c>
      <c r="AZ346" s="72" t="s">
        <v>511</v>
      </c>
      <c r="BA346" s="50" t="s">
        <v>139</v>
      </c>
      <c r="BB346" s="73">
        <v>100023</v>
      </c>
      <c r="BC346" s="38">
        <f>AW346+AX346</f>
        <v>0</v>
      </c>
      <c r="BD346" s="38">
        <f>H346/(100-BE346)*100</f>
        <v>0</v>
      </c>
      <c r="BE346" s="38">
        <v>0</v>
      </c>
      <c r="BF346" s="38">
        <f>K346</f>
        <v>0</v>
      </c>
      <c r="BH346" s="38">
        <f>G346*AO346</f>
        <v>0</v>
      </c>
      <c r="BI346" s="38">
        <f>G346*AP346</f>
        <v>0</v>
      </c>
      <c r="BJ346" s="38">
        <f>G346*H346</f>
        <v>0</v>
      </c>
      <c r="BK346" s="38"/>
      <c r="BL346" s="38">
        <v>63</v>
      </c>
      <c r="BW346" s="38">
        <v>21</v>
      </c>
    </row>
    <row r="347" spans="1:12" ht="15">
      <c r="A347" s="74"/>
      <c r="D347" s="75" t="s">
        <v>757</v>
      </c>
      <c r="E347" s="75" t="s">
        <v>445</v>
      </c>
      <c r="G347" s="76">
        <v>0.68</v>
      </c>
      <c r="L347" s="77"/>
    </row>
    <row r="348" spans="1:12" ht="15">
      <c r="A348" s="74"/>
      <c r="D348" s="75" t="s">
        <v>758</v>
      </c>
      <c r="E348" s="75" t="s">
        <v>447</v>
      </c>
      <c r="G348" s="76">
        <v>0.24</v>
      </c>
      <c r="L348" s="77"/>
    </row>
    <row r="349" spans="1:75" ht="13.5" customHeight="1">
      <c r="A349" s="1" t="s">
        <v>762</v>
      </c>
      <c r="B349" s="2" t="s">
        <v>84</v>
      </c>
      <c r="C349" s="2" t="s">
        <v>716</v>
      </c>
      <c r="D349" s="108" t="s">
        <v>763</v>
      </c>
      <c r="E349" s="103"/>
      <c r="F349" s="2" t="s">
        <v>189</v>
      </c>
      <c r="G349" s="38">
        <v>0.95</v>
      </c>
      <c r="H349" s="70">
        <v>0</v>
      </c>
      <c r="I349" s="38">
        <f>G349*H349</f>
        <v>0</v>
      </c>
      <c r="J349" s="38">
        <v>1.06625</v>
      </c>
      <c r="K349" s="38">
        <f>G349*J349</f>
        <v>1.0129374999999998</v>
      </c>
      <c r="L349" s="71" t="s">
        <v>136</v>
      </c>
      <c r="Z349" s="38">
        <f>IF(AQ349="5",BJ349,0)</f>
        <v>0</v>
      </c>
      <c r="AB349" s="38">
        <f>IF(AQ349="1",BH349,0)</f>
        <v>0</v>
      </c>
      <c r="AC349" s="38">
        <f>IF(AQ349="1",BI349,0)</f>
        <v>0</v>
      </c>
      <c r="AD349" s="38">
        <f>IF(AQ349="7",BH349,0)</f>
        <v>0</v>
      </c>
      <c r="AE349" s="38">
        <f>IF(AQ349="7",BI349,0)</f>
        <v>0</v>
      </c>
      <c r="AF349" s="38">
        <f>IF(AQ349="2",BH349,0)</f>
        <v>0</v>
      </c>
      <c r="AG349" s="38">
        <f>IF(AQ349="2",BI349,0)</f>
        <v>0</v>
      </c>
      <c r="AH349" s="38">
        <f>IF(AQ349="0",BJ349,0)</f>
        <v>0</v>
      </c>
      <c r="AI349" s="50" t="s">
        <v>84</v>
      </c>
      <c r="AJ349" s="38">
        <f>IF(AN349=0,I349,0)</f>
        <v>0</v>
      </c>
      <c r="AK349" s="38">
        <f>IF(AN349=12,I349,0)</f>
        <v>0</v>
      </c>
      <c r="AL349" s="38">
        <f>IF(AN349=21,I349,0)</f>
        <v>0</v>
      </c>
      <c r="AN349" s="38">
        <v>21</v>
      </c>
      <c r="AO349" s="38">
        <f>H349*0.792351857</f>
        <v>0</v>
      </c>
      <c r="AP349" s="38">
        <f>H349*(1-0.792351857)</f>
        <v>0</v>
      </c>
      <c r="AQ349" s="72" t="s">
        <v>132</v>
      </c>
      <c r="AV349" s="38">
        <f>AW349+AX349</f>
        <v>0</v>
      </c>
      <c r="AW349" s="38">
        <f>G349*AO349</f>
        <v>0</v>
      </c>
      <c r="AX349" s="38">
        <f>G349*AP349</f>
        <v>0</v>
      </c>
      <c r="AY349" s="72" t="s">
        <v>683</v>
      </c>
      <c r="AZ349" s="72" t="s">
        <v>511</v>
      </c>
      <c r="BA349" s="50" t="s">
        <v>139</v>
      </c>
      <c r="BB349" s="73">
        <v>100023</v>
      </c>
      <c r="BC349" s="38">
        <f>AW349+AX349</f>
        <v>0</v>
      </c>
      <c r="BD349" s="38">
        <f>H349/(100-BE349)*100</f>
        <v>0</v>
      </c>
      <c r="BE349" s="38">
        <v>0</v>
      </c>
      <c r="BF349" s="38">
        <f>K349</f>
        <v>1.0129374999999998</v>
      </c>
      <c r="BH349" s="38">
        <f>G349*AO349</f>
        <v>0</v>
      </c>
      <c r="BI349" s="38">
        <f>G349*AP349</f>
        <v>0</v>
      </c>
      <c r="BJ349" s="38">
        <f>G349*H349</f>
        <v>0</v>
      </c>
      <c r="BK349" s="38"/>
      <c r="BL349" s="38">
        <v>63</v>
      </c>
      <c r="BW349" s="38">
        <v>21</v>
      </c>
    </row>
    <row r="350" spans="1:12" ht="13.5" customHeight="1">
      <c r="A350" s="74"/>
      <c r="D350" s="194" t="s">
        <v>718</v>
      </c>
      <c r="E350" s="195"/>
      <c r="F350" s="195"/>
      <c r="G350" s="195"/>
      <c r="H350" s="196"/>
      <c r="I350" s="195"/>
      <c r="J350" s="195"/>
      <c r="K350" s="195"/>
      <c r="L350" s="197"/>
    </row>
    <row r="351" spans="1:12" ht="15">
      <c r="A351" s="74"/>
      <c r="D351" s="75" t="s">
        <v>764</v>
      </c>
      <c r="E351" s="75" t="s">
        <v>765</v>
      </c>
      <c r="G351" s="76">
        <v>0.43</v>
      </c>
      <c r="L351" s="77"/>
    </row>
    <row r="352" spans="1:12" ht="15">
      <c r="A352" s="74"/>
      <c r="D352" s="75" t="s">
        <v>766</v>
      </c>
      <c r="E352" s="75" t="s">
        <v>767</v>
      </c>
      <c r="G352" s="76">
        <v>0.52</v>
      </c>
      <c r="L352" s="77"/>
    </row>
    <row r="353" spans="1:75" ht="13.5" customHeight="1">
      <c r="A353" s="1" t="s">
        <v>768</v>
      </c>
      <c r="B353" s="2" t="s">
        <v>84</v>
      </c>
      <c r="C353" s="2" t="s">
        <v>721</v>
      </c>
      <c r="D353" s="108" t="s">
        <v>763</v>
      </c>
      <c r="E353" s="103"/>
      <c r="F353" s="2" t="s">
        <v>189</v>
      </c>
      <c r="G353" s="38">
        <v>0.02</v>
      </c>
      <c r="H353" s="70">
        <v>0</v>
      </c>
      <c r="I353" s="38">
        <f>G353*H353</f>
        <v>0</v>
      </c>
      <c r="J353" s="38">
        <v>1.06625</v>
      </c>
      <c r="K353" s="38">
        <f>G353*J353</f>
        <v>0.021325</v>
      </c>
      <c r="L353" s="71" t="s">
        <v>136</v>
      </c>
      <c r="Z353" s="38">
        <f>IF(AQ353="5",BJ353,0)</f>
        <v>0</v>
      </c>
      <c r="AB353" s="38">
        <f>IF(AQ353="1",BH353,0)</f>
        <v>0</v>
      </c>
      <c r="AC353" s="38">
        <f>IF(AQ353="1",BI353,0)</f>
        <v>0</v>
      </c>
      <c r="AD353" s="38">
        <f>IF(AQ353="7",BH353,0)</f>
        <v>0</v>
      </c>
      <c r="AE353" s="38">
        <f>IF(AQ353="7",BI353,0)</f>
        <v>0</v>
      </c>
      <c r="AF353" s="38">
        <f>IF(AQ353="2",BH353,0)</f>
        <v>0</v>
      </c>
      <c r="AG353" s="38">
        <f>IF(AQ353="2",BI353,0)</f>
        <v>0</v>
      </c>
      <c r="AH353" s="38">
        <f>IF(AQ353="0",BJ353,0)</f>
        <v>0</v>
      </c>
      <c r="AI353" s="50" t="s">
        <v>84</v>
      </c>
      <c r="AJ353" s="38">
        <f>IF(AN353=0,I353,0)</f>
        <v>0</v>
      </c>
      <c r="AK353" s="38">
        <f>IF(AN353=12,I353,0)</f>
        <v>0</v>
      </c>
      <c r="AL353" s="38">
        <f>IF(AN353=21,I353,0)</f>
        <v>0</v>
      </c>
      <c r="AN353" s="38">
        <v>21</v>
      </c>
      <c r="AO353" s="38">
        <f>H353*0.783520526</f>
        <v>0</v>
      </c>
      <c r="AP353" s="38">
        <f>H353*(1-0.783520526)</f>
        <v>0</v>
      </c>
      <c r="AQ353" s="72" t="s">
        <v>132</v>
      </c>
      <c r="AV353" s="38">
        <f>AW353+AX353</f>
        <v>0</v>
      </c>
      <c r="AW353" s="38">
        <f>G353*AO353</f>
        <v>0</v>
      </c>
      <c r="AX353" s="38">
        <f>G353*AP353</f>
        <v>0</v>
      </c>
      <c r="AY353" s="72" t="s">
        <v>683</v>
      </c>
      <c r="AZ353" s="72" t="s">
        <v>511</v>
      </c>
      <c r="BA353" s="50" t="s">
        <v>139</v>
      </c>
      <c r="BB353" s="73">
        <v>100023</v>
      </c>
      <c r="BC353" s="38">
        <f>AW353+AX353</f>
        <v>0</v>
      </c>
      <c r="BD353" s="38">
        <f>H353/(100-BE353)*100</f>
        <v>0</v>
      </c>
      <c r="BE353" s="38">
        <v>0</v>
      </c>
      <c r="BF353" s="38">
        <f>K353</f>
        <v>0.021325</v>
      </c>
      <c r="BH353" s="38">
        <f>G353*AO353</f>
        <v>0</v>
      </c>
      <c r="BI353" s="38">
        <f>G353*AP353</f>
        <v>0</v>
      </c>
      <c r="BJ353" s="38">
        <f>G353*H353</f>
        <v>0</v>
      </c>
      <c r="BK353" s="38"/>
      <c r="BL353" s="38">
        <v>63</v>
      </c>
      <c r="BW353" s="38">
        <v>21</v>
      </c>
    </row>
    <row r="354" spans="1:12" ht="13.5" customHeight="1">
      <c r="A354" s="74"/>
      <c r="D354" s="194" t="s">
        <v>723</v>
      </c>
      <c r="E354" s="195"/>
      <c r="F354" s="195"/>
      <c r="G354" s="195"/>
      <c r="H354" s="196"/>
      <c r="I354" s="195"/>
      <c r="J354" s="195"/>
      <c r="K354" s="195"/>
      <c r="L354" s="197"/>
    </row>
    <row r="355" spans="1:12" ht="15">
      <c r="A355" s="74"/>
      <c r="D355" s="75" t="s">
        <v>769</v>
      </c>
      <c r="E355" s="75" t="s">
        <v>445</v>
      </c>
      <c r="G355" s="76">
        <v>0.02</v>
      </c>
      <c r="L355" s="77"/>
    </row>
    <row r="356" spans="1:12" ht="15">
      <c r="A356" s="74"/>
      <c r="D356" s="75" t="s">
        <v>770</v>
      </c>
      <c r="E356" s="75" t="s">
        <v>447</v>
      </c>
      <c r="G356" s="76">
        <v>0</v>
      </c>
      <c r="L356" s="77"/>
    </row>
    <row r="357" spans="1:47" ht="15">
      <c r="A357" s="65" t="s">
        <v>4</v>
      </c>
      <c r="B357" s="66" t="s">
        <v>84</v>
      </c>
      <c r="C357" s="66" t="s">
        <v>496</v>
      </c>
      <c r="D357" s="192" t="s">
        <v>771</v>
      </c>
      <c r="E357" s="193"/>
      <c r="F357" s="67" t="s">
        <v>78</v>
      </c>
      <c r="G357" s="67" t="s">
        <v>78</v>
      </c>
      <c r="H357" s="68" t="s">
        <v>78</v>
      </c>
      <c r="I357" s="44">
        <f>SUM(I358:I381)</f>
        <v>0</v>
      </c>
      <c r="J357" s="50" t="s">
        <v>4</v>
      </c>
      <c r="K357" s="44">
        <f>SUM(K358:K381)</f>
        <v>0.8914199999999999</v>
      </c>
      <c r="L357" s="69" t="s">
        <v>4</v>
      </c>
      <c r="AI357" s="50" t="s">
        <v>84</v>
      </c>
      <c r="AS357" s="44">
        <f>SUM(AJ358:AJ381)</f>
        <v>0</v>
      </c>
      <c r="AT357" s="44">
        <f>SUM(AK358:AK381)</f>
        <v>0</v>
      </c>
      <c r="AU357" s="44">
        <f>SUM(AL358:AL381)</f>
        <v>0</v>
      </c>
    </row>
    <row r="358" spans="1:75" ht="13.5" customHeight="1">
      <c r="A358" s="1" t="s">
        <v>772</v>
      </c>
      <c r="B358" s="2" t="s">
        <v>84</v>
      </c>
      <c r="C358" s="2" t="s">
        <v>773</v>
      </c>
      <c r="D358" s="108" t="s">
        <v>774</v>
      </c>
      <c r="E358" s="103"/>
      <c r="F358" s="2" t="s">
        <v>199</v>
      </c>
      <c r="G358" s="38">
        <v>6</v>
      </c>
      <c r="H358" s="70">
        <v>0</v>
      </c>
      <c r="I358" s="38">
        <f>G358*H358</f>
        <v>0</v>
      </c>
      <c r="J358" s="38">
        <v>0.01897</v>
      </c>
      <c r="K358" s="38">
        <f>G358*J358</f>
        <v>0.11382</v>
      </c>
      <c r="L358" s="71" t="s">
        <v>136</v>
      </c>
      <c r="Z358" s="38">
        <f>IF(AQ358="5",BJ358,0)</f>
        <v>0</v>
      </c>
      <c r="AB358" s="38">
        <f>IF(AQ358="1",BH358,0)</f>
        <v>0</v>
      </c>
      <c r="AC358" s="38">
        <f>IF(AQ358="1",BI358,0)</f>
        <v>0</v>
      </c>
      <c r="AD358" s="38">
        <f>IF(AQ358="7",BH358,0)</f>
        <v>0</v>
      </c>
      <c r="AE358" s="38">
        <f>IF(AQ358="7",BI358,0)</f>
        <v>0</v>
      </c>
      <c r="AF358" s="38">
        <f>IF(AQ358="2",BH358,0)</f>
        <v>0</v>
      </c>
      <c r="AG358" s="38">
        <f>IF(AQ358="2",BI358,0)</f>
        <v>0</v>
      </c>
      <c r="AH358" s="38">
        <f>IF(AQ358="0",BJ358,0)</f>
        <v>0</v>
      </c>
      <c r="AI358" s="50" t="s">
        <v>84</v>
      </c>
      <c r="AJ358" s="38">
        <f>IF(AN358=0,I358,0)</f>
        <v>0</v>
      </c>
      <c r="AK358" s="38">
        <f>IF(AN358=12,I358,0)</f>
        <v>0</v>
      </c>
      <c r="AL358" s="38">
        <f>IF(AN358=21,I358,0)</f>
        <v>0</v>
      </c>
      <c r="AN358" s="38">
        <v>21</v>
      </c>
      <c r="AO358" s="38">
        <f>H358*0.023675048</f>
        <v>0</v>
      </c>
      <c r="AP358" s="38">
        <f>H358*(1-0.023675048)</f>
        <v>0</v>
      </c>
      <c r="AQ358" s="72" t="s">
        <v>132</v>
      </c>
      <c r="AV358" s="38">
        <f>AW358+AX358</f>
        <v>0</v>
      </c>
      <c r="AW358" s="38">
        <f>G358*AO358</f>
        <v>0</v>
      </c>
      <c r="AX358" s="38">
        <f>G358*AP358</f>
        <v>0</v>
      </c>
      <c r="AY358" s="72" t="s">
        <v>775</v>
      </c>
      <c r="AZ358" s="72" t="s">
        <v>511</v>
      </c>
      <c r="BA358" s="50" t="s">
        <v>139</v>
      </c>
      <c r="BB358" s="73">
        <v>100031</v>
      </c>
      <c r="BC358" s="38">
        <f>AW358+AX358</f>
        <v>0</v>
      </c>
      <c r="BD358" s="38">
        <f>H358/(100-BE358)*100</f>
        <v>0</v>
      </c>
      <c r="BE358" s="38">
        <v>0</v>
      </c>
      <c r="BF358" s="38">
        <f>K358</f>
        <v>0.11382</v>
      </c>
      <c r="BH358" s="38">
        <f>G358*AO358</f>
        <v>0</v>
      </c>
      <c r="BI358" s="38">
        <f>G358*AP358</f>
        <v>0</v>
      </c>
      <c r="BJ358" s="38">
        <f>G358*H358</f>
        <v>0</v>
      </c>
      <c r="BK358" s="38"/>
      <c r="BL358" s="38">
        <v>64</v>
      </c>
      <c r="BW358" s="38">
        <v>21</v>
      </c>
    </row>
    <row r="359" spans="1:12" ht="15">
      <c r="A359" s="74"/>
      <c r="D359" s="75" t="s">
        <v>166</v>
      </c>
      <c r="E359" s="75" t="s">
        <v>4</v>
      </c>
      <c r="G359" s="76">
        <v>6</v>
      </c>
      <c r="L359" s="77"/>
    </row>
    <row r="360" spans="1:75" ht="13.5" customHeight="1">
      <c r="A360" s="1" t="s">
        <v>776</v>
      </c>
      <c r="B360" s="2" t="s">
        <v>84</v>
      </c>
      <c r="C360" s="2" t="s">
        <v>777</v>
      </c>
      <c r="D360" s="108" t="s">
        <v>778</v>
      </c>
      <c r="E360" s="103"/>
      <c r="F360" s="2" t="s">
        <v>199</v>
      </c>
      <c r="G360" s="38">
        <v>10</v>
      </c>
      <c r="H360" s="70">
        <v>0</v>
      </c>
      <c r="I360" s="38">
        <f>G360*H360</f>
        <v>0</v>
      </c>
      <c r="J360" s="38">
        <v>0.05411</v>
      </c>
      <c r="K360" s="38">
        <f>G360*J360</f>
        <v>0.5411</v>
      </c>
      <c r="L360" s="71" t="s">
        <v>136</v>
      </c>
      <c r="Z360" s="38">
        <f>IF(AQ360="5",BJ360,0)</f>
        <v>0</v>
      </c>
      <c r="AB360" s="38">
        <f>IF(AQ360="1",BH360,0)</f>
        <v>0</v>
      </c>
      <c r="AC360" s="38">
        <f>IF(AQ360="1",BI360,0)</f>
        <v>0</v>
      </c>
      <c r="AD360" s="38">
        <f>IF(AQ360="7",BH360,0)</f>
        <v>0</v>
      </c>
      <c r="AE360" s="38">
        <f>IF(AQ360="7",BI360,0)</f>
        <v>0</v>
      </c>
      <c r="AF360" s="38">
        <f>IF(AQ360="2",BH360,0)</f>
        <v>0</v>
      </c>
      <c r="AG360" s="38">
        <f>IF(AQ360="2",BI360,0)</f>
        <v>0</v>
      </c>
      <c r="AH360" s="38">
        <f>IF(AQ360="0",BJ360,0)</f>
        <v>0</v>
      </c>
      <c r="AI360" s="50" t="s">
        <v>84</v>
      </c>
      <c r="AJ360" s="38">
        <f>IF(AN360=0,I360,0)</f>
        <v>0</v>
      </c>
      <c r="AK360" s="38">
        <f>IF(AN360=12,I360,0)</f>
        <v>0</v>
      </c>
      <c r="AL360" s="38">
        <f>IF(AN360=21,I360,0)</f>
        <v>0</v>
      </c>
      <c r="AN360" s="38">
        <v>21</v>
      </c>
      <c r="AO360" s="38">
        <f>H360*0.110694554</f>
        <v>0</v>
      </c>
      <c r="AP360" s="38">
        <f>H360*(1-0.110694554)</f>
        <v>0</v>
      </c>
      <c r="AQ360" s="72" t="s">
        <v>132</v>
      </c>
      <c r="AV360" s="38">
        <f>AW360+AX360</f>
        <v>0</v>
      </c>
      <c r="AW360" s="38">
        <f>G360*AO360</f>
        <v>0</v>
      </c>
      <c r="AX360" s="38">
        <f>G360*AP360</f>
        <v>0</v>
      </c>
      <c r="AY360" s="72" t="s">
        <v>775</v>
      </c>
      <c r="AZ360" s="72" t="s">
        <v>511</v>
      </c>
      <c r="BA360" s="50" t="s">
        <v>139</v>
      </c>
      <c r="BB360" s="73">
        <v>100031</v>
      </c>
      <c r="BC360" s="38">
        <f>AW360+AX360</f>
        <v>0</v>
      </c>
      <c r="BD360" s="38">
        <f>H360/(100-BE360)*100</f>
        <v>0</v>
      </c>
      <c r="BE360" s="38">
        <v>0</v>
      </c>
      <c r="BF360" s="38">
        <f>K360</f>
        <v>0.5411</v>
      </c>
      <c r="BH360" s="38">
        <f>G360*AO360</f>
        <v>0</v>
      </c>
      <c r="BI360" s="38">
        <f>G360*AP360</f>
        <v>0</v>
      </c>
      <c r="BJ360" s="38">
        <f>G360*H360</f>
        <v>0</v>
      </c>
      <c r="BK360" s="38"/>
      <c r="BL360" s="38">
        <v>64</v>
      </c>
      <c r="BW360" s="38">
        <v>21</v>
      </c>
    </row>
    <row r="361" spans="1:12" ht="15">
      <c r="A361" s="74"/>
      <c r="D361" s="75" t="s">
        <v>186</v>
      </c>
      <c r="E361" s="75" t="s">
        <v>4</v>
      </c>
      <c r="G361" s="76">
        <v>10</v>
      </c>
      <c r="L361" s="77"/>
    </row>
    <row r="362" spans="1:75" ht="13.5" customHeight="1">
      <c r="A362" s="1" t="s">
        <v>779</v>
      </c>
      <c r="B362" s="2" t="s">
        <v>84</v>
      </c>
      <c r="C362" s="2" t="s">
        <v>780</v>
      </c>
      <c r="D362" s="108" t="s">
        <v>781</v>
      </c>
      <c r="E362" s="103"/>
      <c r="F362" s="2" t="s">
        <v>199</v>
      </c>
      <c r="G362" s="38">
        <v>4</v>
      </c>
      <c r="H362" s="70">
        <v>0</v>
      </c>
      <c r="I362" s="38">
        <f>G362*H362</f>
        <v>0</v>
      </c>
      <c r="J362" s="38">
        <v>0</v>
      </c>
      <c r="K362" s="38">
        <f>G362*J362</f>
        <v>0</v>
      </c>
      <c r="L362" s="71" t="s">
        <v>136</v>
      </c>
      <c r="Z362" s="38">
        <f>IF(AQ362="5",BJ362,0)</f>
        <v>0</v>
      </c>
      <c r="AB362" s="38">
        <f>IF(AQ362="1",BH362,0)</f>
        <v>0</v>
      </c>
      <c r="AC362" s="38">
        <f>IF(AQ362="1",BI362,0)</f>
        <v>0</v>
      </c>
      <c r="AD362" s="38">
        <f>IF(AQ362="7",BH362,0)</f>
        <v>0</v>
      </c>
      <c r="AE362" s="38">
        <f>IF(AQ362="7",BI362,0)</f>
        <v>0</v>
      </c>
      <c r="AF362" s="38">
        <f>IF(AQ362="2",BH362,0)</f>
        <v>0</v>
      </c>
      <c r="AG362" s="38">
        <f>IF(AQ362="2",BI362,0)</f>
        <v>0</v>
      </c>
      <c r="AH362" s="38">
        <f>IF(AQ362="0",BJ362,0)</f>
        <v>0</v>
      </c>
      <c r="AI362" s="50" t="s">
        <v>84</v>
      </c>
      <c r="AJ362" s="38">
        <f>IF(AN362=0,I362,0)</f>
        <v>0</v>
      </c>
      <c r="AK362" s="38">
        <f>IF(AN362=12,I362,0)</f>
        <v>0</v>
      </c>
      <c r="AL362" s="38">
        <f>IF(AN362=21,I362,0)</f>
        <v>0</v>
      </c>
      <c r="AN362" s="38">
        <v>21</v>
      </c>
      <c r="AO362" s="38">
        <f>H362*0</f>
        <v>0</v>
      </c>
      <c r="AP362" s="38">
        <f>H362*(1-0)</f>
        <v>0</v>
      </c>
      <c r="AQ362" s="72" t="s">
        <v>132</v>
      </c>
      <c r="AV362" s="38">
        <f>AW362+AX362</f>
        <v>0</v>
      </c>
      <c r="AW362" s="38">
        <f>G362*AO362</f>
        <v>0</v>
      </c>
      <c r="AX362" s="38">
        <f>G362*AP362</f>
        <v>0</v>
      </c>
      <c r="AY362" s="72" t="s">
        <v>775</v>
      </c>
      <c r="AZ362" s="72" t="s">
        <v>511</v>
      </c>
      <c r="BA362" s="50" t="s">
        <v>139</v>
      </c>
      <c r="BB362" s="73">
        <v>100031</v>
      </c>
      <c r="BC362" s="38">
        <f>AW362+AX362</f>
        <v>0</v>
      </c>
      <c r="BD362" s="38">
        <f>H362/(100-BE362)*100</f>
        <v>0</v>
      </c>
      <c r="BE362" s="38">
        <v>0</v>
      </c>
      <c r="BF362" s="38">
        <f>K362</f>
        <v>0</v>
      </c>
      <c r="BH362" s="38">
        <f>G362*AO362</f>
        <v>0</v>
      </c>
      <c r="BI362" s="38">
        <f>G362*AP362</f>
        <v>0</v>
      </c>
      <c r="BJ362" s="38">
        <f>G362*H362</f>
        <v>0</v>
      </c>
      <c r="BK362" s="38"/>
      <c r="BL362" s="38">
        <v>64</v>
      </c>
      <c r="BW362" s="38">
        <v>21</v>
      </c>
    </row>
    <row r="363" spans="1:12" ht="15">
      <c r="A363" s="74"/>
      <c r="D363" s="75" t="s">
        <v>132</v>
      </c>
      <c r="E363" s="75" t="s">
        <v>782</v>
      </c>
      <c r="G363" s="76">
        <v>1</v>
      </c>
      <c r="L363" s="77"/>
    </row>
    <row r="364" spans="1:12" ht="15">
      <c r="A364" s="74"/>
      <c r="D364" s="75" t="s">
        <v>149</v>
      </c>
      <c r="E364" s="75" t="s">
        <v>783</v>
      </c>
      <c r="G364" s="76">
        <v>3</v>
      </c>
      <c r="L364" s="77"/>
    </row>
    <row r="365" spans="1:75" ht="13.5" customHeight="1">
      <c r="A365" s="78" t="s">
        <v>784</v>
      </c>
      <c r="B365" s="79" t="s">
        <v>84</v>
      </c>
      <c r="C365" s="79" t="s">
        <v>785</v>
      </c>
      <c r="D365" s="198" t="s">
        <v>786</v>
      </c>
      <c r="E365" s="199"/>
      <c r="F365" s="79" t="s">
        <v>199</v>
      </c>
      <c r="G365" s="80">
        <v>1</v>
      </c>
      <c r="H365" s="81">
        <v>0</v>
      </c>
      <c r="I365" s="80">
        <f>G365*H365</f>
        <v>0</v>
      </c>
      <c r="J365" s="80">
        <v>0.0104</v>
      </c>
      <c r="K365" s="80">
        <f>G365*J365</f>
        <v>0.0104</v>
      </c>
      <c r="L365" s="82" t="s">
        <v>207</v>
      </c>
      <c r="Z365" s="38">
        <f>IF(AQ365="5",BJ365,0)</f>
        <v>0</v>
      </c>
      <c r="AB365" s="38">
        <f>IF(AQ365="1",BH365,0)</f>
        <v>0</v>
      </c>
      <c r="AC365" s="38">
        <f>IF(AQ365="1",BI365,0)</f>
        <v>0</v>
      </c>
      <c r="AD365" s="38">
        <f>IF(AQ365="7",BH365,0)</f>
        <v>0</v>
      </c>
      <c r="AE365" s="38">
        <f>IF(AQ365="7",BI365,0)</f>
        <v>0</v>
      </c>
      <c r="AF365" s="38">
        <f>IF(AQ365="2",BH365,0)</f>
        <v>0</v>
      </c>
      <c r="AG365" s="38">
        <f>IF(AQ365="2",BI365,0)</f>
        <v>0</v>
      </c>
      <c r="AH365" s="38">
        <f>IF(AQ365="0",BJ365,0)</f>
        <v>0</v>
      </c>
      <c r="AI365" s="50" t="s">
        <v>84</v>
      </c>
      <c r="AJ365" s="80">
        <f>IF(AN365=0,I365,0)</f>
        <v>0</v>
      </c>
      <c r="AK365" s="80">
        <f>IF(AN365=12,I365,0)</f>
        <v>0</v>
      </c>
      <c r="AL365" s="80">
        <f>IF(AN365=21,I365,0)</f>
        <v>0</v>
      </c>
      <c r="AN365" s="38">
        <v>21</v>
      </c>
      <c r="AO365" s="38">
        <f>H365*1</f>
        <v>0</v>
      </c>
      <c r="AP365" s="38">
        <f>H365*(1-1)</f>
        <v>0</v>
      </c>
      <c r="AQ365" s="83" t="s">
        <v>132</v>
      </c>
      <c r="AV365" s="38">
        <f>AW365+AX365</f>
        <v>0</v>
      </c>
      <c r="AW365" s="38">
        <f>G365*AO365</f>
        <v>0</v>
      </c>
      <c r="AX365" s="38">
        <f>G365*AP365</f>
        <v>0</v>
      </c>
      <c r="AY365" s="72" t="s">
        <v>775</v>
      </c>
      <c r="AZ365" s="72" t="s">
        <v>511</v>
      </c>
      <c r="BA365" s="50" t="s">
        <v>139</v>
      </c>
      <c r="BC365" s="38">
        <f>AW365+AX365</f>
        <v>0</v>
      </c>
      <c r="BD365" s="38">
        <f>H365/(100-BE365)*100</f>
        <v>0</v>
      </c>
      <c r="BE365" s="38">
        <v>0</v>
      </c>
      <c r="BF365" s="38">
        <f>K365</f>
        <v>0.0104</v>
      </c>
      <c r="BH365" s="80">
        <f>G365*AO365</f>
        <v>0</v>
      </c>
      <c r="BI365" s="80">
        <f>G365*AP365</f>
        <v>0</v>
      </c>
      <c r="BJ365" s="80">
        <f>G365*H365</f>
        <v>0</v>
      </c>
      <c r="BK365" s="80"/>
      <c r="BL365" s="38">
        <v>64</v>
      </c>
      <c r="BW365" s="38">
        <v>21</v>
      </c>
    </row>
    <row r="366" spans="1:12" ht="15">
      <c r="A366" s="74"/>
      <c r="D366" s="75" t="s">
        <v>132</v>
      </c>
      <c r="E366" s="75" t="s">
        <v>4</v>
      </c>
      <c r="G366" s="76">
        <v>1</v>
      </c>
      <c r="L366" s="77"/>
    </row>
    <row r="367" spans="1:75" ht="13.5" customHeight="1">
      <c r="A367" s="78" t="s">
        <v>787</v>
      </c>
      <c r="B367" s="79" t="s">
        <v>84</v>
      </c>
      <c r="C367" s="79" t="s">
        <v>785</v>
      </c>
      <c r="D367" s="198" t="s">
        <v>788</v>
      </c>
      <c r="E367" s="199"/>
      <c r="F367" s="79" t="s">
        <v>199</v>
      </c>
      <c r="G367" s="80">
        <v>1</v>
      </c>
      <c r="H367" s="81">
        <v>0</v>
      </c>
      <c r="I367" s="80">
        <f>G367*H367</f>
        <v>0</v>
      </c>
      <c r="J367" s="80">
        <v>0.0104</v>
      </c>
      <c r="K367" s="80">
        <f>G367*J367</f>
        <v>0.0104</v>
      </c>
      <c r="L367" s="82" t="s">
        <v>207</v>
      </c>
      <c r="Z367" s="38">
        <f>IF(AQ367="5",BJ367,0)</f>
        <v>0</v>
      </c>
      <c r="AB367" s="38">
        <f>IF(AQ367="1",BH367,0)</f>
        <v>0</v>
      </c>
      <c r="AC367" s="38">
        <f>IF(AQ367="1",BI367,0)</f>
        <v>0</v>
      </c>
      <c r="AD367" s="38">
        <f>IF(AQ367="7",BH367,0)</f>
        <v>0</v>
      </c>
      <c r="AE367" s="38">
        <f>IF(AQ367="7",BI367,0)</f>
        <v>0</v>
      </c>
      <c r="AF367" s="38">
        <f>IF(AQ367="2",BH367,0)</f>
        <v>0</v>
      </c>
      <c r="AG367" s="38">
        <f>IF(AQ367="2",BI367,0)</f>
        <v>0</v>
      </c>
      <c r="AH367" s="38">
        <f>IF(AQ367="0",BJ367,0)</f>
        <v>0</v>
      </c>
      <c r="AI367" s="50" t="s">
        <v>84</v>
      </c>
      <c r="AJ367" s="80">
        <f>IF(AN367=0,I367,0)</f>
        <v>0</v>
      </c>
      <c r="AK367" s="80">
        <f>IF(AN367=12,I367,0)</f>
        <v>0</v>
      </c>
      <c r="AL367" s="80">
        <f>IF(AN367=21,I367,0)</f>
        <v>0</v>
      </c>
      <c r="AN367" s="38">
        <v>21</v>
      </c>
      <c r="AO367" s="38">
        <f>H367*1</f>
        <v>0</v>
      </c>
      <c r="AP367" s="38">
        <f>H367*(1-1)</f>
        <v>0</v>
      </c>
      <c r="AQ367" s="83" t="s">
        <v>132</v>
      </c>
      <c r="AV367" s="38">
        <f>AW367+AX367</f>
        <v>0</v>
      </c>
      <c r="AW367" s="38">
        <f>G367*AO367</f>
        <v>0</v>
      </c>
      <c r="AX367" s="38">
        <f>G367*AP367</f>
        <v>0</v>
      </c>
      <c r="AY367" s="72" t="s">
        <v>775</v>
      </c>
      <c r="AZ367" s="72" t="s">
        <v>511</v>
      </c>
      <c r="BA367" s="50" t="s">
        <v>139</v>
      </c>
      <c r="BC367" s="38">
        <f>AW367+AX367</f>
        <v>0</v>
      </c>
      <c r="BD367" s="38">
        <f>H367/(100-BE367)*100</f>
        <v>0</v>
      </c>
      <c r="BE367" s="38">
        <v>0</v>
      </c>
      <c r="BF367" s="38">
        <f>K367</f>
        <v>0.0104</v>
      </c>
      <c r="BH367" s="80">
        <f>G367*AO367</f>
        <v>0</v>
      </c>
      <c r="BI367" s="80">
        <f>G367*AP367</f>
        <v>0</v>
      </c>
      <c r="BJ367" s="80">
        <f>G367*H367</f>
        <v>0</v>
      </c>
      <c r="BK367" s="80"/>
      <c r="BL367" s="38">
        <v>64</v>
      </c>
      <c r="BW367" s="38">
        <v>21</v>
      </c>
    </row>
    <row r="368" spans="1:12" ht="15">
      <c r="A368" s="74"/>
      <c r="D368" s="75" t="s">
        <v>132</v>
      </c>
      <c r="E368" s="75" t="s">
        <v>4</v>
      </c>
      <c r="G368" s="76">
        <v>1</v>
      </c>
      <c r="L368" s="77"/>
    </row>
    <row r="369" spans="1:75" ht="13.5" customHeight="1">
      <c r="A369" s="78" t="s">
        <v>789</v>
      </c>
      <c r="B369" s="79" t="s">
        <v>84</v>
      </c>
      <c r="C369" s="79" t="s">
        <v>790</v>
      </c>
      <c r="D369" s="198" t="s">
        <v>791</v>
      </c>
      <c r="E369" s="199"/>
      <c r="F369" s="79" t="s">
        <v>199</v>
      </c>
      <c r="G369" s="80">
        <v>2</v>
      </c>
      <c r="H369" s="81">
        <v>0</v>
      </c>
      <c r="I369" s="80">
        <f>G369*H369</f>
        <v>0</v>
      </c>
      <c r="J369" s="80">
        <v>0.0108</v>
      </c>
      <c r="K369" s="80">
        <f>G369*J369</f>
        <v>0.0216</v>
      </c>
      <c r="L369" s="82" t="s">
        <v>207</v>
      </c>
      <c r="Z369" s="38">
        <f>IF(AQ369="5",BJ369,0)</f>
        <v>0</v>
      </c>
      <c r="AB369" s="38">
        <f>IF(AQ369="1",BH369,0)</f>
        <v>0</v>
      </c>
      <c r="AC369" s="38">
        <f>IF(AQ369="1",BI369,0)</f>
        <v>0</v>
      </c>
      <c r="AD369" s="38">
        <f>IF(AQ369="7",BH369,0)</f>
        <v>0</v>
      </c>
      <c r="AE369" s="38">
        <f>IF(AQ369="7",BI369,0)</f>
        <v>0</v>
      </c>
      <c r="AF369" s="38">
        <f>IF(AQ369="2",BH369,0)</f>
        <v>0</v>
      </c>
      <c r="AG369" s="38">
        <f>IF(AQ369="2",BI369,0)</f>
        <v>0</v>
      </c>
      <c r="AH369" s="38">
        <f>IF(AQ369="0",BJ369,0)</f>
        <v>0</v>
      </c>
      <c r="AI369" s="50" t="s">
        <v>84</v>
      </c>
      <c r="AJ369" s="80">
        <f>IF(AN369=0,I369,0)</f>
        <v>0</v>
      </c>
      <c r="AK369" s="80">
        <f>IF(AN369=12,I369,0)</f>
        <v>0</v>
      </c>
      <c r="AL369" s="80">
        <f>IF(AN369=21,I369,0)</f>
        <v>0</v>
      </c>
      <c r="AN369" s="38">
        <v>21</v>
      </c>
      <c r="AO369" s="38">
        <f>H369*1</f>
        <v>0</v>
      </c>
      <c r="AP369" s="38">
        <f>H369*(1-1)</f>
        <v>0</v>
      </c>
      <c r="AQ369" s="83" t="s">
        <v>132</v>
      </c>
      <c r="AV369" s="38">
        <f>AW369+AX369</f>
        <v>0</v>
      </c>
      <c r="AW369" s="38">
        <f>G369*AO369</f>
        <v>0</v>
      </c>
      <c r="AX369" s="38">
        <f>G369*AP369</f>
        <v>0</v>
      </c>
      <c r="AY369" s="72" t="s">
        <v>775</v>
      </c>
      <c r="AZ369" s="72" t="s">
        <v>511</v>
      </c>
      <c r="BA369" s="50" t="s">
        <v>139</v>
      </c>
      <c r="BC369" s="38">
        <f>AW369+AX369</f>
        <v>0</v>
      </c>
      <c r="BD369" s="38">
        <f>H369/(100-BE369)*100</f>
        <v>0</v>
      </c>
      <c r="BE369" s="38">
        <v>0</v>
      </c>
      <c r="BF369" s="38">
        <f>K369</f>
        <v>0.0216</v>
      </c>
      <c r="BH369" s="80">
        <f>G369*AO369</f>
        <v>0</v>
      </c>
      <c r="BI369" s="80">
        <f>G369*AP369</f>
        <v>0</v>
      </c>
      <c r="BJ369" s="80">
        <f>G369*H369</f>
        <v>0</v>
      </c>
      <c r="BK369" s="80"/>
      <c r="BL369" s="38">
        <v>64</v>
      </c>
      <c r="BW369" s="38">
        <v>21</v>
      </c>
    </row>
    <row r="370" spans="1:12" ht="15">
      <c r="A370" s="74"/>
      <c r="D370" s="75" t="s">
        <v>143</v>
      </c>
      <c r="E370" s="75" t="s">
        <v>4</v>
      </c>
      <c r="G370" s="76">
        <v>2</v>
      </c>
      <c r="L370" s="77"/>
    </row>
    <row r="371" spans="1:75" ht="13.5" customHeight="1">
      <c r="A371" s="78" t="s">
        <v>792</v>
      </c>
      <c r="B371" s="79" t="s">
        <v>84</v>
      </c>
      <c r="C371" s="79" t="s">
        <v>793</v>
      </c>
      <c r="D371" s="198" t="s">
        <v>794</v>
      </c>
      <c r="E371" s="199"/>
      <c r="F371" s="79" t="s">
        <v>199</v>
      </c>
      <c r="G371" s="80">
        <v>1</v>
      </c>
      <c r="H371" s="81">
        <v>0</v>
      </c>
      <c r="I371" s="80">
        <f>G371*H371</f>
        <v>0</v>
      </c>
      <c r="J371" s="80">
        <v>0.01056</v>
      </c>
      <c r="K371" s="80">
        <f>G371*J371</f>
        <v>0.01056</v>
      </c>
      <c r="L371" s="82" t="s">
        <v>136</v>
      </c>
      <c r="Z371" s="38">
        <f>IF(AQ371="5",BJ371,0)</f>
        <v>0</v>
      </c>
      <c r="AB371" s="38">
        <f>IF(AQ371="1",BH371,0)</f>
        <v>0</v>
      </c>
      <c r="AC371" s="38">
        <f>IF(AQ371="1",BI371,0)</f>
        <v>0</v>
      </c>
      <c r="AD371" s="38">
        <f>IF(AQ371="7",BH371,0)</f>
        <v>0</v>
      </c>
      <c r="AE371" s="38">
        <f>IF(AQ371="7",BI371,0)</f>
        <v>0</v>
      </c>
      <c r="AF371" s="38">
        <f>IF(AQ371="2",BH371,0)</f>
        <v>0</v>
      </c>
      <c r="AG371" s="38">
        <f>IF(AQ371="2",BI371,0)</f>
        <v>0</v>
      </c>
      <c r="AH371" s="38">
        <f>IF(AQ371="0",BJ371,0)</f>
        <v>0</v>
      </c>
      <c r="AI371" s="50" t="s">
        <v>84</v>
      </c>
      <c r="AJ371" s="80">
        <f>IF(AN371=0,I371,0)</f>
        <v>0</v>
      </c>
      <c r="AK371" s="80">
        <f>IF(AN371=12,I371,0)</f>
        <v>0</v>
      </c>
      <c r="AL371" s="80">
        <f>IF(AN371=21,I371,0)</f>
        <v>0</v>
      </c>
      <c r="AN371" s="38">
        <v>21</v>
      </c>
      <c r="AO371" s="38">
        <f>H371*1</f>
        <v>0</v>
      </c>
      <c r="AP371" s="38">
        <f>H371*(1-1)</f>
        <v>0</v>
      </c>
      <c r="AQ371" s="83" t="s">
        <v>132</v>
      </c>
      <c r="AV371" s="38">
        <f>AW371+AX371</f>
        <v>0</v>
      </c>
      <c r="AW371" s="38">
        <f>G371*AO371</f>
        <v>0</v>
      </c>
      <c r="AX371" s="38">
        <f>G371*AP371</f>
        <v>0</v>
      </c>
      <c r="AY371" s="72" t="s">
        <v>775</v>
      </c>
      <c r="AZ371" s="72" t="s">
        <v>511</v>
      </c>
      <c r="BA371" s="50" t="s">
        <v>139</v>
      </c>
      <c r="BC371" s="38">
        <f>AW371+AX371</f>
        <v>0</v>
      </c>
      <c r="BD371" s="38">
        <f>H371/(100-BE371)*100</f>
        <v>0</v>
      </c>
      <c r="BE371" s="38">
        <v>0</v>
      </c>
      <c r="BF371" s="38">
        <f>K371</f>
        <v>0.01056</v>
      </c>
      <c r="BH371" s="80">
        <f>G371*AO371</f>
        <v>0</v>
      </c>
      <c r="BI371" s="80">
        <f>G371*AP371</f>
        <v>0</v>
      </c>
      <c r="BJ371" s="80">
        <f>G371*H371</f>
        <v>0</v>
      </c>
      <c r="BK371" s="80"/>
      <c r="BL371" s="38">
        <v>64</v>
      </c>
      <c r="BW371" s="38">
        <v>21</v>
      </c>
    </row>
    <row r="372" spans="1:12" ht="15">
      <c r="A372" s="74"/>
      <c r="D372" s="75" t="s">
        <v>132</v>
      </c>
      <c r="E372" s="75" t="s">
        <v>4</v>
      </c>
      <c r="G372" s="76">
        <v>1</v>
      </c>
      <c r="L372" s="77"/>
    </row>
    <row r="373" spans="1:75" ht="13.5" customHeight="1">
      <c r="A373" s="78" t="s">
        <v>795</v>
      </c>
      <c r="B373" s="79" t="s">
        <v>84</v>
      </c>
      <c r="C373" s="79" t="s">
        <v>796</v>
      </c>
      <c r="D373" s="198" t="s">
        <v>797</v>
      </c>
      <c r="E373" s="199"/>
      <c r="F373" s="79" t="s">
        <v>199</v>
      </c>
      <c r="G373" s="80">
        <v>2</v>
      </c>
      <c r="H373" s="81">
        <v>0</v>
      </c>
      <c r="I373" s="80">
        <f>G373*H373</f>
        <v>0</v>
      </c>
      <c r="J373" s="80">
        <v>0.01081</v>
      </c>
      <c r="K373" s="80">
        <f>G373*J373</f>
        <v>0.02162</v>
      </c>
      <c r="L373" s="82" t="s">
        <v>136</v>
      </c>
      <c r="Z373" s="38">
        <f>IF(AQ373="5",BJ373,0)</f>
        <v>0</v>
      </c>
      <c r="AB373" s="38">
        <f>IF(AQ373="1",BH373,0)</f>
        <v>0</v>
      </c>
      <c r="AC373" s="38">
        <f>IF(AQ373="1",BI373,0)</f>
        <v>0</v>
      </c>
      <c r="AD373" s="38">
        <f>IF(AQ373="7",BH373,0)</f>
        <v>0</v>
      </c>
      <c r="AE373" s="38">
        <f>IF(AQ373="7",BI373,0)</f>
        <v>0</v>
      </c>
      <c r="AF373" s="38">
        <f>IF(AQ373="2",BH373,0)</f>
        <v>0</v>
      </c>
      <c r="AG373" s="38">
        <f>IF(AQ373="2",BI373,0)</f>
        <v>0</v>
      </c>
      <c r="AH373" s="38">
        <f>IF(AQ373="0",BJ373,0)</f>
        <v>0</v>
      </c>
      <c r="AI373" s="50" t="s">
        <v>84</v>
      </c>
      <c r="AJ373" s="80">
        <f>IF(AN373=0,I373,0)</f>
        <v>0</v>
      </c>
      <c r="AK373" s="80">
        <f>IF(AN373=12,I373,0)</f>
        <v>0</v>
      </c>
      <c r="AL373" s="80">
        <f>IF(AN373=21,I373,0)</f>
        <v>0</v>
      </c>
      <c r="AN373" s="38">
        <v>21</v>
      </c>
      <c r="AO373" s="38">
        <f>H373*1</f>
        <v>0</v>
      </c>
      <c r="AP373" s="38">
        <f>H373*(1-1)</f>
        <v>0</v>
      </c>
      <c r="AQ373" s="83" t="s">
        <v>132</v>
      </c>
      <c r="AV373" s="38">
        <f>AW373+AX373</f>
        <v>0</v>
      </c>
      <c r="AW373" s="38">
        <f>G373*AO373</f>
        <v>0</v>
      </c>
      <c r="AX373" s="38">
        <f>G373*AP373</f>
        <v>0</v>
      </c>
      <c r="AY373" s="72" t="s">
        <v>775</v>
      </c>
      <c r="AZ373" s="72" t="s">
        <v>511</v>
      </c>
      <c r="BA373" s="50" t="s">
        <v>139</v>
      </c>
      <c r="BC373" s="38">
        <f>AW373+AX373</f>
        <v>0</v>
      </c>
      <c r="BD373" s="38">
        <f>H373/(100-BE373)*100</f>
        <v>0</v>
      </c>
      <c r="BE373" s="38">
        <v>0</v>
      </c>
      <c r="BF373" s="38">
        <f>K373</f>
        <v>0.02162</v>
      </c>
      <c r="BH373" s="80">
        <f>G373*AO373</f>
        <v>0</v>
      </c>
      <c r="BI373" s="80">
        <f>G373*AP373</f>
        <v>0</v>
      </c>
      <c r="BJ373" s="80">
        <f>G373*H373</f>
        <v>0</v>
      </c>
      <c r="BK373" s="80"/>
      <c r="BL373" s="38">
        <v>64</v>
      </c>
      <c r="BW373" s="38">
        <v>21</v>
      </c>
    </row>
    <row r="374" spans="1:12" ht="15">
      <c r="A374" s="74"/>
      <c r="D374" s="75" t="s">
        <v>143</v>
      </c>
      <c r="E374" s="75" t="s">
        <v>4</v>
      </c>
      <c r="G374" s="76">
        <v>2</v>
      </c>
      <c r="L374" s="77"/>
    </row>
    <row r="375" spans="1:75" ht="13.5" customHeight="1">
      <c r="A375" s="78" t="s">
        <v>798</v>
      </c>
      <c r="B375" s="79" t="s">
        <v>84</v>
      </c>
      <c r="C375" s="79" t="s">
        <v>799</v>
      </c>
      <c r="D375" s="198" t="s">
        <v>800</v>
      </c>
      <c r="E375" s="199"/>
      <c r="F375" s="79" t="s">
        <v>199</v>
      </c>
      <c r="G375" s="80">
        <v>8</v>
      </c>
      <c r="H375" s="81">
        <v>0</v>
      </c>
      <c r="I375" s="80">
        <f>G375*H375</f>
        <v>0</v>
      </c>
      <c r="J375" s="80">
        <v>0.01107</v>
      </c>
      <c r="K375" s="80">
        <f>G375*J375</f>
        <v>0.08856</v>
      </c>
      <c r="L375" s="82" t="s">
        <v>136</v>
      </c>
      <c r="Z375" s="38">
        <f>IF(AQ375="5",BJ375,0)</f>
        <v>0</v>
      </c>
      <c r="AB375" s="38">
        <f>IF(AQ375="1",BH375,0)</f>
        <v>0</v>
      </c>
      <c r="AC375" s="38">
        <f>IF(AQ375="1",BI375,0)</f>
        <v>0</v>
      </c>
      <c r="AD375" s="38">
        <f>IF(AQ375="7",BH375,0)</f>
        <v>0</v>
      </c>
      <c r="AE375" s="38">
        <f>IF(AQ375="7",BI375,0)</f>
        <v>0</v>
      </c>
      <c r="AF375" s="38">
        <f>IF(AQ375="2",BH375,0)</f>
        <v>0</v>
      </c>
      <c r="AG375" s="38">
        <f>IF(AQ375="2",BI375,0)</f>
        <v>0</v>
      </c>
      <c r="AH375" s="38">
        <f>IF(AQ375="0",BJ375,0)</f>
        <v>0</v>
      </c>
      <c r="AI375" s="50" t="s">
        <v>84</v>
      </c>
      <c r="AJ375" s="80">
        <f>IF(AN375=0,I375,0)</f>
        <v>0</v>
      </c>
      <c r="AK375" s="80">
        <f>IF(AN375=12,I375,0)</f>
        <v>0</v>
      </c>
      <c r="AL375" s="80">
        <f>IF(AN375=21,I375,0)</f>
        <v>0</v>
      </c>
      <c r="AN375" s="38">
        <v>21</v>
      </c>
      <c r="AO375" s="38">
        <f>H375*1</f>
        <v>0</v>
      </c>
      <c r="AP375" s="38">
        <f>H375*(1-1)</f>
        <v>0</v>
      </c>
      <c r="AQ375" s="83" t="s">
        <v>132</v>
      </c>
      <c r="AV375" s="38">
        <f>AW375+AX375</f>
        <v>0</v>
      </c>
      <c r="AW375" s="38">
        <f>G375*AO375</f>
        <v>0</v>
      </c>
      <c r="AX375" s="38">
        <f>G375*AP375</f>
        <v>0</v>
      </c>
      <c r="AY375" s="72" t="s">
        <v>775</v>
      </c>
      <c r="AZ375" s="72" t="s">
        <v>511</v>
      </c>
      <c r="BA375" s="50" t="s">
        <v>139</v>
      </c>
      <c r="BC375" s="38">
        <f>AW375+AX375</f>
        <v>0</v>
      </c>
      <c r="BD375" s="38">
        <f>H375/(100-BE375)*100</f>
        <v>0</v>
      </c>
      <c r="BE375" s="38">
        <v>0</v>
      </c>
      <c r="BF375" s="38">
        <f>K375</f>
        <v>0.08856</v>
      </c>
      <c r="BH375" s="80">
        <f>G375*AO375</f>
        <v>0</v>
      </c>
      <c r="BI375" s="80">
        <f>G375*AP375</f>
        <v>0</v>
      </c>
      <c r="BJ375" s="80">
        <f>G375*H375</f>
        <v>0</v>
      </c>
      <c r="BK375" s="80"/>
      <c r="BL375" s="38">
        <v>64</v>
      </c>
      <c r="BW375" s="38">
        <v>21</v>
      </c>
    </row>
    <row r="376" spans="1:12" ht="15">
      <c r="A376" s="74"/>
      <c r="D376" s="75" t="s">
        <v>801</v>
      </c>
      <c r="E376" s="75" t="s">
        <v>4</v>
      </c>
      <c r="G376" s="76">
        <v>8</v>
      </c>
      <c r="L376" s="77"/>
    </row>
    <row r="377" spans="1:75" ht="13.5" customHeight="1">
      <c r="A377" s="78" t="s">
        <v>802</v>
      </c>
      <c r="B377" s="79" t="s">
        <v>84</v>
      </c>
      <c r="C377" s="79" t="s">
        <v>803</v>
      </c>
      <c r="D377" s="198" t="s">
        <v>804</v>
      </c>
      <c r="E377" s="199"/>
      <c r="F377" s="79" t="s">
        <v>199</v>
      </c>
      <c r="G377" s="80">
        <v>3</v>
      </c>
      <c r="H377" s="81">
        <v>0</v>
      </c>
      <c r="I377" s="80">
        <f>G377*H377</f>
        <v>0</v>
      </c>
      <c r="J377" s="80">
        <v>0.0144</v>
      </c>
      <c r="K377" s="80">
        <f>G377*J377</f>
        <v>0.0432</v>
      </c>
      <c r="L377" s="82" t="s">
        <v>136</v>
      </c>
      <c r="Z377" s="38">
        <f>IF(AQ377="5",BJ377,0)</f>
        <v>0</v>
      </c>
      <c r="AB377" s="38">
        <f>IF(AQ377="1",BH377,0)</f>
        <v>0</v>
      </c>
      <c r="AC377" s="38">
        <f>IF(AQ377="1",BI377,0)</f>
        <v>0</v>
      </c>
      <c r="AD377" s="38">
        <f>IF(AQ377="7",BH377,0)</f>
        <v>0</v>
      </c>
      <c r="AE377" s="38">
        <f>IF(AQ377="7",BI377,0)</f>
        <v>0</v>
      </c>
      <c r="AF377" s="38">
        <f>IF(AQ377="2",BH377,0)</f>
        <v>0</v>
      </c>
      <c r="AG377" s="38">
        <f>IF(AQ377="2",BI377,0)</f>
        <v>0</v>
      </c>
      <c r="AH377" s="38">
        <f>IF(AQ377="0",BJ377,0)</f>
        <v>0</v>
      </c>
      <c r="AI377" s="50" t="s">
        <v>84</v>
      </c>
      <c r="AJ377" s="80">
        <f>IF(AN377=0,I377,0)</f>
        <v>0</v>
      </c>
      <c r="AK377" s="80">
        <f>IF(AN377=12,I377,0)</f>
        <v>0</v>
      </c>
      <c r="AL377" s="80">
        <f>IF(AN377=21,I377,0)</f>
        <v>0</v>
      </c>
      <c r="AN377" s="38">
        <v>21</v>
      </c>
      <c r="AO377" s="38">
        <f>H377*1</f>
        <v>0</v>
      </c>
      <c r="AP377" s="38">
        <f>H377*(1-1)</f>
        <v>0</v>
      </c>
      <c r="AQ377" s="83" t="s">
        <v>132</v>
      </c>
      <c r="AV377" s="38">
        <f>AW377+AX377</f>
        <v>0</v>
      </c>
      <c r="AW377" s="38">
        <f>G377*AO377</f>
        <v>0</v>
      </c>
      <c r="AX377" s="38">
        <f>G377*AP377</f>
        <v>0</v>
      </c>
      <c r="AY377" s="72" t="s">
        <v>775</v>
      </c>
      <c r="AZ377" s="72" t="s">
        <v>511</v>
      </c>
      <c r="BA377" s="50" t="s">
        <v>139</v>
      </c>
      <c r="BC377" s="38">
        <f>AW377+AX377</f>
        <v>0</v>
      </c>
      <c r="BD377" s="38">
        <f>H377/(100-BE377)*100</f>
        <v>0</v>
      </c>
      <c r="BE377" s="38">
        <v>0</v>
      </c>
      <c r="BF377" s="38">
        <f>K377</f>
        <v>0.0432</v>
      </c>
      <c r="BH377" s="80">
        <f>G377*AO377</f>
        <v>0</v>
      </c>
      <c r="BI377" s="80">
        <f>G377*AP377</f>
        <v>0</v>
      </c>
      <c r="BJ377" s="80">
        <f>G377*H377</f>
        <v>0</v>
      </c>
      <c r="BK377" s="80"/>
      <c r="BL377" s="38">
        <v>64</v>
      </c>
      <c r="BW377" s="38">
        <v>21</v>
      </c>
    </row>
    <row r="378" spans="1:12" ht="15">
      <c r="A378" s="74"/>
      <c r="D378" s="75" t="s">
        <v>149</v>
      </c>
      <c r="E378" s="75" t="s">
        <v>4</v>
      </c>
      <c r="G378" s="76">
        <v>3</v>
      </c>
      <c r="L378" s="77"/>
    </row>
    <row r="379" spans="1:75" ht="13.5" customHeight="1">
      <c r="A379" s="78" t="s">
        <v>805</v>
      </c>
      <c r="B379" s="79" t="s">
        <v>84</v>
      </c>
      <c r="C379" s="79" t="s">
        <v>806</v>
      </c>
      <c r="D379" s="198" t="s">
        <v>807</v>
      </c>
      <c r="E379" s="199"/>
      <c r="F379" s="79" t="s">
        <v>199</v>
      </c>
      <c r="G379" s="80">
        <v>2</v>
      </c>
      <c r="H379" s="81">
        <v>0</v>
      </c>
      <c r="I379" s="80">
        <f>G379*H379</f>
        <v>0</v>
      </c>
      <c r="J379" s="80">
        <v>0.01508</v>
      </c>
      <c r="K379" s="80">
        <f>G379*J379</f>
        <v>0.03016</v>
      </c>
      <c r="L379" s="82" t="s">
        <v>136</v>
      </c>
      <c r="Z379" s="38">
        <f>IF(AQ379="5",BJ379,0)</f>
        <v>0</v>
      </c>
      <c r="AB379" s="38">
        <f>IF(AQ379="1",BH379,0)</f>
        <v>0</v>
      </c>
      <c r="AC379" s="38">
        <f>IF(AQ379="1",BI379,0)</f>
        <v>0</v>
      </c>
      <c r="AD379" s="38">
        <f>IF(AQ379="7",BH379,0)</f>
        <v>0</v>
      </c>
      <c r="AE379" s="38">
        <f>IF(AQ379="7",BI379,0)</f>
        <v>0</v>
      </c>
      <c r="AF379" s="38">
        <f>IF(AQ379="2",BH379,0)</f>
        <v>0</v>
      </c>
      <c r="AG379" s="38">
        <f>IF(AQ379="2",BI379,0)</f>
        <v>0</v>
      </c>
      <c r="AH379" s="38">
        <f>IF(AQ379="0",BJ379,0)</f>
        <v>0</v>
      </c>
      <c r="AI379" s="50" t="s">
        <v>84</v>
      </c>
      <c r="AJ379" s="80">
        <f>IF(AN379=0,I379,0)</f>
        <v>0</v>
      </c>
      <c r="AK379" s="80">
        <f>IF(AN379=12,I379,0)</f>
        <v>0</v>
      </c>
      <c r="AL379" s="80">
        <f>IF(AN379=21,I379,0)</f>
        <v>0</v>
      </c>
      <c r="AN379" s="38">
        <v>21</v>
      </c>
      <c r="AO379" s="38">
        <f>H379*1</f>
        <v>0</v>
      </c>
      <c r="AP379" s="38">
        <f>H379*(1-1)</f>
        <v>0</v>
      </c>
      <c r="AQ379" s="83" t="s">
        <v>132</v>
      </c>
      <c r="AV379" s="38">
        <f>AW379+AX379</f>
        <v>0</v>
      </c>
      <c r="AW379" s="38">
        <f>G379*AO379</f>
        <v>0</v>
      </c>
      <c r="AX379" s="38">
        <f>G379*AP379</f>
        <v>0</v>
      </c>
      <c r="AY379" s="72" t="s">
        <v>775</v>
      </c>
      <c r="AZ379" s="72" t="s">
        <v>511</v>
      </c>
      <c r="BA379" s="50" t="s">
        <v>139</v>
      </c>
      <c r="BC379" s="38">
        <f>AW379+AX379</f>
        <v>0</v>
      </c>
      <c r="BD379" s="38">
        <f>H379/(100-BE379)*100</f>
        <v>0</v>
      </c>
      <c r="BE379" s="38">
        <v>0</v>
      </c>
      <c r="BF379" s="38">
        <f>K379</f>
        <v>0.03016</v>
      </c>
      <c r="BH379" s="80">
        <f>G379*AO379</f>
        <v>0</v>
      </c>
      <c r="BI379" s="80">
        <f>G379*AP379</f>
        <v>0</v>
      </c>
      <c r="BJ379" s="80">
        <f>G379*H379</f>
        <v>0</v>
      </c>
      <c r="BK379" s="80"/>
      <c r="BL379" s="38">
        <v>64</v>
      </c>
      <c r="BW379" s="38">
        <v>21</v>
      </c>
    </row>
    <row r="380" spans="1:12" ht="15">
      <c r="A380" s="74"/>
      <c r="D380" s="75" t="s">
        <v>143</v>
      </c>
      <c r="E380" s="75" t="s">
        <v>4</v>
      </c>
      <c r="G380" s="76">
        <v>2</v>
      </c>
      <c r="L380" s="77"/>
    </row>
    <row r="381" spans="1:75" ht="13.5" customHeight="1">
      <c r="A381" s="78" t="s">
        <v>808</v>
      </c>
      <c r="B381" s="79" t="s">
        <v>84</v>
      </c>
      <c r="C381" s="79" t="s">
        <v>809</v>
      </c>
      <c r="D381" s="198" t="s">
        <v>810</v>
      </c>
      <c r="E381" s="199"/>
      <c r="F381" s="79" t="s">
        <v>199</v>
      </c>
      <c r="G381" s="80">
        <v>11</v>
      </c>
      <c r="H381" s="81">
        <v>0</v>
      </c>
      <c r="I381" s="80">
        <f>G381*H381</f>
        <v>0</v>
      </c>
      <c r="J381" s="80">
        <v>0</v>
      </c>
      <c r="K381" s="80">
        <f>G381*J381</f>
        <v>0</v>
      </c>
      <c r="L381" s="82" t="s">
        <v>136</v>
      </c>
      <c r="Z381" s="38">
        <f>IF(AQ381="5",BJ381,0)</f>
        <v>0</v>
      </c>
      <c r="AB381" s="38">
        <f>IF(AQ381="1",BH381,0)</f>
        <v>0</v>
      </c>
      <c r="AC381" s="38">
        <f>IF(AQ381="1",BI381,0)</f>
        <v>0</v>
      </c>
      <c r="AD381" s="38">
        <f>IF(AQ381="7",BH381,0)</f>
        <v>0</v>
      </c>
      <c r="AE381" s="38">
        <f>IF(AQ381="7",BI381,0)</f>
        <v>0</v>
      </c>
      <c r="AF381" s="38">
        <f>IF(AQ381="2",BH381,0)</f>
        <v>0</v>
      </c>
      <c r="AG381" s="38">
        <f>IF(AQ381="2",BI381,0)</f>
        <v>0</v>
      </c>
      <c r="AH381" s="38">
        <f>IF(AQ381="0",BJ381,0)</f>
        <v>0</v>
      </c>
      <c r="AI381" s="50" t="s">
        <v>84</v>
      </c>
      <c r="AJ381" s="80">
        <f>IF(AN381=0,I381,0)</f>
        <v>0</v>
      </c>
      <c r="AK381" s="80">
        <f>IF(AN381=12,I381,0)</f>
        <v>0</v>
      </c>
      <c r="AL381" s="80">
        <f>IF(AN381=21,I381,0)</f>
        <v>0</v>
      </c>
      <c r="AN381" s="38">
        <v>21</v>
      </c>
      <c r="AO381" s="38">
        <f>H381*1</f>
        <v>0</v>
      </c>
      <c r="AP381" s="38">
        <f>H381*(1-1)</f>
        <v>0</v>
      </c>
      <c r="AQ381" s="83" t="s">
        <v>132</v>
      </c>
      <c r="AV381" s="38">
        <f>AW381+AX381</f>
        <v>0</v>
      </c>
      <c r="AW381" s="38">
        <f>G381*AO381</f>
        <v>0</v>
      </c>
      <c r="AX381" s="38">
        <f>G381*AP381</f>
        <v>0</v>
      </c>
      <c r="AY381" s="72" t="s">
        <v>775</v>
      </c>
      <c r="AZ381" s="72" t="s">
        <v>511</v>
      </c>
      <c r="BA381" s="50" t="s">
        <v>139</v>
      </c>
      <c r="BC381" s="38">
        <f>AW381+AX381</f>
        <v>0</v>
      </c>
      <c r="BD381" s="38">
        <f>H381/(100-BE381)*100</f>
        <v>0</v>
      </c>
      <c r="BE381" s="38">
        <v>0</v>
      </c>
      <c r="BF381" s="38">
        <f>K381</f>
        <v>0</v>
      </c>
      <c r="BH381" s="80">
        <f>G381*AO381</f>
        <v>0</v>
      </c>
      <c r="BI381" s="80">
        <f>G381*AP381</f>
        <v>0</v>
      </c>
      <c r="BJ381" s="80">
        <f>G381*H381</f>
        <v>0</v>
      </c>
      <c r="BK381" s="80"/>
      <c r="BL381" s="38">
        <v>64</v>
      </c>
      <c r="BW381" s="38">
        <v>21</v>
      </c>
    </row>
    <row r="382" spans="1:12" ht="15">
      <c r="A382" s="74"/>
      <c r="D382" s="75" t="s">
        <v>191</v>
      </c>
      <c r="E382" s="75" t="s">
        <v>4</v>
      </c>
      <c r="G382" s="76">
        <v>11</v>
      </c>
      <c r="L382" s="77"/>
    </row>
    <row r="383" spans="1:47" ht="15">
      <c r="A383" s="65" t="s">
        <v>4</v>
      </c>
      <c r="B383" s="66" t="s">
        <v>84</v>
      </c>
      <c r="C383" s="66" t="s">
        <v>811</v>
      </c>
      <c r="D383" s="192" t="s">
        <v>812</v>
      </c>
      <c r="E383" s="193"/>
      <c r="F383" s="67" t="s">
        <v>78</v>
      </c>
      <c r="G383" s="67" t="s">
        <v>78</v>
      </c>
      <c r="H383" s="68" t="s">
        <v>78</v>
      </c>
      <c r="I383" s="44">
        <f>SUM(I384:I417)</f>
        <v>0</v>
      </c>
      <c r="J383" s="50" t="s">
        <v>4</v>
      </c>
      <c r="K383" s="44">
        <f>SUM(K384:K417)</f>
        <v>2.6630818</v>
      </c>
      <c r="L383" s="69" t="s">
        <v>4</v>
      </c>
      <c r="AI383" s="50" t="s">
        <v>84</v>
      </c>
      <c r="AS383" s="44">
        <f>SUM(AJ384:AJ417)</f>
        <v>0</v>
      </c>
      <c r="AT383" s="44">
        <f>SUM(AK384:AK417)</f>
        <v>0</v>
      </c>
      <c r="AU383" s="44">
        <f>SUM(AL384:AL417)</f>
        <v>0</v>
      </c>
    </row>
    <row r="384" spans="1:75" ht="13.5" customHeight="1">
      <c r="A384" s="1" t="s">
        <v>813</v>
      </c>
      <c r="B384" s="2" t="s">
        <v>84</v>
      </c>
      <c r="C384" s="2" t="s">
        <v>814</v>
      </c>
      <c r="D384" s="108" t="s">
        <v>815</v>
      </c>
      <c r="E384" s="103"/>
      <c r="F384" s="2" t="s">
        <v>263</v>
      </c>
      <c r="G384" s="38">
        <v>4.2</v>
      </c>
      <c r="H384" s="70">
        <v>0</v>
      </c>
      <c r="I384" s="38">
        <f>G384*H384</f>
        <v>0</v>
      </c>
      <c r="J384" s="38">
        <v>0.00487</v>
      </c>
      <c r="K384" s="38">
        <f>G384*J384</f>
        <v>0.020454</v>
      </c>
      <c r="L384" s="71" t="s">
        <v>136</v>
      </c>
      <c r="Z384" s="38">
        <f>IF(AQ384="5",BJ384,0)</f>
        <v>0</v>
      </c>
      <c r="AB384" s="38">
        <f>IF(AQ384="1",BH384,0)</f>
        <v>0</v>
      </c>
      <c r="AC384" s="38">
        <f>IF(AQ384="1",BI384,0)</f>
        <v>0</v>
      </c>
      <c r="AD384" s="38">
        <f>IF(AQ384="7",BH384,0)</f>
        <v>0</v>
      </c>
      <c r="AE384" s="38">
        <f>IF(AQ384="7",BI384,0)</f>
        <v>0</v>
      </c>
      <c r="AF384" s="38">
        <f>IF(AQ384="2",BH384,0)</f>
        <v>0</v>
      </c>
      <c r="AG384" s="38">
        <f>IF(AQ384="2",BI384,0)</f>
        <v>0</v>
      </c>
      <c r="AH384" s="38">
        <f>IF(AQ384="0",BJ384,0)</f>
        <v>0</v>
      </c>
      <c r="AI384" s="50" t="s">
        <v>84</v>
      </c>
      <c r="AJ384" s="38">
        <f>IF(AN384=0,I384,0)</f>
        <v>0</v>
      </c>
      <c r="AK384" s="38">
        <f>IF(AN384=12,I384,0)</f>
        <v>0</v>
      </c>
      <c r="AL384" s="38">
        <f>IF(AN384=21,I384,0)</f>
        <v>0</v>
      </c>
      <c r="AN384" s="38">
        <v>21</v>
      </c>
      <c r="AO384" s="38">
        <f>H384*0</f>
        <v>0</v>
      </c>
      <c r="AP384" s="38">
        <f>H384*(1-0)</f>
        <v>0</v>
      </c>
      <c r="AQ384" s="72" t="s">
        <v>169</v>
      </c>
      <c r="AV384" s="38">
        <f>AW384+AX384</f>
        <v>0</v>
      </c>
      <c r="AW384" s="38">
        <f>G384*AO384</f>
        <v>0</v>
      </c>
      <c r="AX384" s="38">
        <f>G384*AP384</f>
        <v>0</v>
      </c>
      <c r="AY384" s="72" t="s">
        <v>816</v>
      </c>
      <c r="AZ384" s="72" t="s">
        <v>817</v>
      </c>
      <c r="BA384" s="50" t="s">
        <v>139</v>
      </c>
      <c r="BB384" s="73">
        <v>100022</v>
      </c>
      <c r="BC384" s="38">
        <f>AW384+AX384</f>
        <v>0</v>
      </c>
      <c r="BD384" s="38">
        <f>H384/(100-BE384)*100</f>
        <v>0</v>
      </c>
      <c r="BE384" s="38">
        <v>0</v>
      </c>
      <c r="BF384" s="38">
        <f>K384</f>
        <v>0.020454</v>
      </c>
      <c r="BH384" s="38">
        <f>G384*AO384</f>
        <v>0</v>
      </c>
      <c r="BI384" s="38">
        <f>G384*AP384</f>
        <v>0</v>
      </c>
      <c r="BJ384" s="38">
        <f>G384*H384</f>
        <v>0</v>
      </c>
      <c r="BK384" s="38"/>
      <c r="BL384" s="38">
        <v>751</v>
      </c>
      <c r="BW384" s="38">
        <v>21</v>
      </c>
    </row>
    <row r="385" spans="1:12" ht="13.5" customHeight="1">
      <c r="A385" s="74"/>
      <c r="D385" s="194" t="s">
        <v>153</v>
      </c>
      <c r="E385" s="195"/>
      <c r="F385" s="195"/>
      <c r="G385" s="195"/>
      <c r="H385" s="196"/>
      <c r="I385" s="195"/>
      <c r="J385" s="195"/>
      <c r="K385" s="195"/>
      <c r="L385" s="197"/>
    </row>
    <row r="386" spans="1:12" ht="15">
      <c r="A386" s="74"/>
      <c r="D386" s="75" t="s">
        <v>818</v>
      </c>
      <c r="E386" s="75" t="s">
        <v>4</v>
      </c>
      <c r="G386" s="76">
        <v>4.2</v>
      </c>
      <c r="L386" s="77"/>
    </row>
    <row r="387" spans="1:75" ht="13.5" customHeight="1">
      <c r="A387" s="1" t="s">
        <v>819</v>
      </c>
      <c r="B387" s="2" t="s">
        <v>84</v>
      </c>
      <c r="C387" s="2" t="s">
        <v>820</v>
      </c>
      <c r="D387" s="108" t="s">
        <v>821</v>
      </c>
      <c r="E387" s="103"/>
      <c r="F387" s="2" t="s">
        <v>263</v>
      </c>
      <c r="G387" s="38">
        <v>4.2</v>
      </c>
      <c r="H387" s="70">
        <v>0</v>
      </c>
      <c r="I387" s="38">
        <f>G387*H387</f>
        <v>0</v>
      </c>
      <c r="J387" s="38">
        <v>0</v>
      </c>
      <c r="K387" s="38">
        <f>G387*J387</f>
        <v>0</v>
      </c>
      <c r="L387" s="71" t="s">
        <v>822</v>
      </c>
      <c r="Z387" s="38">
        <f>IF(AQ387="5",BJ387,0)</f>
        <v>0</v>
      </c>
      <c r="AB387" s="38">
        <f>IF(AQ387="1",BH387,0)</f>
        <v>0</v>
      </c>
      <c r="AC387" s="38">
        <f>IF(AQ387="1",BI387,0)</f>
        <v>0</v>
      </c>
      <c r="AD387" s="38">
        <f>IF(AQ387="7",BH387,0)</f>
        <v>0</v>
      </c>
      <c r="AE387" s="38">
        <f>IF(AQ387="7",BI387,0)</f>
        <v>0</v>
      </c>
      <c r="AF387" s="38">
        <f>IF(AQ387="2",BH387,0)</f>
        <v>0</v>
      </c>
      <c r="AG387" s="38">
        <f>IF(AQ387="2",BI387,0)</f>
        <v>0</v>
      </c>
      <c r="AH387" s="38">
        <f>IF(AQ387="0",BJ387,0)</f>
        <v>0</v>
      </c>
      <c r="AI387" s="50" t="s">
        <v>84</v>
      </c>
      <c r="AJ387" s="38">
        <f>IF(AN387=0,I387,0)</f>
        <v>0</v>
      </c>
      <c r="AK387" s="38">
        <f>IF(AN387=12,I387,0)</f>
        <v>0</v>
      </c>
      <c r="AL387" s="38">
        <f>IF(AN387=21,I387,0)</f>
        <v>0</v>
      </c>
      <c r="AN387" s="38">
        <v>21</v>
      </c>
      <c r="AO387" s="38">
        <f>H387*0</f>
        <v>0</v>
      </c>
      <c r="AP387" s="38">
        <f>H387*(1-0)</f>
        <v>0</v>
      </c>
      <c r="AQ387" s="72" t="s">
        <v>169</v>
      </c>
      <c r="AV387" s="38">
        <f>AW387+AX387</f>
        <v>0</v>
      </c>
      <c r="AW387" s="38">
        <f>G387*AO387</f>
        <v>0</v>
      </c>
      <c r="AX387" s="38">
        <f>G387*AP387</f>
        <v>0</v>
      </c>
      <c r="AY387" s="72" t="s">
        <v>816</v>
      </c>
      <c r="AZ387" s="72" t="s">
        <v>817</v>
      </c>
      <c r="BA387" s="50" t="s">
        <v>139</v>
      </c>
      <c r="BB387" s="73">
        <v>100022</v>
      </c>
      <c r="BC387" s="38">
        <f>AW387+AX387</f>
        <v>0</v>
      </c>
      <c r="BD387" s="38">
        <f>H387/(100-BE387)*100</f>
        <v>0</v>
      </c>
      <c r="BE387" s="38">
        <v>0</v>
      </c>
      <c r="BF387" s="38">
        <f>K387</f>
        <v>0</v>
      </c>
      <c r="BH387" s="38">
        <f>G387*AO387</f>
        <v>0</v>
      </c>
      <c r="BI387" s="38">
        <f>G387*AP387</f>
        <v>0</v>
      </c>
      <c r="BJ387" s="38">
        <f>G387*H387</f>
        <v>0</v>
      </c>
      <c r="BK387" s="38"/>
      <c r="BL387" s="38">
        <v>751</v>
      </c>
      <c r="BW387" s="38">
        <v>21</v>
      </c>
    </row>
    <row r="388" spans="1:12" ht="13.5" customHeight="1">
      <c r="A388" s="74"/>
      <c r="D388" s="194" t="s">
        <v>823</v>
      </c>
      <c r="E388" s="195"/>
      <c r="F388" s="195"/>
      <c r="G388" s="195"/>
      <c r="H388" s="196"/>
      <c r="I388" s="195"/>
      <c r="J388" s="195"/>
      <c r="K388" s="195"/>
      <c r="L388" s="197"/>
    </row>
    <row r="389" spans="1:12" ht="15">
      <c r="A389" s="74"/>
      <c r="D389" s="75" t="s">
        <v>818</v>
      </c>
      <c r="E389" s="75" t="s">
        <v>824</v>
      </c>
      <c r="G389" s="76">
        <v>4.2</v>
      </c>
      <c r="L389" s="77"/>
    </row>
    <row r="390" spans="1:75" ht="13.5" customHeight="1">
      <c r="A390" s="78" t="s">
        <v>825</v>
      </c>
      <c r="B390" s="79" t="s">
        <v>84</v>
      </c>
      <c r="C390" s="79" t="s">
        <v>826</v>
      </c>
      <c r="D390" s="198" t="s">
        <v>827</v>
      </c>
      <c r="E390" s="199"/>
      <c r="F390" s="79" t="s">
        <v>828</v>
      </c>
      <c r="G390" s="80">
        <v>0</v>
      </c>
      <c r="H390" s="81">
        <v>0</v>
      </c>
      <c r="I390" s="80">
        <f>G390*H390</f>
        <v>0</v>
      </c>
      <c r="J390" s="80">
        <v>1</v>
      </c>
      <c r="K390" s="80">
        <f>G390*J390</f>
        <v>0</v>
      </c>
      <c r="L390" s="82" t="s">
        <v>829</v>
      </c>
      <c r="Z390" s="38">
        <f>IF(AQ390="5",BJ390,0)</f>
        <v>0</v>
      </c>
      <c r="AB390" s="38">
        <f>IF(AQ390="1",BH390,0)</f>
        <v>0</v>
      </c>
      <c r="AC390" s="38">
        <f>IF(AQ390="1",BI390,0)</f>
        <v>0</v>
      </c>
      <c r="AD390" s="38">
        <f>IF(AQ390="7",BH390,0)</f>
        <v>0</v>
      </c>
      <c r="AE390" s="38">
        <f>IF(AQ390="7",BI390,0)</f>
        <v>0</v>
      </c>
      <c r="AF390" s="38">
        <f>IF(AQ390="2",BH390,0)</f>
        <v>0</v>
      </c>
      <c r="AG390" s="38">
        <f>IF(AQ390="2",BI390,0)</f>
        <v>0</v>
      </c>
      <c r="AH390" s="38">
        <f>IF(AQ390="0",BJ390,0)</f>
        <v>0</v>
      </c>
      <c r="AI390" s="50" t="s">
        <v>84</v>
      </c>
      <c r="AJ390" s="80">
        <f>IF(AN390=0,I390,0)</f>
        <v>0</v>
      </c>
      <c r="AK390" s="80">
        <f>IF(AN390=12,I390,0)</f>
        <v>0</v>
      </c>
      <c r="AL390" s="80">
        <f>IF(AN390=21,I390,0)</f>
        <v>0</v>
      </c>
      <c r="AN390" s="38">
        <v>21</v>
      </c>
      <c r="AO390" s="38">
        <f>H390*1</f>
        <v>0</v>
      </c>
      <c r="AP390" s="38">
        <f>H390*(1-1)</f>
        <v>0</v>
      </c>
      <c r="AQ390" s="83" t="s">
        <v>169</v>
      </c>
      <c r="AV390" s="38">
        <f>AW390+AX390</f>
        <v>0</v>
      </c>
      <c r="AW390" s="38">
        <f>G390*AO390</f>
        <v>0</v>
      </c>
      <c r="AX390" s="38">
        <f>G390*AP390</f>
        <v>0</v>
      </c>
      <c r="AY390" s="72" t="s">
        <v>816</v>
      </c>
      <c r="AZ390" s="72" t="s">
        <v>817</v>
      </c>
      <c r="BA390" s="50" t="s">
        <v>139</v>
      </c>
      <c r="BC390" s="38">
        <f>AW390+AX390</f>
        <v>0</v>
      </c>
      <c r="BD390" s="38">
        <f>H390/(100-BE390)*100</f>
        <v>0</v>
      </c>
      <c r="BE390" s="38">
        <v>0</v>
      </c>
      <c r="BF390" s="38">
        <f>K390</f>
        <v>0</v>
      </c>
      <c r="BH390" s="80">
        <f>G390*AO390</f>
        <v>0</v>
      </c>
      <c r="BI390" s="80">
        <f>G390*AP390</f>
        <v>0</v>
      </c>
      <c r="BJ390" s="80">
        <f>G390*H390</f>
        <v>0</v>
      </c>
      <c r="BK390" s="80"/>
      <c r="BL390" s="38">
        <v>751</v>
      </c>
      <c r="BW390" s="38">
        <v>21</v>
      </c>
    </row>
    <row r="391" spans="1:12" ht="15">
      <c r="A391" s="74"/>
      <c r="D391" s="75" t="s">
        <v>830</v>
      </c>
      <c r="E391" s="75" t="s">
        <v>824</v>
      </c>
      <c r="G391" s="76">
        <v>0</v>
      </c>
      <c r="L391" s="77"/>
    </row>
    <row r="392" spans="1:75" ht="13.5" customHeight="1">
      <c r="A392" s="1" t="s">
        <v>831</v>
      </c>
      <c r="B392" s="2" t="s">
        <v>84</v>
      </c>
      <c r="C392" s="2" t="s">
        <v>832</v>
      </c>
      <c r="D392" s="108" t="s">
        <v>833</v>
      </c>
      <c r="E392" s="103"/>
      <c r="F392" s="2" t="s">
        <v>263</v>
      </c>
      <c r="G392" s="38">
        <v>7.4</v>
      </c>
      <c r="H392" s="70">
        <v>0</v>
      </c>
      <c r="I392" s="38">
        <f>G392*H392</f>
        <v>0</v>
      </c>
      <c r="J392" s="38">
        <v>0.00041</v>
      </c>
      <c r="K392" s="38">
        <f>G392*J392</f>
        <v>0.0030340000000000002</v>
      </c>
      <c r="L392" s="71" t="s">
        <v>822</v>
      </c>
      <c r="Z392" s="38">
        <f>IF(AQ392="5",BJ392,0)</f>
        <v>0</v>
      </c>
      <c r="AB392" s="38">
        <f>IF(AQ392="1",BH392,0)</f>
        <v>0</v>
      </c>
      <c r="AC392" s="38">
        <f>IF(AQ392="1",BI392,0)</f>
        <v>0</v>
      </c>
      <c r="AD392" s="38">
        <f>IF(AQ392="7",BH392,0)</f>
        <v>0</v>
      </c>
      <c r="AE392" s="38">
        <f>IF(AQ392="7",BI392,0)</f>
        <v>0</v>
      </c>
      <c r="AF392" s="38">
        <f>IF(AQ392="2",BH392,0)</f>
        <v>0</v>
      </c>
      <c r="AG392" s="38">
        <f>IF(AQ392="2",BI392,0)</f>
        <v>0</v>
      </c>
      <c r="AH392" s="38">
        <f>IF(AQ392="0",BJ392,0)</f>
        <v>0</v>
      </c>
      <c r="AI392" s="50" t="s">
        <v>84</v>
      </c>
      <c r="AJ392" s="38">
        <f>IF(AN392=0,I392,0)</f>
        <v>0</v>
      </c>
      <c r="AK392" s="38">
        <f>IF(AN392=12,I392,0)</f>
        <v>0</v>
      </c>
      <c r="AL392" s="38">
        <f>IF(AN392=21,I392,0)</f>
        <v>0</v>
      </c>
      <c r="AN392" s="38">
        <v>21</v>
      </c>
      <c r="AO392" s="38">
        <f>H392*0.082005548</f>
        <v>0</v>
      </c>
      <c r="AP392" s="38">
        <f>H392*(1-0.082005548)</f>
        <v>0</v>
      </c>
      <c r="AQ392" s="72" t="s">
        <v>169</v>
      </c>
      <c r="AV392" s="38">
        <f>AW392+AX392</f>
        <v>0</v>
      </c>
      <c r="AW392" s="38">
        <f>G392*AO392</f>
        <v>0</v>
      </c>
      <c r="AX392" s="38">
        <f>G392*AP392</f>
        <v>0</v>
      </c>
      <c r="AY392" s="72" t="s">
        <v>816</v>
      </c>
      <c r="AZ392" s="72" t="s">
        <v>817</v>
      </c>
      <c r="BA392" s="50" t="s">
        <v>139</v>
      </c>
      <c r="BB392" s="73">
        <v>100022</v>
      </c>
      <c r="BC392" s="38">
        <f>AW392+AX392</f>
        <v>0</v>
      </c>
      <c r="BD392" s="38">
        <f>H392/(100-BE392)*100</f>
        <v>0</v>
      </c>
      <c r="BE392" s="38">
        <v>0</v>
      </c>
      <c r="BF392" s="38">
        <f>K392</f>
        <v>0.0030340000000000002</v>
      </c>
      <c r="BH392" s="38">
        <f>G392*AO392</f>
        <v>0</v>
      </c>
      <c r="BI392" s="38">
        <f>G392*AP392</f>
        <v>0</v>
      </c>
      <c r="BJ392" s="38">
        <f>G392*H392</f>
        <v>0</v>
      </c>
      <c r="BK392" s="38"/>
      <c r="BL392" s="38">
        <v>751</v>
      </c>
      <c r="BW392" s="38">
        <v>21</v>
      </c>
    </row>
    <row r="393" spans="1:12" ht="13.5" customHeight="1">
      <c r="A393" s="74"/>
      <c r="D393" s="194" t="s">
        <v>834</v>
      </c>
      <c r="E393" s="195"/>
      <c r="F393" s="195"/>
      <c r="G393" s="195"/>
      <c r="H393" s="196"/>
      <c r="I393" s="195"/>
      <c r="J393" s="195"/>
      <c r="K393" s="195"/>
      <c r="L393" s="197"/>
    </row>
    <row r="394" spans="1:12" ht="15">
      <c r="A394" s="74"/>
      <c r="D394" s="75" t="s">
        <v>835</v>
      </c>
      <c r="E394" s="75" t="s">
        <v>824</v>
      </c>
      <c r="G394" s="76">
        <v>7.4</v>
      </c>
      <c r="L394" s="77"/>
    </row>
    <row r="395" spans="1:75" ht="27" customHeight="1">
      <c r="A395" s="78" t="s">
        <v>836</v>
      </c>
      <c r="B395" s="79" t="s">
        <v>84</v>
      </c>
      <c r="C395" s="79" t="s">
        <v>837</v>
      </c>
      <c r="D395" s="198" t="s">
        <v>838</v>
      </c>
      <c r="E395" s="199"/>
      <c r="F395" s="79" t="s">
        <v>263</v>
      </c>
      <c r="G395" s="80">
        <v>8.14</v>
      </c>
      <c r="H395" s="81">
        <v>0</v>
      </c>
      <c r="I395" s="80">
        <f>G395*H395</f>
        <v>0</v>
      </c>
      <c r="J395" s="80">
        <v>0.0043</v>
      </c>
      <c r="K395" s="80">
        <f>G395*J395</f>
        <v>0.035002000000000005</v>
      </c>
      <c r="L395" s="82" t="s">
        <v>207</v>
      </c>
      <c r="Z395" s="38">
        <f>IF(AQ395="5",BJ395,0)</f>
        <v>0</v>
      </c>
      <c r="AB395" s="38">
        <f>IF(AQ395="1",BH395,0)</f>
        <v>0</v>
      </c>
      <c r="AC395" s="38">
        <f>IF(AQ395="1",BI395,0)</f>
        <v>0</v>
      </c>
      <c r="AD395" s="38">
        <f>IF(AQ395="7",BH395,0)</f>
        <v>0</v>
      </c>
      <c r="AE395" s="38">
        <f>IF(AQ395="7",BI395,0)</f>
        <v>0</v>
      </c>
      <c r="AF395" s="38">
        <f>IF(AQ395="2",BH395,0)</f>
        <v>0</v>
      </c>
      <c r="AG395" s="38">
        <f>IF(AQ395="2",BI395,0)</f>
        <v>0</v>
      </c>
      <c r="AH395" s="38">
        <f>IF(AQ395="0",BJ395,0)</f>
        <v>0</v>
      </c>
      <c r="AI395" s="50" t="s">
        <v>84</v>
      </c>
      <c r="AJ395" s="80">
        <f>IF(AN395=0,I395,0)</f>
        <v>0</v>
      </c>
      <c r="AK395" s="80">
        <f>IF(AN395=12,I395,0)</f>
        <v>0</v>
      </c>
      <c r="AL395" s="80">
        <f>IF(AN395=21,I395,0)</f>
        <v>0</v>
      </c>
      <c r="AN395" s="38">
        <v>21</v>
      </c>
      <c r="AO395" s="38">
        <f>H395*1</f>
        <v>0</v>
      </c>
      <c r="AP395" s="38">
        <f>H395*(1-1)</f>
        <v>0</v>
      </c>
      <c r="AQ395" s="83" t="s">
        <v>169</v>
      </c>
      <c r="AV395" s="38">
        <f>AW395+AX395</f>
        <v>0</v>
      </c>
      <c r="AW395" s="38">
        <f>G395*AO395</f>
        <v>0</v>
      </c>
      <c r="AX395" s="38">
        <f>G395*AP395</f>
        <v>0</v>
      </c>
      <c r="AY395" s="72" t="s">
        <v>816</v>
      </c>
      <c r="AZ395" s="72" t="s">
        <v>817</v>
      </c>
      <c r="BA395" s="50" t="s">
        <v>139</v>
      </c>
      <c r="BC395" s="38">
        <f>AW395+AX395</f>
        <v>0</v>
      </c>
      <c r="BD395" s="38">
        <f>H395/(100-BE395)*100</f>
        <v>0</v>
      </c>
      <c r="BE395" s="38">
        <v>0</v>
      </c>
      <c r="BF395" s="38">
        <f>K395</f>
        <v>0.035002000000000005</v>
      </c>
      <c r="BH395" s="80">
        <f>G395*AO395</f>
        <v>0</v>
      </c>
      <c r="BI395" s="80">
        <f>G395*AP395</f>
        <v>0</v>
      </c>
      <c r="BJ395" s="80">
        <f>G395*H395</f>
        <v>0</v>
      </c>
      <c r="BK395" s="80"/>
      <c r="BL395" s="38">
        <v>751</v>
      </c>
      <c r="BW395" s="38">
        <v>21</v>
      </c>
    </row>
    <row r="396" spans="1:12" ht="15">
      <c r="A396" s="74"/>
      <c r="D396" s="75" t="s">
        <v>839</v>
      </c>
      <c r="E396" s="75" t="s">
        <v>4</v>
      </c>
      <c r="G396" s="76">
        <v>7.4</v>
      </c>
      <c r="L396" s="77"/>
    </row>
    <row r="397" spans="1:12" ht="15">
      <c r="A397" s="74"/>
      <c r="D397" s="75" t="s">
        <v>840</v>
      </c>
      <c r="E397" s="75" t="s">
        <v>4</v>
      </c>
      <c r="G397" s="76">
        <v>0.74</v>
      </c>
      <c r="L397" s="77"/>
    </row>
    <row r="398" spans="1:75" ht="13.5" customHeight="1">
      <c r="A398" s="1" t="s">
        <v>841</v>
      </c>
      <c r="B398" s="2" t="s">
        <v>84</v>
      </c>
      <c r="C398" s="2" t="s">
        <v>842</v>
      </c>
      <c r="D398" s="108" t="s">
        <v>843</v>
      </c>
      <c r="E398" s="103"/>
      <c r="F398" s="2" t="s">
        <v>263</v>
      </c>
      <c r="G398" s="38">
        <v>35.25</v>
      </c>
      <c r="H398" s="70">
        <v>0</v>
      </c>
      <c r="I398" s="38">
        <f>G398*H398</f>
        <v>0</v>
      </c>
      <c r="J398" s="38">
        <v>0.00473</v>
      </c>
      <c r="K398" s="38">
        <f>G398*J398</f>
        <v>0.1667325</v>
      </c>
      <c r="L398" s="71" t="s">
        <v>207</v>
      </c>
      <c r="Z398" s="38">
        <f>IF(AQ398="5",BJ398,0)</f>
        <v>0</v>
      </c>
      <c r="AB398" s="38">
        <f>IF(AQ398="1",BH398,0)</f>
        <v>0</v>
      </c>
      <c r="AC398" s="38">
        <f>IF(AQ398="1",BI398,0)</f>
        <v>0</v>
      </c>
      <c r="AD398" s="38">
        <f>IF(AQ398="7",BH398,0)</f>
        <v>0</v>
      </c>
      <c r="AE398" s="38">
        <f>IF(AQ398="7",BI398,0)</f>
        <v>0</v>
      </c>
      <c r="AF398" s="38">
        <f>IF(AQ398="2",BH398,0)</f>
        <v>0</v>
      </c>
      <c r="AG398" s="38">
        <f>IF(AQ398="2",BI398,0)</f>
        <v>0</v>
      </c>
      <c r="AH398" s="38">
        <f>IF(AQ398="0",BJ398,0)</f>
        <v>0</v>
      </c>
      <c r="AI398" s="50" t="s">
        <v>84</v>
      </c>
      <c r="AJ398" s="38">
        <f>IF(AN398=0,I398,0)</f>
        <v>0</v>
      </c>
      <c r="AK398" s="38">
        <f>IF(AN398=12,I398,0)</f>
        <v>0</v>
      </c>
      <c r="AL398" s="38">
        <f>IF(AN398=21,I398,0)</f>
        <v>0</v>
      </c>
      <c r="AN398" s="38">
        <v>21</v>
      </c>
      <c r="AO398" s="38">
        <f>H398*0.693877551</f>
        <v>0</v>
      </c>
      <c r="AP398" s="38">
        <f>H398*(1-0.693877551)</f>
        <v>0</v>
      </c>
      <c r="AQ398" s="72" t="s">
        <v>169</v>
      </c>
      <c r="AV398" s="38">
        <f>AW398+AX398</f>
        <v>0</v>
      </c>
      <c r="AW398" s="38">
        <f>G398*AO398</f>
        <v>0</v>
      </c>
      <c r="AX398" s="38">
        <f>G398*AP398</f>
        <v>0</v>
      </c>
      <c r="AY398" s="72" t="s">
        <v>816</v>
      </c>
      <c r="AZ398" s="72" t="s">
        <v>817</v>
      </c>
      <c r="BA398" s="50" t="s">
        <v>139</v>
      </c>
      <c r="BB398" s="73">
        <v>100022</v>
      </c>
      <c r="BC398" s="38">
        <f>AW398+AX398</f>
        <v>0</v>
      </c>
      <c r="BD398" s="38">
        <f>H398/(100-BE398)*100</f>
        <v>0</v>
      </c>
      <c r="BE398" s="38">
        <v>0</v>
      </c>
      <c r="BF398" s="38">
        <f>K398</f>
        <v>0.1667325</v>
      </c>
      <c r="BH398" s="38">
        <f>G398*AO398</f>
        <v>0</v>
      </c>
      <c r="BI398" s="38">
        <f>G398*AP398</f>
        <v>0</v>
      </c>
      <c r="BJ398" s="38">
        <f>G398*H398</f>
        <v>0</v>
      </c>
      <c r="BK398" s="38"/>
      <c r="BL398" s="38">
        <v>751</v>
      </c>
      <c r="BW398" s="38">
        <v>21</v>
      </c>
    </row>
    <row r="399" spans="1:12" ht="13.5" customHeight="1">
      <c r="A399" s="74"/>
      <c r="D399" s="194" t="s">
        <v>844</v>
      </c>
      <c r="E399" s="195"/>
      <c r="F399" s="195"/>
      <c r="G399" s="195"/>
      <c r="H399" s="196"/>
      <c r="I399" s="195"/>
      <c r="J399" s="195"/>
      <c r="K399" s="195"/>
      <c r="L399" s="197"/>
    </row>
    <row r="400" spans="1:12" ht="15">
      <c r="A400" s="74"/>
      <c r="D400" s="75" t="s">
        <v>284</v>
      </c>
      <c r="E400" s="75" t="s">
        <v>4</v>
      </c>
      <c r="G400" s="76">
        <v>35.25</v>
      </c>
      <c r="L400" s="77"/>
    </row>
    <row r="401" spans="1:75" ht="13.5" customHeight="1">
      <c r="A401" s="1" t="s">
        <v>845</v>
      </c>
      <c r="B401" s="2" t="s">
        <v>84</v>
      </c>
      <c r="C401" s="2" t="s">
        <v>820</v>
      </c>
      <c r="D401" s="108" t="s">
        <v>821</v>
      </c>
      <c r="E401" s="103"/>
      <c r="F401" s="2" t="s">
        <v>263</v>
      </c>
      <c r="G401" s="38">
        <v>220.81</v>
      </c>
      <c r="H401" s="70">
        <v>0</v>
      </c>
      <c r="I401" s="38">
        <f>G401*H401</f>
        <v>0</v>
      </c>
      <c r="J401" s="38">
        <v>0</v>
      </c>
      <c r="K401" s="38">
        <f>G401*J401</f>
        <v>0</v>
      </c>
      <c r="L401" s="71" t="s">
        <v>136</v>
      </c>
      <c r="Z401" s="38">
        <f>IF(AQ401="5",BJ401,0)</f>
        <v>0</v>
      </c>
      <c r="AB401" s="38">
        <f>IF(AQ401="1",BH401,0)</f>
        <v>0</v>
      </c>
      <c r="AC401" s="38">
        <f>IF(AQ401="1",BI401,0)</f>
        <v>0</v>
      </c>
      <c r="AD401" s="38">
        <f>IF(AQ401="7",BH401,0)</f>
        <v>0</v>
      </c>
      <c r="AE401" s="38">
        <f>IF(AQ401="7",BI401,0)</f>
        <v>0</v>
      </c>
      <c r="AF401" s="38">
        <f>IF(AQ401="2",BH401,0)</f>
        <v>0</v>
      </c>
      <c r="AG401" s="38">
        <f>IF(AQ401="2",BI401,0)</f>
        <v>0</v>
      </c>
      <c r="AH401" s="38">
        <f>IF(AQ401="0",BJ401,0)</f>
        <v>0</v>
      </c>
      <c r="AI401" s="50" t="s">
        <v>84</v>
      </c>
      <c r="AJ401" s="38">
        <f>IF(AN401=0,I401,0)</f>
        <v>0</v>
      </c>
      <c r="AK401" s="38">
        <f>IF(AN401=12,I401,0)</f>
        <v>0</v>
      </c>
      <c r="AL401" s="38">
        <f>IF(AN401=21,I401,0)</f>
        <v>0</v>
      </c>
      <c r="AN401" s="38">
        <v>21</v>
      </c>
      <c r="AO401" s="38">
        <f>H401*0</f>
        <v>0</v>
      </c>
      <c r="AP401" s="38">
        <f>H401*(1-0)</f>
        <v>0</v>
      </c>
      <c r="AQ401" s="72" t="s">
        <v>169</v>
      </c>
      <c r="AV401" s="38">
        <f>AW401+AX401</f>
        <v>0</v>
      </c>
      <c r="AW401" s="38">
        <f>G401*AO401</f>
        <v>0</v>
      </c>
      <c r="AX401" s="38">
        <f>G401*AP401</f>
        <v>0</v>
      </c>
      <c r="AY401" s="72" t="s">
        <v>816</v>
      </c>
      <c r="AZ401" s="72" t="s">
        <v>817</v>
      </c>
      <c r="BA401" s="50" t="s">
        <v>139</v>
      </c>
      <c r="BB401" s="73">
        <v>100022</v>
      </c>
      <c r="BC401" s="38">
        <f>AW401+AX401</f>
        <v>0</v>
      </c>
      <c r="BD401" s="38">
        <f>H401/(100-BE401)*100</f>
        <v>0</v>
      </c>
      <c r="BE401" s="38">
        <v>0</v>
      </c>
      <c r="BF401" s="38">
        <f>K401</f>
        <v>0</v>
      </c>
      <c r="BH401" s="38">
        <f>G401*AO401</f>
        <v>0</v>
      </c>
      <c r="BI401" s="38">
        <f>G401*AP401</f>
        <v>0</v>
      </c>
      <c r="BJ401" s="38">
        <f>G401*H401</f>
        <v>0</v>
      </c>
      <c r="BK401" s="38"/>
      <c r="BL401" s="38">
        <v>751</v>
      </c>
      <c r="BW401" s="38">
        <v>21</v>
      </c>
    </row>
    <row r="402" spans="1:12" ht="13.5" customHeight="1">
      <c r="A402" s="74"/>
      <c r="D402" s="194" t="s">
        <v>823</v>
      </c>
      <c r="E402" s="195"/>
      <c r="F402" s="195"/>
      <c r="G402" s="195"/>
      <c r="H402" s="196"/>
      <c r="I402" s="195"/>
      <c r="J402" s="195"/>
      <c r="K402" s="195"/>
      <c r="L402" s="197"/>
    </row>
    <row r="403" spans="1:12" ht="15">
      <c r="A403" s="74"/>
      <c r="D403" s="75" t="s">
        <v>846</v>
      </c>
      <c r="E403" s="75" t="s">
        <v>847</v>
      </c>
      <c r="G403" s="76">
        <v>203.18</v>
      </c>
      <c r="L403" s="77"/>
    </row>
    <row r="404" spans="1:12" ht="15">
      <c r="A404" s="74"/>
      <c r="D404" s="75" t="s">
        <v>848</v>
      </c>
      <c r="E404" s="75" t="s">
        <v>849</v>
      </c>
      <c r="G404" s="76">
        <v>17.63</v>
      </c>
      <c r="L404" s="77"/>
    </row>
    <row r="405" spans="1:75" ht="13.5" customHeight="1">
      <c r="A405" s="78" t="s">
        <v>850</v>
      </c>
      <c r="B405" s="79" t="s">
        <v>84</v>
      </c>
      <c r="C405" s="79" t="s">
        <v>826</v>
      </c>
      <c r="D405" s="198" t="s">
        <v>827</v>
      </c>
      <c r="E405" s="199"/>
      <c r="F405" s="79" t="s">
        <v>828</v>
      </c>
      <c r="G405" s="80">
        <v>0.07</v>
      </c>
      <c r="H405" s="81">
        <v>0</v>
      </c>
      <c r="I405" s="80">
        <f>G405*H405</f>
        <v>0</v>
      </c>
      <c r="J405" s="80">
        <v>1</v>
      </c>
      <c r="K405" s="80">
        <f>G405*J405</f>
        <v>0.07</v>
      </c>
      <c r="L405" s="82" t="s">
        <v>136</v>
      </c>
      <c r="Z405" s="38">
        <f>IF(AQ405="5",BJ405,0)</f>
        <v>0</v>
      </c>
      <c r="AB405" s="38">
        <f>IF(AQ405="1",BH405,0)</f>
        <v>0</v>
      </c>
      <c r="AC405" s="38">
        <f>IF(AQ405="1",BI405,0)</f>
        <v>0</v>
      </c>
      <c r="AD405" s="38">
        <f>IF(AQ405="7",BH405,0)</f>
        <v>0</v>
      </c>
      <c r="AE405" s="38">
        <f>IF(AQ405="7",BI405,0)</f>
        <v>0</v>
      </c>
      <c r="AF405" s="38">
        <f>IF(AQ405="2",BH405,0)</f>
        <v>0</v>
      </c>
      <c r="AG405" s="38">
        <f>IF(AQ405="2",BI405,0)</f>
        <v>0</v>
      </c>
      <c r="AH405" s="38">
        <f>IF(AQ405="0",BJ405,0)</f>
        <v>0</v>
      </c>
      <c r="AI405" s="50" t="s">
        <v>84</v>
      </c>
      <c r="AJ405" s="80">
        <f>IF(AN405=0,I405,0)</f>
        <v>0</v>
      </c>
      <c r="AK405" s="80">
        <f>IF(AN405=12,I405,0)</f>
        <v>0</v>
      </c>
      <c r="AL405" s="80">
        <f>IF(AN405=21,I405,0)</f>
        <v>0</v>
      </c>
      <c r="AN405" s="38">
        <v>21</v>
      </c>
      <c r="AO405" s="38">
        <f>H405*1</f>
        <v>0</v>
      </c>
      <c r="AP405" s="38">
        <f>H405*(1-1)</f>
        <v>0</v>
      </c>
      <c r="AQ405" s="83" t="s">
        <v>169</v>
      </c>
      <c r="AV405" s="38">
        <f>AW405+AX405</f>
        <v>0</v>
      </c>
      <c r="AW405" s="38">
        <f>G405*AO405</f>
        <v>0</v>
      </c>
      <c r="AX405" s="38">
        <f>G405*AP405</f>
        <v>0</v>
      </c>
      <c r="AY405" s="72" t="s">
        <v>816</v>
      </c>
      <c r="AZ405" s="72" t="s">
        <v>817</v>
      </c>
      <c r="BA405" s="50" t="s">
        <v>139</v>
      </c>
      <c r="BC405" s="38">
        <f>AW405+AX405</f>
        <v>0</v>
      </c>
      <c r="BD405" s="38">
        <f>H405/(100-BE405)*100</f>
        <v>0</v>
      </c>
      <c r="BE405" s="38">
        <v>0</v>
      </c>
      <c r="BF405" s="38">
        <f>K405</f>
        <v>0.07</v>
      </c>
      <c r="BH405" s="80">
        <f>G405*AO405</f>
        <v>0</v>
      </c>
      <c r="BI405" s="80">
        <f>G405*AP405</f>
        <v>0</v>
      </c>
      <c r="BJ405" s="80">
        <f>G405*H405</f>
        <v>0</v>
      </c>
      <c r="BK405" s="80"/>
      <c r="BL405" s="38">
        <v>751</v>
      </c>
      <c r="BW405" s="38">
        <v>21</v>
      </c>
    </row>
    <row r="406" spans="1:12" ht="15">
      <c r="A406" s="74"/>
      <c r="D406" s="75" t="s">
        <v>851</v>
      </c>
      <c r="E406" s="75" t="s">
        <v>852</v>
      </c>
      <c r="G406" s="76">
        <v>0.07</v>
      </c>
      <c r="L406" s="77"/>
    </row>
    <row r="407" spans="1:75" ht="13.5" customHeight="1">
      <c r="A407" s="1" t="s">
        <v>853</v>
      </c>
      <c r="B407" s="2" t="s">
        <v>84</v>
      </c>
      <c r="C407" s="2" t="s">
        <v>854</v>
      </c>
      <c r="D407" s="108" t="s">
        <v>855</v>
      </c>
      <c r="E407" s="103"/>
      <c r="F407" s="2" t="s">
        <v>263</v>
      </c>
      <c r="G407" s="38">
        <v>203.18</v>
      </c>
      <c r="H407" s="70">
        <v>0</v>
      </c>
      <c r="I407" s="38">
        <f>G407*H407</f>
        <v>0</v>
      </c>
      <c r="J407" s="38">
        <v>0.00082</v>
      </c>
      <c r="K407" s="38">
        <f>G407*J407</f>
        <v>0.1666076</v>
      </c>
      <c r="L407" s="71" t="s">
        <v>136</v>
      </c>
      <c r="Z407" s="38">
        <f>IF(AQ407="5",BJ407,0)</f>
        <v>0</v>
      </c>
      <c r="AB407" s="38">
        <f>IF(AQ407="1",BH407,0)</f>
        <v>0</v>
      </c>
      <c r="AC407" s="38">
        <f>IF(AQ407="1",BI407,0)</f>
        <v>0</v>
      </c>
      <c r="AD407" s="38">
        <f>IF(AQ407="7",BH407,0)</f>
        <v>0</v>
      </c>
      <c r="AE407" s="38">
        <f>IF(AQ407="7",BI407,0)</f>
        <v>0</v>
      </c>
      <c r="AF407" s="38">
        <f>IF(AQ407="2",BH407,0)</f>
        <v>0</v>
      </c>
      <c r="AG407" s="38">
        <f>IF(AQ407="2",BI407,0)</f>
        <v>0</v>
      </c>
      <c r="AH407" s="38">
        <f>IF(AQ407="0",BJ407,0)</f>
        <v>0</v>
      </c>
      <c r="AI407" s="50" t="s">
        <v>84</v>
      </c>
      <c r="AJ407" s="38">
        <f>IF(AN407=0,I407,0)</f>
        <v>0</v>
      </c>
      <c r="AK407" s="38">
        <f>IF(AN407=12,I407,0)</f>
        <v>0</v>
      </c>
      <c r="AL407" s="38">
        <f>IF(AN407=21,I407,0)</f>
        <v>0</v>
      </c>
      <c r="AN407" s="38">
        <v>21</v>
      </c>
      <c r="AO407" s="38">
        <f>H407*0.081083577</f>
        <v>0</v>
      </c>
      <c r="AP407" s="38">
        <f>H407*(1-0.081083577)</f>
        <v>0</v>
      </c>
      <c r="AQ407" s="72" t="s">
        <v>169</v>
      </c>
      <c r="AV407" s="38">
        <f>AW407+AX407</f>
        <v>0</v>
      </c>
      <c r="AW407" s="38">
        <f>G407*AO407</f>
        <v>0</v>
      </c>
      <c r="AX407" s="38">
        <f>G407*AP407</f>
        <v>0</v>
      </c>
      <c r="AY407" s="72" t="s">
        <v>816</v>
      </c>
      <c r="AZ407" s="72" t="s">
        <v>817</v>
      </c>
      <c r="BA407" s="50" t="s">
        <v>139</v>
      </c>
      <c r="BB407" s="73">
        <v>100022</v>
      </c>
      <c r="BC407" s="38">
        <f>AW407+AX407</f>
        <v>0</v>
      </c>
      <c r="BD407" s="38">
        <f>H407/(100-BE407)*100</f>
        <v>0</v>
      </c>
      <c r="BE407" s="38">
        <v>0</v>
      </c>
      <c r="BF407" s="38">
        <f>K407</f>
        <v>0.1666076</v>
      </c>
      <c r="BH407" s="38">
        <f>G407*AO407</f>
        <v>0</v>
      </c>
      <c r="BI407" s="38">
        <f>G407*AP407</f>
        <v>0</v>
      </c>
      <c r="BJ407" s="38">
        <f>G407*H407</f>
        <v>0</v>
      </c>
      <c r="BK407" s="38"/>
      <c r="BL407" s="38">
        <v>751</v>
      </c>
      <c r="BW407" s="38">
        <v>21</v>
      </c>
    </row>
    <row r="408" spans="1:12" ht="13.5" customHeight="1">
      <c r="A408" s="74"/>
      <c r="D408" s="194" t="s">
        <v>856</v>
      </c>
      <c r="E408" s="195"/>
      <c r="F408" s="195"/>
      <c r="G408" s="195"/>
      <c r="H408" s="196"/>
      <c r="I408" s="195"/>
      <c r="J408" s="195"/>
      <c r="K408" s="195"/>
      <c r="L408" s="197"/>
    </row>
    <row r="409" spans="1:12" ht="15">
      <c r="A409" s="74"/>
      <c r="D409" s="75" t="s">
        <v>846</v>
      </c>
      <c r="E409" s="75" t="s">
        <v>847</v>
      </c>
      <c r="G409" s="76">
        <v>203.18</v>
      </c>
      <c r="L409" s="77"/>
    </row>
    <row r="410" spans="1:75" ht="13.5" customHeight="1">
      <c r="A410" s="1" t="s">
        <v>857</v>
      </c>
      <c r="B410" s="2" t="s">
        <v>84</v>
      </c>
      <c r="C410" s="2" t="s">
        <v>858</v>
      </c>
      <c r="D410" s="108" t="s">
        <v>859</v>
      </c>
      <c r="E410" s="103"/>
      <c r="F410" s="2" t="s">
        <v>263</v>
      </c>
      <c r="G410" s="38">
        <v>17.63</v>
      </c>
      <c r="H410" s="70">
        <v>0</v>
      </c>
      <c r="I410" s="38">
        <f>G410*H410</f>
        <v>0</v>
      </c>
      <c r="J410" s="38">
        <v>0.00099</v>
      </c>
      <c r="K410" s="38">
        <f>G410*J410</f>
        <v>0.0174537</v>
      </c>
      <c r="L410" s="71" t="s">
        <v>136</v>
      </c>
      <c r="Z410" s="38">
        <f>IF(AQ410="5",BJ410,0)</f>
        <v>0</v>
      </c>
      <c r="AB410" s="38">
        <f>IF(AQ410="1",BH410,0)</f>
        <v>0</v>
      </c>
      <c r="AC410" s="38">
        <f>IF(AQ410="1",BI410,0)</f>
        <v>0</v>
      </c>
      <c r="AD410" s="38">
        <f>IF(AQ410="7",BH410,0)</f>
        <v>0</v>
      </c>
      <c r="AE410" s="38">
        <f>IF(AQ410="7",BI410,0)</f>
        <v>0</v>
      </c>
      <c r="AF410" s="38">
        <f>IF(AQ410="2",BH410,0)</f>
        <v>0</v>
      </c>
      <c r="AG410" s="38">
        <f>IF(AQ410="2",BI410,0)</f>
        <v>0</v>
      </c>
      <c r="AH410" s="38">
        <f>IF(AQ410="0",BJ410,0)</f>
        <v>0</v>
      </c>
      <c r="AI410" s="50" t="s">
        <v>84</v>
      </c>
      <c r="AJ410" s="38">
        <f>IF(AN410=0,I410,0)</f>
        <v>0</v>
      </c>
      <c r="AK410" s="38">
        <f>IF(AN410=12,I410,0)</f>
        <v>0</v>
      </c>
      <c r="AL410" s="38">
        <f>IF(AN410=21,I410,0)</f>
        <v>0</v>
      </c>
      <c r="AN410" s="38">
        <v>21</v>
      </c>
      <c r="AO410" s="38">
        <f>H410*0.086386334</f>
        <v>0</v>
      </c>
      <c r="AP410" s="38">
        <f>H410*(1-0.086386334)</f>
        <v>0</v>
      </c>
      <c r="AQ410" s="72" t="s">
        <v>169</v>
      </c>
      <c r="AV410" s="38">
        <f>AW410+AX410</f>
        <v>0</v>
      </c>
      <c r="AW410" s="38">
        <f>G410*AO410</f>
        <v>0</v>
      </c>
      <c r="AX410" s="38">
        <f>G410*AP410</f>
        <v>0</v>
      </c>
      <c r="AY410" s="72" t="s">
        <v>816</v>
      </c>
      <c r="AZ410" s="72" t="s">
        <v>817</v>
      </c>
      <c r="BA410" s="50" t="s">
        <v>139</v>
      </c>
      <c r="BB410" s="73">
        <v>100022</v>
      </c>
      <c r="BC410" s="38">
        <f>AW410+AX410</f>
        <v>0</v>
      </c>
      <c r="BD410" s="38">
        <f>H410/(100-BE410)*100</f>
        <v>0</v>
      </c>
      <c r="BE410" s="38">
        <v>0</v>
      </c>
      <c r="BF410" s="38">
        <f>K410</f>
        <v>0.0174537</v>
      </c>
      <c r="BH410" s="38">
        <f>G410*AO410</f>
        <v>0</v>
      </c>
      <c r="BI410" s="38">
        <f>G410*AP410</f>
        <v>0</v>
      </c>
      <c r="BJ410" s="38">
        <f>G410*H410</f>
        <v>0</v>
      </c>
      <c r="BK410" s="38"/>
      <c r="BL410" s="38">
        <v>751</v>
      </c>
      <c r="BW410" s="38">
        <v>21</v>
      </c>
    </row>
    <row r="411" spans="1:12" ht="13.5" customHeight="1">
      <c r="A411" s="74"/>
      <c r="D411" s="194" t="s">
        <v>856</v>
      </c>
      <c r="E411" s="195"/>
      <c r="F411" s="195"/>
      <c r="G411" s="195"/>
      <c r="H411" s="196"/>
      <c r="I411" s="195"/>
      <c r="J411" s="195"/>
      <c r="K411" s="195"/>
      <c r="L411" s="197"/>
    </row>
    <row r="412" spans="1:12" ht="15">
      <c r="A412" s="74"/>
      <c r="D412" s="75" t="s">
        <v>848</v>
      </c>
      <c r="E412" s="75" t="s">
        <v>4</v>
      </c>
      <c r="G412" s="76">
        <v>17.63</v>
      </c>
      <c r="L412" s="77"/>
    </row>
    <row r="413" spans="1:75" ht="27" customHeight="1">
      <c r="A413" s="78" t="s">
        <v>860</v>
      </c>
      <c r="B413" s="79" t="s">
        <v>84</v>
      </c>
      <c r="C413" s="79" t="s">
        <v>837</v>
      </c>
      <c r="D413" s="198" t="s">
        <v>838</v>
      </c>
      <c r="E413" s="199"/>
      <c r="F413" s="79" t="s">
        <v>263</v>
      </c>
      <c r="G413" s="80">
        <v>507.86</v>
      </c>
      <c r="H413" s="81">
        <v>0</v>
      </c>
      <c r="I413" s="80">
        <f>G413*H413</f>
        <v>0</v>
      </c>
      <c r="J413" s="80">
        <v>0.0043</v>
      </c>
      <c r="K413" s="80">
        <f>G413*J413</f>
        <v>2.183798</v>
      </c>
      <c r="L413" s="82" t="s">
        <v>207</v>
      </c>
      <c r="Z413" s="38">
        <f>IF(AQ413="5",BJ413,0)</f>
        <v>0</v>
      </c>
      <c r="AB413" s="38">
        <f>IF(AQ413="1",BH413,0)</f>
        <v>0</v>
      </c>
      <c r="AC413" s="38">
        <f>IF(AQ413="1",BI413,0)</f>
        <v>0</v>
      </c>
      <c r="AD413" s="38">
        <f>IF(AQ413="7",BH413,0)</f>
        <v>0</v>
      </c>
      <c r="AE413" s="38">
        <f>IF(AQ413="7",BI413,0)</f>
        <v>0</v>
      </c>
      <c r="AF413" s="38">
        <f>IF(AQ413="2",BH413,0)</f>
        <v>0</v>
      </c>
      <c r="AG413" s="38">
        <f>IF(AQ413="2",BI413,0)</f>
        <v>0</v>
      </c>
      <c r="AH413" s="38">
        <f>IF(AQ413="0",BJ413,0)</f>
        <v>0</v>
      </c>
      <c r="AI413" s="50" t="s">
        <v>84</v>
      </c>
      <c r="AJ413" s="80">
        <f>IF(AN413=0,I413,0)</f>
        <v>0</v>
      </c>
      <c r="AK413" s="80">
        <f>IF(AN413=12,I413,0)</f>
        <v>0</v>
      </c>
      <c r="AL413" s="80">
        <f>IF(AN413=21,I413,0)</f>
        <v>0</v>
      </c>
      <c r="AN413" s="38">
        <v>21</v>
      </c>
      <c r="AO413" s="38">
        <f>H413*1</f>
        <v>0</v>
      </c>
      <c r="AP413" s="38">
        <f>H413*(1-1)</f>
        <v>0</v>
      </c>
      <c r="AQ413" s="83" t="s">
        <v>169</v>
      </c>
      <c r="AV413" s="38">
        <f>AW413+AX413</f>
        <v>0</v>
      </c>
      <c r="AW413" s="38">
        <f>G413*AO413</f>
        <v>0</v>
      </c>
      <c r="AX413" s="38">
        <f>G413*AP413</f>
        <v>0</v>
      </c>
      <c r="AY413" s="72" t="s">
        <v>816</v>
      </c>
      <c r="AZ413" s="72" t="s">
        <v>817</v>
      </c>
      <c r="BA413" s="50" t="s">
        <v>139</v>
      </c>
      <c r="BC413" s="38">
        <f>AW413+AX413</f>
        <v>0</v>
      </c>
      <c r="BD413" s="38">
        <f>H413/(100-BE413)*100</f>
        <v>0</v>
      </c>
      <c r="BE413" s="38">
        <v>0</v>
      </c>
      <c r="BF413" s="38">
        <f>K413</f>
        <v>2.183798</v>
      </c>
      <c r="BH413" s="80">
        <f>G413*AO413</f>
        <v>0</v>
      </c>
      <c r="BI413" s="80">
        <f>G413*AP413</f>
        <v>0</v>
      </c>
      <c r="BJ413" s="80">
        <f>G413*H413</f>
        <v>0</v>
      </c>
      <c r="BK413" s="80"/>
      <c r="BL413" s="38">
        <v>751</v>
      </c>
      <c r="BW413" s="38">
        <v>21</v>
      </c>
    </row>
    <row r="414" spans="1:12" ht="15">
      <c r="A414" s="74"/>
      <c r="D414" s="75" t="s">
        <v>861</v>
      </c>
      <c r="E414" s="75" t="s">
        <v>852</v>
      </c>
      <c r="G414" s="76">
        <v>406.36</v>
      </c>
      <c r="L414" s="77"/>
    </row>
    <row r="415" spans="1:12" ht="15">
      <c r="A415" s="74"/>
      <c r="D415" s="75" t="s">
        <v>862</v>
      </c>
      <c r="E415" s="75" t="s">
        <v>863</v>
      </c>
      <c r="G415" s="76">
        <v>35.26</v>
      </c>
      <c r="L415" s="77"/>
    </row>
    <row r="416" spans="1:12" ht="15">
      <c r="A416" s="74"/>
      <c r="D416" s="75" t="s">
        <v>864</v>
      </c>
      <c r="E416" s="75" t="s">
        <v>4</v>
      </c>
      <c r="G416" s="76">
        <v>66.24</v>
      </c>
      <c r="L416" s="77"/>
    </row>
    <row r="417" spans="1:75" ht="13.5" customHeight="1">
      <c r="A417" s="1" t="s">
        <v>865</v>
      </c>
      <c r="B417" s="2" t="s">
        <v>84</v>
      </c>
      <c r="C417" s="2" t="s">
        <v>866</v>
      </c>
      <c r="D417" s="108" t="s">
        <v>867</v>
      </c>
      <c r="E417" s="103"/>
      <c r="F417" s="2" t="s">
        <v>189</v>
      </c>
      <c r="G417" s="38">
        <v>2.66</v>
      </c>
      <c r="H417" s="70">
        <v>0</v>
      </c>
      <c r="I417" s="38">
        <f>G417*H417</f>
        <v>0</v>
      </c>
      <c r="J417" s="38">
        <v>0</v>
      </c>
      <c r="K417" s="38">
        <f>G417*J417</f>
        <v>0</v>
      </c>
      <c r="L417" s="71" t="s">
        <v>136</v>
      </c>
      <c r="Z417" s="38">
        <f>IF(AQ417="5",BJ417,0)</f>
        <v>0</v>
      </c>
      <c r="AB417" s="38">
        <f>IF(AQ417="1",BH417,0)</f>
        <v>0</v>
      </c>
      <c r="AC417" s="38">
        <f>IF(AQ417="1",BI417,0)</f>
        <v>0</v>
      </c>
      <c r="AD417" s="38">
        <f>IF(AQ417="7",BH417,0)</f>
        <v>0</v>
      </c>
      <c r="AE417" s="38">
        <f>IF(AQ417="7",BI417,0)</f>
        <v>0</v>
      </c>
      <c r="AF417" s="38">
        <f>IF(AQ417="2",BH417,0)</f>
        <v>0</v>
      </c>
      <c r="AG417" s="38">
        <f>IF(AQ417="2",BI417,0)</f>
        <v>0</v>
      </c>
      <c r="AH417" s="38">
        <f>IF(AQ417="0",BJ417,0)</f>
        <v>0</v>
      </c>
      <c r="AI417" s="50" t="s">
        <v>84</v>
      </c>
      <c r="AJ417" s="38">
        <f>IF(AN417=0,I417,0)</f>
        <v>0</v>
      </c>
      <c r="AK417" s="38">
        <f>IF(AN417=12,I417,0)</f>
        <v>0</v>
      </c>
      <c r="AL417" s="38">
        <f>IF(AN417=21,I417,0)</f>
        <v>0</v>
      </c>
      <c r="AN417" s="38">
        <v>21</v>
      </c>
      <c r="AO417" s="38">
        <f>H417*0</f>
        <v>0</v>
      </c>
      <c r="AP417" s="38">
        <f>H417*(1-0)</f>
        <v>0</v>
      </c>
      <c r="AQ417" s="72" t="s">
        <v>162</v>
      </c>
      <c r="AV417" s="38">
        <f>AW417+AX417</f>
        <v>0</v>
      </c>
      <c r="AW417" s="38">
        <f>G417*AO417</f>
        <v>0</v>
      </c>
      <c r="AX417" s="38">
        <f>G417*AP417</f>
        <v>0</v>
      </c>
      <c r="AY417" s="72" t="s">
        <v>816</v>
      </c>
      <c r="AZ417" s="72" t="s">
        <v>817</v>
      </c>
      <c r="BA417" s="50" t="s">
        <v>139</v>
      </c>
      <c r="BC417" s="38">
        <f>AW417+AX417</f>
        <v>0</v>
      </c>
      <c r="BD417" s="38">
        <f>H417/(100-BE417)*100</f>
        <v>0</v>
      </c>
      <c r="BE417" s="38">
        <v>0</v>
      </c>
      <c r="BF417" s="38">
        <f>K417</f>
        <v>0</v>
      </c>
      <c r="BH417" s="38">
        <f>G417*AO417</f>
        <v>0</v>
      </c>
      <c r="BI417" s="38">
        <f>G417*AP417</f>
        <v>0</v>
      </c>
      <c r="BJ417" s="38">
        <f>G417*H417</f>
        <v>0</v>
      </c>
      <c r="BK417" s="38"/>
      <c r="BL417" s="38">
        <v>751</v>
      </c>
      <c r="BW417" s="38">
        <v>21</v>
      </c>
    </row>
    <row r="418" spans="1:12" ht="15">
      <c r="A418" s="74"/>
      <c r="D418" s="75" t="s">
        <v>868</v>
      </c>
      <c r="E418" s="75" t="s">
        <v>4</v>
      </c>
      <c r="G418" s="76">
        <v>2.66</v>
      </c>
      <c r="L418" s="77"/>
    </row>
    <row r="419" spans="1:47" ht="15">
      <c r="A419" s="65" t="s">
        <v>4</v>
      </c>
      <c r="B419" s="66" t="s">
        <v>84</v>
      </c>
      <c r="C419" s="66" t="s">
        <v>869</v>
      </c>
      <c r="D419" s="192" t="s">
        <v>870</v>
      </c>
      <c r="E419" s="193"/>
      <c r="F419" s="67" t="s">
        <v>78</v>
      </c>
      <c r="G419" s="67" t="s">
        <v>78</v>
      </c>
      <c r="H419" s="68" t="s">
        <v>78</v>
      </c>
      <c r="I419" s="44">
        <f>SUM(I420:I427)</f>
        <v>0</v>
      </c>
      <c r="J419" s="50" t="s">
        <v>4</v>
      </c>
      <c r="K419" s="44">
        <f>SUM(K420:K427)</f>
        <v>0.057981500000000005</v>
      </c>
      <c r="L419" s="69" t="s">
        <v>4</v>
      </c>
      <c r="AI419" s="50" t="s">
        <v>84</v>
      </c>
      <c r="AS419" s="44">
        <f>SUM(AJ420:AJ427)</f>
        <v>0</v>
      </c>
      <c r="AT419" s="44">
        <f>SUM(AK420:AK427)</f>
        <v>0</v>
      </c>
      <c r="AU419" s="44">
        <f>SUM(AL420:AL427)</f>
        <v>0</v>
      </c>
    </row>
    <row r="420" spans="1:75" ht="27" customHeight="1">
      <c r="A420" s="1" t="s">
        <v>871</v>
      </c>
      <c r="B420" s="2" t="s">
        <v>84</v>
      </c>
      <c r="C420" s="2" t="s">
        <v>872</v>
      </c>
      <c r="D420" s="108" t="s">
        <v>873</v>
      </c>
      <c r="E420" s="103"/>
      <c r="F420" s="2" t="s">
        <v>263</v>
      </c>
      <c r="G420" s="38">
        <v>28.15</v>
      </c>
      <c r="H420" s="70">
        <v>0</v>
      </c>
      <c r="I420" s="38">
        <f>G420*H420</f>
        <v>0</v>
      </c>
      <c r="J420" s="38">
        <v>0.00041</v>
      </c>
      <c r="K420" s="38">
        <f>G420*J420</f>
        <v>0.0115415</v>
      </c>
      <c r="L420" s="71" t="s">
        <v>207</v>
      </c>
      <c r="Z420" s="38">
        <f>IF(AQ420="5",BJ420,0)</f>
        <v>0</v>
      </c>
      <c r="AB420" s="38">
        <f>IF(AQ420="1",BH420,0)</f>
        <v>0</v>
      </c>
      <c r="AC420" s="38">
        <f>IF(AQ420="1",BI420,0)</f>
        <v>0</v>
      </c>
      <c r="AD420" s="38">
        <f>IF(AQ420="7",BH420,0)</f>
        <v>0</v>
      </c>
      <c r="AE420" s="38">
        <f>IF(AQ420="7",BI420,0)</f>
        <v>0</v>
      </c>
      <c r="AF420" s="38">
        <f>IF(AQ420="2",BH420,0)</f>
        <v>0</v>
      </c>
      <c r="AG420" s="38">
        <f>IF(AQ420="2",BI420,0)</f>
        <v>0</v>
      </c>
      <c r="AH420" s="38">
        <f>IF(AQ420="0",BJ420,0)</f>
        <v>0</v>
      </c>
      <c r="AI420" s="50" t="s">
        <v>84</v>
      </c>
      <c r="AJ420" s="38">
        <f>IF(AN420=0,I420,0)</f>
        <v>0</v>
      </c>
      <c r="AK420" s="38">
        <f>IF(AN420=12,I420,0)</f>
        <v>0</v>
      </c>
      <c r="AL420" s="38">
        <f>IF(AN420=21,I420,0)</f>
        <v>0</v>
      </c>
      <c r="AN420" s="38">
        <v>21</v>
      </c>
      <c r="AO420" s="38">
        <f>H420*0.093877742</f>
        <v>0</v>
      </c>
      <c r="AP420" s="38">
        <f>H420*(1-0.093877742)</f>
        <v>0</v>
      </c>
      <c r="AQ420" s="72" t="s">
        <v>169</v>
      </c>
      <c r="AV420" s="38">
        <f>AW420+AX420</f>
        <v>0</v>
      </c>
      <c r="AW420" s="38">
        <f>G420*AO420</f>
        <v>0</v>
      </c>
      <c r="AX420" s="38">
        <f>G420*AP420</f>
        <v>0</v>
      </c>
      <c r="AY420" s="72" t="s">
        <v>874</v>
      </c>
      <c r="AZ420" s="72" t="s">
        <v>875</v>
      </c>
      <c r="BA420" s="50" t="s">
        <v>139</v>
      </c>
      <c r="BB420" s="73">
        <v>100033</v>
      </c>
      <c r="BC420" s="38">
        <f>AW420+AX420</f>
        <v>0</v>
      </c>
      <c r="BD420" s="38">
        <f>H420/(100-BE420)*100</f>
        <v>0</v>
      </c>
      <c r="BE420" s="38">
        <v>0</v>
      </c>
      <c r="BF420" s="38">
        <f>K420</f>
        <v>0.0115415</v>
      </c>
      <c r="BH420" s="38">
        <f>G420*AO420</f>
        <v>0</v>
      </c>
      <c r="BI420" s="38">
        <f>G420*AP420</f>
        <v>0</v>
      </c>
      <c r="BJ420" s="38">
        <f>G420*H420</f>
        <v>0</v>
      </c>
      <c r="BK420" s="38"/>
      <c r="BL420" s="38">
        <v>712</v>
      </c>
      <c r="BW420" s="38">
        <v>21</v>
      </c>
    </row>
    <row r="421" spans="1:12" ht="13.5" customHeight="1">
      <c r="A421" s="74"/>
      <c r="D421" s="194" t="s">
        <v>876</v>
      </c>
      <c r="E421" s="195"/>
      <c r="F421" s="195"/>
      <c r="G421" s="195"/>
      <c r="H421" s="196"/>
      <c r="I421" s="195"/>
      <c r="J421" s="195"/>
      <c r="K421" s="195"/>
      <c r="L421" s="197"/>
    </row>
    <row r="422" spans="1:12" ht="15">
      <c r="A422" s="74"/>
      <c r="D422" s="75" t="s">
        <v>877</v>
      </c>
      <c r="E422" s="75" t="s">
        <v>878</v>
      </c>
      <c r="G422" s="76">
        <v>26.1</v>
      </c>
      <c r="L422" s="77"/>
    </row>
    <row r="423" spans="1:12" ht="15">
      <c r="A423" s="74"/>
      <c r="D423" s="75" t="s">
        <v>879</v>
      </c>
      <c r="E423" s="75" t="s">
        <v>880</v>
      </c>
      <c r="G423" s="76">
        <v>2.05</v>
      </c>
      <c r="L423" s="77"/>
    </row>
    <row r="424" spans="1:75" ht="13.5" customHeight="1">
      <c r="A424" s="78" t="s">
        <v>881</v>
      </c>
      <c r="B424" s="79" t="s">
        <v>84</v>
      </c>
      <c r="C424" s="79" t="s">
        <v>882</v>
      </c>
      <c r="D424" s="198" t="s">
        <v>883</v>
      </c>
      <c r="E424" s="199"/>
      <c r="F424" s="79" t="s">
        <v>263</v>
      </c>
      <c r="G424" s="80">
        <v>30.96</v>
      </c>
      <c r="H424" s="81">
        <v>0</v>
      </c>
      <c r="I424" s="80">
        <f>G424*H424</f>
        <v>0</v>
      </c>
      <c r="J424" s="80">
        <v>0.0015</v>
      </c>
      <c r="K424" s="80">
        <f>G424*J424</f>
        <v>0.04644</v>
      </c>
      <c r="L424" s="82" t="s">
        <v>207</v>
      </c>
      <c r="Z424" s="38">
        <f>IF(AQ424="5",BJ424,0)</f>
        <v>0</v>
      </c>
      <c r="AB424" s="38">
        <f>IF(AQ424="1",BH424,0)</f>
        <v>0</v>
      </c>
      <c r="AC424" s="38">
        <f>IF(AQ424="1",BI424,0)</f>
        <v>0</v>
      </c>
      <c r="AD424" s="38">
        <f>IF(AQ424="7",BH424,0)</f>
        <v>0</v>
      </c>
      <c r="AE424" s="38">
        <f>IF(AQ424="7",BI424,0)</f>
        <v>0</v>
      </c>
      <c r="AF424" s="38">
        <f>IF(AQ424="2",BH424,0)</f>
        <v>0</v>
      </c>
      <c r="AG424" s="38">
        <f>IF(AQ424="2",BI424,0)</f>
        <v>0</v>
      </c>
      <c r="AH424" s="38">
        <f>IF(AQ424="0",BJ424,0)</f>
        <v>0</v>
      </c>
      <c r="AI424" s="50" t="s">
        <v>84</v>
      </c>
      <c r="AJ424" s="80">
        <f>IF(AN424=0,I424,0)</f>
        <v>0</v>
      </c>
      <c r="AK424" s="80">
        <f>IF(AN424=12,I424,0)</f>
        <v>0</v>
      </c>
      <c r="AL424" s="80">
        <f>IF(AN424=21,I424,0)</f>
        <v>0</v>
      </c>
      <c r="AN424" s="38">
        <v>21</v>
      </c>
      <c r="AO424" s="38">
        <f>H424*1</f>
        <v>0</v>
      </c>
      <c r="AP424" s="38">
        <f>H424*(1-1)</f>
        <v>0</v>
      </c>
      <c r="AQ424" s="83" t="s">
        <v>169</v>
      </c>
      <c r="AV424" s="38">
        <f>AW424+AX424</f>
        <v>0</v>
      </c>
      <c r="AW424" s="38">
        <f>G424*AO424</f>
        <v>0</v>
      </c>
      <c r="AX424" s="38">
        <f>G424*AP424</f>
        <v>0</v>
      </c>
      <c r="AY424" s="72" t="s">
        <v>874</v>
      </c>
      <c r="AZ424" s="72" t="s">
        <v>875</v>
      </c>
      <c r="BA424" s="50" t="s">
        <v>139</v>
      </c>
      <c r="BC424" s="38">
        <f>AW424+AX424</f>
        <v>0</v>
      </c>
      <c r="BD424" s="38">
        <f>H424/(100-BE424)*100</f>
        <v>0</v>
      </c>
      <c r="BE424" s="38">
        <v>0</v>
      </c>
      <c r="BF424" s="38">
        <f>K424</f>
        <v>0.04644</v>
      </c>
      <c r="BH424" s="80">
        <f>G424*AO424</f>
        <v>0</v>
      </c>
      <c r="BI424" s="80">
        <f>G424*AP424</f>
        <v>0</v>
      </c>
      <c r="BJ424" s="80">
        <f>G424*H424</f>
        <v>0</v>
      </c>
      <c r="BK424" s="80"/>
      <c r="BL424" s="38">
        <v>712</v>
      </c>
      <c r="BW424" s="38">
        <v>21</v>
      </c>
    </row>
    <row r="425" spans="1:12" ht="15">
      <c r="A425" s="74"/>
      <c r="D425" s="75" t="s">
        <v>884</v>
      </c>
      <c r="E425" s="75" t="s">
        <v>4</v>
      </c>
      <c r="G425" s="76">
        <v>28.15</v>
      </c>
      <c r="L425" s="77"/>
    </row>
    <row r="426" spans="1:12" ht="15">
      <c r="A426" s="74"/>
      <c r="D426" s="75" t="s">
        <v>885</v>
      </c>
      <c r="E426" s="75" t="s">
        <v>4</v>
      </c>
      <c r="G426" s="76">
        <v>2.81</v>
      </c>
      <c r="L426" s="77"/>
    </row>
    <row r="427" spans="1:75" ht="13.5" customHeight="1">
      <c r="A427" s="1" t="s">
        <v>886</v>
      </c>
      <c r="B427" s="2" t="s">
        <v>84</v>
      </c>
      <c r="C427" s="2" t="s">
        <v>887</v>
      </c>
      <c r="D427" s="108" t="s">
        <v>888</v>
      </c>
      <c r="E427" s="103"/>
      <c r="F427" s="2" t="s">
        <v>189</v>
      </c>
      <c r="G427" s="38">
        <v>0.06</v>
      </c>
      <c r="H427" s="70">
        <v>0</v>
      </c>
      <c r="I427" s="38">
        <f>G427*H427</f>
        <v>0</v>
      </c>
      <c r="J427" s="38">
        <v>0</v>
      </c>
      <c r="K427" s="38">
        <f>G427*J427</f>
        <v>0</v>
      </c>
      <c r="L427" s="71" t="s">
        <v>136</v>
      </c>
      <c r="Z427" s="38">
        <f>IF(AQ427="5",BJ427,0)</f>
        <v>0</v>
      </c>
      <c r="AB427" s="38">
        <f>IF(AQ427="1",BH427,0)</f>
        <v>0</v>
      </c>
      <c r="AC427" s="38">
        <f>IF(AQ427="1",BI427,0)</f>
        <v>0</v>
      </c>
      <c r="AD427" s="38">
        <f>IF(AQ427="7",BH427,0)</f>
        <v>0</v>
      </c>
      <c r="AE427" s="38">
        <f>IF(AQ427="7",BI427,0)</f>
        <v>0</v>
      </c>
      <c r="AF427" s="38">
        <f>IF(AQ427="2",BH427,0)</f>
        <v>0</v>
      </c>
      <c r="AG427" s="38">
        <f>IF(AQ427="2",BI427,0)</f>
        <v>0</v>
      </c>
      <c r="AH427" s="38">
        <f>IF(AQ427="0",BJ427,0)</f>
        <v>0</v>
      </c>
      <c r="AI427" s="50" t="s">
        <v>84</v>
      </c>
      <c r="AJ427" s="38">
        <f>IF(AN427=0,I427,0)</f>
        <v>0</v>
      </c>
      <c r="AK427" s="38">
        <f>IF(AN427=12,I427,0)</f>
        <v>0</v>
      </c>
      <c r="AL427" s="38">
        <f>IF(AN427=21,I427,0)</f>
        <v>0</v>
      </c>
      <c r="AN427" s="38">
        <v>21</v>
      </c>
      <c r="AO427" s="38">
        <f>H427*0</f>
        <v>0</v>
      </c>
      <c r="AP427" s="38">
        <f>H427*(1-0)</f>
        <v>0</v>
      </c>
      <c r="AQ427" s="72" t="s">
        <v>162</v>
      </c>
      <c r="AV427" s="38">
        <f>AW427+AX427</f>
        <v>0</v>
      </c>
      <c r="AW427" s="38">
        <f>G427*AO427</f>
        <v>0</v>
      </c>
      <c r="AX427" s="38">
        <f>G427*AP427</f>
        <v>0</v>
      </c>
      <c r="AY427" s="72" t="s">
        <v>874</v>
      </c>
      <c r="AZ427" s="72" t="s">
        <v>875</v>
      </c>
      <c r="BA427" s="50" t="s">
        <v>139</v>
      </c>
      <c r="BB427" s="73">
        <v>100033</v>
      </c>
      <c r="BC427" s="38">
        <f>AW427+AX427</f>
        <v>0</v>
      </c>
      <c r="BD427" s="38">
        <f>H427/(100-BE427)*100</f>
        <v>0</v>
      </c>
      <c r="BE427" s="38">
        <v>0</v>
      </c>
      <c r="BF427" s="38">
        <f>K427</f>
        <v>0</v>
      </c>
      <c r="BH427" s="38">
        <f>G427*AO427</f>
        <v>0</v>
      </c>
      <c r="BI427" s="38">
        <f>G427*AP427</f>
        <v>0</v>
      </c>
      <c r="BJ427" s="38">
        <f>G427*H427</f>
        <v>0</v>
      </c>
      <c r="BK427" s="38"/>
      <c r="BL427" s="38">
        <v>712</v>
      </c>
      <c r="BW427" s="38">
        <v>21</v>
      </c>
    </row>
    <row r="428" spans="1:12" ht="15">
      <c r="A428" s="74"/>
      <c r="D428" s="75" t="s">
        <v>889</v>
      </c>
      <c r="E428" s="75" t="s">
        <v>4</v>
      </c>
      <c r="G428" s="76">
        <v>0.06</v>
      </c>
      <c r="L428" s="77"/>
    </row>
    <row r="429" spans="1:47" ht="15">
      <c r="A429" s="65" t="s">
        <v>4</v>
      </c>
      <c r="B429" s="66" t="s">
        <v>84</v>
      </c>
      <c r="C429" s="66" t="s">
        <v>890</v>
      </c>
      <c r="D429" s="192" t="s">
        <v>891</v>
      </c>
      <c r="E429" s="193"/>
      <c r="F429" s="67" t="s">
        <v>78</v>
      </c>
      <c r="G429" s="67" t="s">
        <v>78</v>
      </c>
      <c r="H429" s="68" t="s">
        <v>78</v>
      </c>
      <c r="I429" s="44">
        <f>SUM(I430:I484)</f>
        <v>0</v>
      </c>
      <c r="J429" s="50" t="s">
        <v>4</v>
      </c>
      <c r="K429" s="44">
        <f>SUM(K430:K484)</f>
        <v>13.031569000000001</v>
      </c>
      <c r="L429" s="69" t="s">
        <v>4</v>
      </c>
      <c r="AI429" s="50" t="s">
        <v>84</v>
      </c>
      <c r="AS429" s="44">
        <f>SUM(AJ430:AJ484)</f>
        <v>0</v>
      </c>
      <c r="AT429" s="44">
        <f>SUM(AK430:AK484)</f>
        <v>0</v>
      </c>
      <c r="AU429" s="44">
        <f>SUM(AL430:AL484)</f>
        <v>0</v>
      </c>
    </row>
    <row r="430" spans="1:75" ht="13.5" customHeight="1">
      <c r="A430" s="1" t="s">
        <v>892</v>
      </c>
      <c r="B430" s="2" t="s">
        <v>84</v>
      </c>
      <c r="C430" s="2" t="s">
        <v>893</v>
      </c>
      <c r="D430" s="108" t="s">
        <v>894</v>
      </c>
      <c r="E430" s="103"/>
      <c r="F430" s="2" t="s">
        <v>263</v>
      </c>
      <c r="G430" s="38">
        <v>7.4</v>
      </c>
      <c r="H430" s="70">
        <v>0</v>
      </c>
      <c r="I430" s="38">
        <f>G430*H430</f>
        <v>0</v>
      </c>
      <c r="J430" s="38">
        <v>0.004</v>
      </c>
      <c r="K430" s="38">
        <f>G430*J430</f>
        <v>0.0296</v>
      </c>
      <c r="L430" s="71" t="s">
        <v>136</v>
      </c>
      <c r="Z430" s="38">
        <f>IF(AQ430="5",BJ430,0)</f>
        <v>0</v>
      </c>
      <c r="AB430" s="38">
        <f>IF(AQ430="1",BH430,0)</f>
        <v>0</v>
      </c>
      <c r="AC430" s="38">
        <f>IF(AQ430="1",BI430,0)</f>
        <v>0</v>
      </c>
      <c r="AD430" s="38">
        <f>IF(AQ430="7",BH430,0)</f>
        <v>0</v>
      </c>
      <c r="AE430" s="38">
        <f>IF(AQ430="7",BI430,0)</f>
        <v>0</v>
      </c>
      <c r="AF430" s="38">
        <f>IF(AQ430="2",BH430,0)</f>
        <v>0</v>
      </c>
      <c r="AG430" s="38">
        <f>IF(AQ430="2",BI430,0)</f>
        <v>0</v>
      </c>
      <c r="AH430" s="38">
        <f>IF(AQ430="0",BJ430,0)</f>
        <v>0</v>
      </c>
      <c r="AI430" s="50" t="s">
        <v>84</v>
      </c>
      <c r="AJ430" s="38">
        <f>IF(AN430=0,I430,0)</f>
        <v>0</v>
      </c>
      <c r="AK430" s="38">
        <f>IF(AN430=12,I430,0)</f>
        <v>0</v>
      </c>
      <c r="AL430" s="38">
        <f>IF(AN430=21,I430,0)</f>
        <v>0</v>
      </c>
      <c r="AN430" s="38">
        <v>21</v>
      </c>
      <c r="AO430" s="38">
        <f>H430*0</f>
        <v>0</v>
      </c>
      <c r="AP430" s="38">
        <f>H430*(1-0)</f>
        <v>0</v>
      </c>
      <c r="AQ430" s="72" t="s">
        <v>169</v>
      </c>
      <c r="AV430" s="38">
        <f>AW430+AX430</f>
        <v>0</v>
      </c>
      <c r="AW430" s="38">
        <f>G430*AO430</f>
        <v>0</v>
      </c>
      <c r="AX430" s="38">
        <f>G430*AP430</f>
        <v>0</v>
      </c>
      <c r="AY430" s="72" t="s">
        <v>895</v>
      </c>
      <c r="AZ430" s="72" t="s">
        <v>875</v>
      </c>
      <c r="BA430" s="50" t="s">
        <v>139</v>
      </c>
      <c r="BB430" s="73">
        <v>100021</v>
      </c>
      <c r="BC430" s="38">
        <f>AW430+AX430</f>
        <v>0</v>
      </c>
      <c r="BD430" s="38">
        <f>H430/(100-BE430)*100</f>
        <v>0</v>
      </c>
      <c r="BE430" s="38">
        <v>0</v>
      </c>
      <c r="BF430" s="38">
        <f>K430</f>
        <v>0.0296</v>
      </c>
      <c r="BH430" s="38">
        <f>G430*AO430</f>
        <v>0</v>
      </c>
      <c r="BI430" s="38">
        <f>G430*AP430</f>
        <v>0</v>
      </c>
      <c r="BJ430" s="38">
        <f>G430*H430</f>
        <v>0</v>
      </c>
      <c r="BK430" s="38"/>
      <c r="BL430" s="38">
        <v>713</v>
      </c>
      <c r="BW430" s="38">
        <v>21</v>
      </c>
    </row>
    <row r="431" spans="1:12" ht="13.5" customHeight="1">
      <c r="A431" s="74"/>
      <c r="D431" s="194" t="s">
        <v>153</v>
      </c>
      <c r="E431" s="195"/>
      <c r="F431" s="195"/>
      <c r="G431" s="195"/>
      <c r="H431" s="196"/>
      <c r="I431" s="195"/>
      <c r="J431" s="195"/>
      <c r="K431" s="195"/>
      <c r="L431" s="197"/>
    </row>
    <row r="432" spans="1:12" ht="15">
      <c r="A432" s="74"/>
      <c r="D432" s="75" t="s">
        <v>835</v>
      </c>
      <c r="E432" s="75" t="s">
        <v>4</v>
      </c>
      <c r="G432" s="76">
        <v>7.4</v>
      </c>
      <c r="L432" s="77"/>
    </row>
    <row r="433" spans="1:75" ht="13.5" customHeight="1">
      <c r="A433" s="1" t="s">
        <v>896</v>
      </c>
      <c r="B433" s="2" t="s">
        <v>84</v>
      </c>
      <c r="C433" s="2" t="s">
        <v>897</v>
      </c>
      <c r="D433" s="108" t="s">
        <v>898</v>
      </c>
      <c r="E433" s="103"/>
      <c r="F433" s="2" t="s">
        <v>263</v>
      </c>
      <c r="G433" s="38">
        <v>7.4</v>
      </c>
      <c r="H433" s="70">
        <v>0</v>
      </c>
      <c r="I433" s="38">
        <f>G433*H433</f>
        <v>0</v>
      </c>
      <c r="J433" s="38">
        <v>0</v>
      </c>
      <c r="K433" s="38">
        <f>G433*J433</f>
        <v>0</v>
      </c>
      <c r="L433" s="71" t="s">
        <v>136</v>
      </c>
      <c r="Z433" s="38">
        <f>IF(AQ433="5",BJ433,0)</f>
        <v>0</v>
      </c>
      <c r="AB433" s="38">
        <f>IF(AQ433="1",BH433,0)</f>
        <v>0</v>
      </c>
      <c r="AC433" s="38">
        <f>IF(AQ433="1",BI433,0)</f>
        <v>0</v>
      </c>
      <c r="AD433" s="38">
        <f>IF(AQ433="7",BH433,0)</f>
        <v>0</v>
      </c>
      <c r="AE433" s="38">
        <f>IF(AQ433="7",BI433,0)</f>
        <v>0</v>
      </c>
      <c r="AF433" s="38">
        <f>IF(AQ433="2",BH433,0)</f>
        <v>0</v>
      </c>
      <c r="AG433" s="38">
        <f>IF(AQ433="2",BI433,0)</f>
        <v>0</v>
      </c>
      <c r="AH433" s="38">
        <f>IF(AQ433="0",BJ433,0)</f>
        <v>0</v>
      </c>
      <c r="AI433" s="50" t="s">
        <v>84</v>
      </c>
      <c r="AJ433" s="38">
        <f>IF(AN433=0,I433,0)</f>
        <v>0</v>
      </c>
      <c r="AK433" s="38">
        <f>IF(AN433=12,I433,0)</f>
        <v>0</v>
      </c>
      <c r="AL433" s="38">
        <f>IF(AN433=21,I433,0)</f>
        <v>0</v>
      </c>
      <c r="AN433" s="38">
        <v>21</v>
      </c>
      <c r="AO433" s="38">
        <f>H433*0</f>
        <v>0</v>
      </c>
      <c r="AP433" s="38">
        <f>H433*(1-0)</f>
        <v>0</v>
      </c>
      <c r="AQ433" s="72" t="s">
        <v>169</v>
      </c>
      <c r="AV433" s="38">
        <f>AW433+AX433</f>
        <v>0</v>
      </c>
      <c r="AW433" s="38">
        <f>G433*AO433</f>
        <v>0</v>
      </c>
      <c r="AX433" s="38">
        <f>G433*AP433</f>
        <v>0</v>
      </c>
      <c r="AY433" s="72" t="s">
        <v>895</v>
      </c>
      <c r="AZ433" s="72" t="s">
        <v>875</v>
      </c>
      <c r="BA433" s="50" t="s">
        <v>139</v>
      </c>
      <c r="BB433" s="73">
        <v>100021</v>
      </c>
      <c r="BC433" s="38">
        <f>AW433+AX433</f>
        <v>0</v>
      </c>
      <c r="BD433" s="38">
        <f>H433/(100-BE433)*100</f>
        <v>0</v>
      </c>
      <c r="BE433" s="38">
        <v>0</v>
      </c>
      <c r="BF433" s="38">
        <f>K433</f>
        <v>0</v>
      </c>
      <c r="BH433" s="38">
        <f>G433*AO433</f>
        <v>0</v>
      </c>
      <c r="BI433" s="38">
        <f>G433*AP433</f>
        <v>0</v>
      </c>
      <c r="BJ433" s="38">
        <f>G433*H433</f>
        <v>0</v>
      </c>
      <c r="BK433" s="38"/>
      <c r="BL433" s="38">
        <v>713</v>
      </c>
      <c r="BW433" s="38">
        <v>21</v>
      </c>
    </row>
    <row r="434" spans="1:12" ht="15">
      <c r="A434" s="74"/>
      <c r="D434" s="75" t="s">
        <v>835</v>
      </c>
      <c r="E434" s="75" t="s">
        <v>824</v>
      </c>
      <c r="G434" s="76">
        <v>7.4</v>
      </c>
      <c r="L434" s="77"/>
    </row>
    <row r="435" spans="1:75" ht="13.5" customHeight="1">
      <c r="A435" s="78" t="s">
        <v>899</v>
      </c>
      <c r="B435" s="79" t="s">
        <v>84</v>
      </c>
      <c r="C435" s="79" t="s">
        <v>900</v>
      </c>
      <c r="D435" s="198" t="s">
        <v>901</v>
      </c>
      <c r="E435" s="199"/>
      <c r="F435" s="79" t="s">
        <v>135</v>
      </c>
      <c r="G435" s="80">
        <v>0.89</v>
      </c>
      <c r="H435" s="81">
        <v>0</v>
      </c>
      <c r="I435" s="80">
        <f>G435*H435</f>
        <v>0</v>
      </c>
      <c r="J435" s="80">
        <v>0.025</v>
      </c>
      <c r="K435" s="80">
        <f>G435*J435</f>
        <v>0.022250000000000002</v>
      </c>
      <c r="L435" s="82" t="s">
        <v>136</v>
      </c>
      <c r="Z435" s="38">
        <f>IF(AQ435="5",BJ435,0)</f>
        <v>0</v>
      </c>
      <c r="AB435" s="38">
        <f>IF(AQ435="1",BH435,0)</f>
        <v>0</v>
      </c>
      <c r="AC435" s="38">
        <f>IF(AQ435="1",BI435,0)</f>
        <v>0</v>
      </c>
      <c r="AD435" s="38">
        <f>IF(AQ435="7",BH435,0)</f>
        <v>0</v>
      </c>
      <c r="AE435" s="38">
        <f>IF(AQ435="7",BI435,0)</f>
        <v>0</v>
      </c>
      <c r="AF435" s="38">
        <f>IF(AQ435="2",BH435,0)</f>
        <v>0</v>
      </c>
      <c r="AG435" s="38">
        <f>IF(AQ435="2",BI435,0)</f>
        <v>0</v>
      </c>
      <c r="AH435" s="38">
        <f>IF(AQ435="0",BJ435,0)</f>
        <v>0</v>
      </c>
      <c r="AI435" s="50" t="s">
        <v>84</v>
      </c>
      <c r="AJ435" s="80">
        <f>IF(AN435=0,I435,0)</f>
        <v>0</v>
      </c>
      <c r="AK435" s="80">
        <f>IF(AN435=12,I435,0)</f>
        <v>0</v>
      </c>
      <c r="AL435" s="80">
        <f>IF(AN435=21,I435,0)</f>
        <v>0</v>
      </c>
      <c r="AN435" s="38">
        <v>21</v>
      </c>
      <c r="AO435" s="38">
        <f>H435*1</f>
        <v>0</v>
      </c>
      <c r="AP435" s="38">
        <f>H435*(1-1)</f>
        <v>0</v>
      </c>
      <c r="AQ435" s="83" t="s">
        <v>169</v>
      </c>
      <c r="AV435" s="38">
        <f>AW435+AX435</f>
        <v>0</v>
      </c>
      <c r="AW435" s="38">
        <f>G435*AO435</f>
        <v>0</v>
      </c>
      <c r="AX435" s="38">
        <f>G435*AP435</f>
        <v>0</v>
      </c>
      <c r="AY435" s="72" t="s">
        <v>895</v>
      </c>
      <c r="AZ435" s="72" t="s">
        <v>875</v>
      </c>
      <c r="BA435" s="50" t="s">
        <v>139</v>
      </c>
      <c r="BC435" s="38">
        <f>AW435+AX435</f>
        <v>0</v>
      </c>
      <c r="BD435" s="38">
        <f>H435/(100-BE435)*100</f>
        <v>0</v>
      </c>
      <c r="BE435" s="38">
        <v>0</v>
      </c>
      <c r="BF435" s="38">
        <f>K435</f>
        <v>0.022250000000000002</v>
      </c>
      <c r="BH435" s="80">
        <f>G435*AO435</f>
        <v>0</v>
      </c>
      <c r="BI435" s="80">
        <f>G435*AP435</f>
        <v>0</v>
      </c>
      <c r="BJ435" s="80">
        <f>G435*H435</f>
        <v>0</v>
      </c>
      <c r="BK435" s="80"/>
      <c r="BL435" s="38">
        <v>713</v>
      </c>
      <c r="BW435" s="38">
        <v>21</v>
      </c>
    </row>
    <row r="436" spans="1:12" ht="15">
      <c r="A436" s="74"/>
      <c r="D436" s="75" t="s">
        <v>902</v>
      </c>
      <c r="E436" s="75" t="s">
        <v>824</v>
      </c>
      <c r="G436" s="76">
        <v>0.89</v>
      </c>
      <c r="L436" s="77"/>
    </row>
    <row r="437" spans="1:75" ht="13.5" customHeight="1">
      <c r="A437" s="1" t="s">
        <v>903</v>
      </c>
      <c r="B437" s="2" t="s">
        <v>84</v>
      </c>
      <c r="C437" s="2" t="s">
        <v>904</v>
      </c>
      <c r="D437" s="108" t="s">
        <v>905</v>
      </c>
      <c r="E437" s="103"/>
      <c r="F437" s="2" t="s">
        <v>263</v>
      </c>
      <c r="G437" s="38">
        <v>7.4</v>
      </c>
      <c r="H437" s="70">
        <v>0</v>
      </c>
      <c r="I437" s="38">
        <f>G437*H437</f>
        <v>0</v>
      </c>
      <c r="J437" s="38">
        <v>1E-05</v>
      </c>
      <c r="K437" s="38">
        <f>G437*J437</f>
        <v>7.400000000000001E-05</v>
      </c>
      <c r="L437" s="71" t="s">
        <v>136</v>
      </c>
      <c r="Z437" s="38">
        <f>IF(AQ437="5",BJ437,0)</f>
        <v>0</v>
      </c>
      <c r="AB437" s="38">
        <f>IF(AQ437="1",BH437,0)</f>
        <v>0</v>
      </c>
      <c r="AC437" s="38">
        <f>IF(AQ437="1",BI437,0)</f>
        <v>0</v>
      </c>
      <c r="AD437" s="38">
        <f>IF(AQ437="7",BH437,0)</f>
        <v>0</v>
      </c>
      <c r="AE437" s="38">
        <f>IF(AQ437="7",BI437,0)</f>
        <v>0</v>
      </c>
      <c r="AF437" s="38">
        <f>IF(AQ437="2",BH437,0)</f>
        <v>0</v>
      </c>
      <c r="AG437" s="38">
        <f>IF(AQ437="2",BI437,0)</f>
        <v>0</v>
      </c>
      <c r="AH437" s="38">
        <f>IF(AQ437="0",BJ437,0)</f>
        <v>0</v>
      </c>
      <c r="AI437" s="50" t="s">
        <v>84</v>
      </c>
      <c r="AJ437" s="38">
        <f>IF(AN437=0,I437,0)</f>
        <v>0</v>
      </c>
      <c r="AK437" s="38">
        <f>IF(AN437=12,I437,0)</f>
        <v>0</v>
      </c>
      <c r="AL437" s="38">
        <f>IF(AN437=21,I437,0)</f>
        <v>0</v>
      </c>
      <c r="AN437" s="38">
        <v>21</v>
      </c>
      <c r="AO437" s="38">
        <f>H437*0.211428571</f>
        <v>0</v>
      </c>
      <c r="AP437" s="38">
        <f>H437*(1-0.211428571)</f>
        <v>0</v>
      </c>
      <c r="AQ437" s="72" t="s">
        <v>169</v>
      </c>
      <c r="AV437" s="38">
        <f>AW437+AX437</f>
        <v>0</v>
      </c>
      <c r="AW437" s="38">
        <f>G437*AO437</f>
        <v>0</v>
      </c>
      <c r="AX437" s="38">
        <f>G437*AP437</f>
        <v>0</v>
      </c>
      <c r="AY437" s="72" t="s">
        <v>895</v>
      </c>
      <c r="AZ437" s="72" t="s">
        <v>875</v>
      </c>
      <c r="BA437" s="50" t="s">
        <v>139</v>
      </c>
      <c r="BB437" s="73">
        <v>100021</v>
      </c>
      <c r="BC437" s="38">
        <f>AW437+AX437</f>
        <v>0</v>
      </c>
      <c r="BD437" s="38">
        <f>H437/(100-BE437)*100</f>
        <v>0</v>
      </c>
      <c r="BE437" s="38">
        <v>0</v>
      </c>
      <c r="BF437" s="38">
        <f>K437</f>
        <v>7.400000000000001E-05</v>
      </c>
      <c r="BH437" s="38">
        <f>G437*AO437</f>
        <v>0</v>
      </c>
      <c r="BI437" s="38">
        <f>G437*AP437</f>
        <v>0</v>
      </c>
      <c r="BJ437" s="38">
        <f>G437*H437</f>
        <v>0</v>
      </c>
      <c r="BK437" s="38"/>
      <c r="BL437" s="38">
        <v>713</v>
      </c>
      <c r="BW437" s="38">
        <v>21</v>
      </c>
    </row>
    <row r="438" spans="1:12" ht="13.5" customHeight="1">
      <c r="A438" s="74"/>
      <c r="D438" s="194" t="s">
        <v>906</v>
      </c>
      <c r="E438" s="195"/>
      <c r="F438" s="195"/>
      <c r="G438" s="195"/>
      <c r="H438" s="196"/>
      <c r="I438" s="195"/>
      <c r="J438" s="195"/>
      <c r="K438" s="195"/>
      <c r="L438" s="197"/>
    </row>
    <row r="439" spans="1:12" ht="15">
      <c r="A439" s="74"/>
      <c r="D439" s="75" t="s">
        <v>835</v>
      </c>
      <c r="E439" s="75" t="s">
        <v>824</v>
      </c>
      <c r="G439" s="76">
        <v>7.4</v>
      </c>
      <c r="L439" s="77"/>
    </row>
    <row r="440" spans="1:75" ht="13.5" customHeight="1">
      <c r="A440" s="1" t="s">
        <v>907</v>
      </c>
      <c r="B440" s="2" t="s">
        <v>84</v>
      </c>
      <c r="C440" s="2" t="s">
        <v>908</v>
      </c>
      <c r="D440" s="108" t="s">
        <v>909</v>
      </c>
      <c r="E440" s="103"/>
      <c r="F440" s="2" t="s">
        <v>263</v>
      </c>
      <c r="G440" s="38">
        <v>3.3</v>
      </c>
      <c r="H440" s="70">
        <v>0</v>
      </c>
      <c r="I440" s="38">
        <f>G440*H440</f>
        <v>0</v>
      </c>
      <c r="J440" s="38">
        <v>0.00313</v>
      </c>
      <c r="K440" s="38">
        <f>G440*J440</f>
        <v>0.010329</v>
      </c>
      <c r="L440" s="71" t="s">
        <v>136</v>
      </c>
      <c r="Z440" s="38">
        <f>IF(AQ440="5",BJ440,0)</f>
        <v>0</v>
      </c>
      <c r="AB440" s="38">
        <f>IF(AQ440="1",BH440,0)</f>
        <v>0</v>
      </c>
      <c r="AC440" s="38">
        <f>IF(AQ440="1",BI440,0)</f>
        <v>0</v>
      </c>
      <c r="AD440" s="38">
        <f>IF(AQ440="7",BH440,0)</f>
        <v>0</v>
      </c>
      <c r="AE440" s="38">
        <f>IF(AQ440="7",BI440,0)</f>
        <v>0</v>
      </c>
      <c r="AF440" s="38">
        <f>IF(AQ440="2",BH440,0)</f>
        <v>0</v>
      </c>
      <c r="AG440" s="38">
        <f>IF(AQ440="2",BI440,0)</f>
        <v>0</v>
      </c>
      <c r="AH440" s="38">
        <f>IF(AQ440="0",BJ440,0)</f>
        <v>0</v>
      </c>
      <c r="AI440" s="50" t="s">
        <v>84</v>
      </c>
      <c r="AJ440" s="38">
        <f>IF(AN440=0,I440,0)</f>
        <v>0</v>
      </c>
      <c r="AK440" s="38">
        <f>IF(AN440=12,I440,0)</f>
        <v>0</v>
      </c>
      <c r="AL440" s="38">
        <f>IF(AN440=21,I440,0)</f>
        <v>0</v>
      </c>
      <c r="AN440" s="38">
        <v>21</v>
      </c>
      <c r="AO440" s="38">
        <f>H440*0</f>
        <v>0</v>
      </c>
      <c r="AP440" s="38">
        <f>H440*(1-0)</f>
        <v>0</v>
      </c>
      <c r="AQ440" s="72" t="s">
        <v>169</v>
      </c>
      <c r="AV440" s="38">
        <f>AW440+AX440</f>
        <v>0</v>
      </c>
      <c r="AW440" s="38">
        <f>G440*AO440</f>
        <v>0</v>
      </c>
      <c r="AX440" s="38">
        <f>G440*AP440</f>
        <v>0</v>
      </c>
      <c r="AY440" s="72" t="s">
        <v>895</v>
      </c>
      <c r="AZ440" s="72" t="s">
        <v>875</v>
      </c>
      <c r="BA440" s="50" t="s">
        <v>139</v>
      </c>
      <c r="BB440" s="73">
        <v>100021</v>
      </c>
      <c r="BC440" s="38">
        <f>AW440+AX440</f>
        <v>0</v>
      </c>
      <c r="BD440" s="38">
        <f>H440/(100-BE440)*100</f>
        <v>0</v>
      </c>
      <c r="BE440" s="38">
        <v>0</v>
      </c>
      <c r="BF440" s="38">
        <f>K440</f>
        <v>0.010329</v>
      </c>
      <c r="BH440" s="38">
        <f>G440*AO440</f>
        <v>0</v>
      </c>
      <c r="BI440" s="38">
        <f>G440*AP440</f>
        <v>0</v>
      </c>
      <c r="BJ440" s="38">
        <f>G440*H440</f>
        <v>0</v>
      </c>
      <c r="BK440" s="38"/>
      <c r="BL440" s="38">
        <v>713</v>
      </c>
      <c r="BW440" s="38">
        <v>21</v>
      </c>
    </row>
    <row r="441" spans="1:12" ht="13.5" customHeight="1">
      <c r="A441" s="74"/>
      <c r="D441" s="194" t="s">
        <v>910</v>
      </c>
      <c r="E441" s="195"/>
      <c r="F441" s="195"/>
      <c r="G441" s="195"/>
      <c r="H441" s="196"/>
      <c r="I441" s="195"/>
      <c r="J441" s="195"/>
      <c r="K441" s="195"/>
      <c r="L441" s="197"/>
    </row>
    <row r="442" spans="1:12" ht="15">
      <c r="A442" s="74"/>
      <c r="D442" s="75" t="s">
        <v>911</v>
      </c>
      <c r="E442" s="75" t="s">
        <v>266</v>
      </c>
      <c r="G442" s="76">
        <v>3.3</v>
      </c>
      <c r="L442" s="77"/>
    </row>
    <row r="443" spans="1:75" ht="13.5" customHeight="1">
      <c r="A443" s="1" t="s">
        <v>912</v>
      </c>
      <c r="B443" s="2" t="s">
        <v>84</v>
      </c>
      <c r="C443" s="2" t="s">
        <v>913</v>
      </c>
      <c r="D443" s="108" t="s">
        <v>914</v>
      </c>
      <c r="E443" s="103"/>
      <c r="F443" s="2" t="s">
        <v>263</v>
      </c>
      <c r="G443" s="38">
        <v>2.63</v>
      </c>
      <c r="H443" s="70">
        <v>0</v>
      </c>
      <c r="I443" s="38">
        <f>G443*H443</f>
        <v>0</v>
      </c>
      <c r="J443" s="38">
        <v>0.003</v>
      </c>
      <c r="K443" s="38">
        <f>G443*J443</f>
        <v>0.00789</v>
      </c>
      <c r="L443" s="71" t="s">
        <v>136</v>
      </c>
      <c r="Z443" s="38">
        <f>IF(AQ443="5",BJ443,0)</f>
        <v>0</v>
      </c>
      <c r="AB443" s="38">
        <f>IF(AQ443="1",BH443,0)</f>
        <v>0</v>
      </c>
      <c r="AC443" s="38">
        <f>IF(AQ443="1",BI443,0)</f>
        <v>0</v>
      </c>
      <c r="AD443" s="38">
        <f>IF(AQ443="7",BH443,0)</f>
        <v>0</v>
      </c>
      <c r="AE443" s="38">
        <f>IF(AQ443="7",BI443,0)</f>
        <v>0</v>
      </c>
      <c r="AF443" s="38">
        <f>IF(AQ443="2",BH443,0)</f>
        <v>0</v>
      </c>
      <c r="AG443" s="38">
        <f>IF(AQ443="2",BI443,0)</f>
        <v>0</v>
      </c>
      <c r="AH443" s="38">
        <f>IF(AQ443="0",BJ443,0)</f>
        <v>0</v>
      </c>
      <c r="AI443" s="50" t="s">
        <v>84</v>
      </c>
      <c r="AJ443" s="38">
        <f>IF(AN443=0,I443,0)</f>
        <v>0</v>
      </c>
      <c r="AK443" s="38">
        <f>IF(AN443=12,I443,0)</f>
        <v>0</v>
      </c>
      <c r="AL443" s="38">
        <f>IF(AN443=21,I443,0)</f>
        <v>0</v>
      </c>
      <c r="AN443" s="38">
        <v>21</v>
      </c>
      <c r="AO443" s="38">
        <f>H443*0.241556124</f>
        <v>0</v>
      </c>
      <c r="AP443" s="38">
        <f>H443*(1-0.241556124)</f>
        <v>0</v>
      </c>
      <c r="AQ443" s="72" t="s">
        <v>169</v>
      </c>
      <c r="AV443" s="38">
        <f>AW443+AX443</f>
        <v>0</v>
      </c>
      <c r="AW443" s="38">
        <f>G443*AO443</f>
        <v>0</v>
      </c>
      <c r="AX443" s="38">
        <f>G443*AP443</f>
        <v>0</v>
      </c>
      <c r="AY443" s="72" t="s">
        <v>895</v>
      </c>
      <c r="AZ443" s="72" t="s">
        <v>875</v>
      </c>
      <c r="BA443" s="50" t="s">
        <v>139</v>
      </c>
      <c r="BB443" s="73">
        <v>100021</v>
      </c>
      <c r="BC443" s="38">
        <f>AW443+AX443</f>
        <v>0</v>
      </c>
      <c r="BD443" s="38">
        <f>H443/(100-BE443)*100</f>
        <v>0</v>
      </c>
      <c r="BE443" s="38">
        <v>0</v>
      </c>
      <c r="BF443" s="38">
        <f>K443</f>
        <v>0.00789</v>
      </c>
      <c r="BH443" s="38">
        <f>G443*AO443</f>
        <v>0</v>
      </c>
      <c r="BI443" s="38">
        <f>G443*AP443</f>
        <v>0</v>
      </c>
      <c r="BJ443" s="38">
        <f>G443*H443</f>
        <v>0</v>
      </c>
      <c r="BK443" s="38"/>
      <c r="BL443" s="38">
        <v>713</v>
      </c>
      <c r="BW443" s="38">
        <v>21</v>
      </c>
    </row>
    <row r="444" spans="1:12" ht="15">
      <c r="A444" s="74"/>
      <c r="D444" s="75" t="s">
        <v>915</v>
      </c>
      <c r="E444" s="75" t="s">
        <v>916</v>
      </c>
      <c r="G444" s="76">
        <v>2.63</v>
      </c>
      <c r="L444" s="77"/>
    </row>
    <row r="445" spans="1:75" ht="13.5" customHeight="1">
      <c r="A445" s="78" t="s">
        <v>917</v>
      </c>
      <c r="B445" s="79" t="s">
        <v>84</v>
      </c>
      <c r="C445" s="79" t="s">
        <v>918</v>
      </c>
      <c r="D445" s="198" t="s">
        <v>919</v>
      </c>
      <c r="E445" s="199"/>
      <c r="F445" s="79" t="s">
        <v>135</v>
      </c>
      <c r="G445" s="80">
        <v>0.22</v>
      </c>
      <c r="H445" s="81">
        <v>0</v>
      </c>
      <c r="I445" s="80">
        <f>G445*H445</f>
        <v>0</v>
      </c>
      <c r="J445" s="80">
        <v>0.03</v>
      </c>
      <c r="K445" s="80">
        <f>G445*J445</f>
        <v>0.0066</v>
      </c>
      <c r="L445" s="82" t="s">
        <v>136</v>
      </c>
      <c r="Z445" s="38">
        <f>IF(AQ445="5",BJ445,0)</f>
        <v>0</v>
      </c>
      <c r="AB445" s="38">
        <f>IF(AQ445="1",BH445,0)</f>
        <v>0</v>
      </c>
      <c r="AC445" s="38">
        <f>IF(AQ445="1",BI445,0)</f>
        <v>0</v>
      </c>
      <c r="AD445" s="38">
        <f>IF(AQ445="7",BH445,0)</f>
        <v>0</v>
      </c>
      <c r="AE445" s="38">
        <f>IF(AQ445="7",BI445,0)</f>
        <v>0</v>
      </c>
      <c r="AF445" s="38">
        <f>IF(AQ445="2",BH445,0)</f>
        <v>0</v>
      </c>
      <c r="AG445" s="38">
        <f>IF(AQ445="2",BI445,0)</f>
        <v>0</v>
      </c>
      <c r="AH445" s="38">
        <f>IF(AQ445="0",BJ445,0)</f>
        <v>0</v>
      </c>
      <c r="AI445" s="50" t="s">
        <v>84</v>
      </c>
      <c r="AJ445" s="80">
        <f>IF(AN445=0,I445,0)</f>
        <v>0</v>
      </c>
      <c r="AK445" s="80">
        <f>IF(AN445=12,I445,0)</f>
        <v>0</v>
      </c>
      <c r="AL445" s="80">
        <f>IF(AN445=21,I445,0)</f>
        <v>0</v>
      </c>
      <c r="AN445" s="38">
        <v>21</v>
      </c>
      <c r="AO445" s="38">
        <f>H445*1</f>
        <v>0</v>
      </c>
      <c r="AP445" s="38">
        <f>H445*(1-1)</f>
        <v>0</v>
      </c>
      <c r="AQ445" s="83" t="s">
        <v>169</v>
      </c>
      <c r="AV445" s="38">
        <f>AW445+AX445</f>
        <v>0</v>
      </c>
      <c r="AW445" s="38">
        <f>G445*AO445</f>
        <v>0</v>
      </c>
      <c r="AX445" s="38">
        <f>G445*AP445</f>
        <v>0</v>
      </c>
      <c r="AY445" s="72" t="s">
        <v>895</v>
      </c>
      <c r="AZ445" s="72" t="s">
        <v>875</v>
      </c>
      <c r="BA445" s="50" t="s">
        <v>139</v>
      </c>
      <c r="BC445" s="38">
        <f>AW445+AX445</f>
        <v>0</v>
      </c>
      <c r="BD445" s="38">
        <f>H445/(100-BE445)*100</f>
        <v>0</v>
      </c>
      <c r="BE445" s="38">
        <v>0</v>
      </c>
      <c r="BF445" s="38">
        <f>K445</f>
        <v>0.0066</v>
      </c>
      <c r="BH445" s="80">
        <f>G445*AO445</f>
        <v>0</v>
      </c>
      <c r="BI445" s="80">
        <f>G445*AP445</f>
        <v>0</v>
      </c>
      <c r="BJ445" s="80">
        <f>G445*H445</f>
        <v>0</v>
      </c>
      <c r="BK445" s="80"/>
      <c r="BL445" s="38">
        <v>713</v>
      </c>
      <c r="BW445" s="38">
        <v>21</v>
      </c>
    </row>
    <row r="446" spans="1:12" ht="15">
      <c r="A446" s="74"/>
      <c r="D446" s="75" t="s">
        <v>920</v>
      </c>
      <c r="E446" s="75" t="s">
        <v>4</v>
      </c>
      <c r="G446" s="76">
        <v>0.21</v>
      </c>
      <c r="L446" s="77"/>
    </row>
    <row r="447" spans="1:12" ht="15">
      <c r="A447" s="74"/>
      <c r="D447" s="75" t="s">
        <v>921</v>
      </c>
      <c r="E447" s="75" t="s">
        <v>4</v>
      </c>
      <c r="G447" s="76">
        <v>0.01</v>
      </c>
      <c r="L447" s="77"/>
    </row>
    <row r="448" spans="1:75" ht="13.5" customHeight="1">
      <c r="A448" s="1" t="s">
        <v>922</v>
      </c>
      <c r="B448" s="2" t="s">
        <v>84</v>
      </c>
      <c r="C448" s="2" t="s">
        <v>923</v>
      </c>
      <c r="D448" s="108" t="s">
        <v>924</v>
      </c>
      <c r="E448" s="103"/>
      <c r="F448" s="2" t="s">
        <v>263</v>
      </c>
      <c r="G448" s="38">
        <v>360.77</v>
      </c>
      <c r="H448" s="70">
        <v>0</v>
      </c>
      <c r="I448" s="38">
        <f>G448*H448</f>
        <v>0</v>
      </c>
      <c r="J448" s="38">
        <v>0</v>
      </c>
      <c r="K448" s="38">
        <f>G448*J448</f>
        <v>0</v>
      </c>
      <c r="L448" s="71" t="s">
        <v>136</v>
      </c>
      <c r="Z448" s="38">
        <f>IF(AQ448="5",BJ448,0)</f>
        <v>0</v>
      </c>
      <c r="AB448" s="38">
        <f>IF(AQ448="1",BH448,0)</f>
        <v>0</v>
      </c>
      <c r="AC448" s="38">
        <f>IF(AQ448="1",BI448,0)</f>
        <v>0</v>
      </c>
      <c r="AD448" s="38">
        <f>IF(AQ448="7",BH448,0)</f>
        <v>0</v>
      </c>
      <c r="AE448" s="38">
        <f>IF(AQ448="7",BI448,0)</f>
        <v>0</v>
      </c>
      <c r="AF448" s="38">
        <f>IF(AQ448="2",BH448,0)</f>
        <v>0</v>
      </c>
      <c r="AG448" s="38">
        <f>IF(AQ448="2",BI448,0)</f>
        <v>0</v>
      </c>
      <c r="AH448" s="38">
        <f>IF(AQ448="0",BJ448,0)</f>
        <v>0</v>
      </c>
      <c r="AI448" s="50" t="s">
        <v>84</v>
      </c>
      <c r="AJ448" s="38">
        <f>IF(AN448=0,I448,0)</f>
        <v>0</v>
      </c>
      <c r="AK448" s="38">
        <f>IF(AN448=12,I448,0)</f>
        <v>0</v>
      </c>
      <c r="AL448" s="38">
        <f>IF(AN448=21,I448,0)</f>
        <v>0</v>
      </c>
      <c r="AN448" s="38">
        <v>21</v>
      </c>
      <c r="AO448" s="38">
        <f>H448*0</f>
        <v>0</v>
      </c>
      <c r="AP448" s="38">
        <f>H448*(1-0)</f>
        <v>0</v>
      </c>
      <c r="AQ448" s="72" t="s">
        <v>169</v>
      </c>
      <c r="AV448" s="38">
        <f>AW448+AX448</f>
        <v>0</v>
      </c>
      <c r="AW448" s="38">
        <f>G448*AO448</f>
        <v>0</v>
      </c>
      <c r="AX448" s="38">
        <f>G448*AP448</f>
        <v>0</v>
      </c>
      <c r="AY448" s="72" t="s">
        <v>895</v>
      </c>
      <c r="AZ448" s="72" t="s">
        <v>875</v>
      </c>
      <c r="BA448" s="50" t="s">
        <v>139</v>
      </c>
      <c r="BB448" s="73">
        <v>100021</v>
      </c>
      <c r="BC448" s="38">
        <f>AW448+AX448</f>
        <v>0</v>
      </c>
      <c r="BD448" s="38">
        <f>H448/(100-BE448)*100</f>
        <v>0</v>
      </c>
      <c r="BE448" s="38">
        <v>0</v>
      </c>
      <c r="BF448" s="38">
        <f>K448</f>
        <v>0</v>
      </c>
      <c r="BH448" s="38">
        <f>G448*AO448</f>
        <v>0</v>
      </c>
      <c r="BI448" s="38">
        <f>G448*AP448</f>
        <v>0</v>
      </c>
      <c r="BJ448" s="38">
        <f>G448*H448</f>
        <v>0</v>
      </c>
      <c r="BK448" s="38"/>
      <c r="BL448" s="38">
        <v>713</v>
      </c>
      <c r="BW448" s="38">
        <v>21</v>
      </c>
    </row>
    <row r="449" spans="1:12" ht="13.5" customHeight="1">
      <c r="A449" s="74"/>
      <c r="D449" s="194" t="s">
        <v>925</v>
      </c>
      <c r="E449" s="195"/>
      <c r="F449" s="195"/>
      <c r="G449" s="195"/>
      <c r="H449" s="196"/>
      <c r="I449" s="195"/>
      <c r="J449" s="195"/>
      <c r="K449" s="195"/>
      <c r="L449" s="197"/>
    </row>
    <row r="450" spans="1:12" ht="15">
      <c r="A450" s="74"/>
      <c r="D450" s="75" t="s">
        <v>926</v>
      </c>
      <c r="E450" s="75" t="s">
        <v>927</v>
      </c>
      <c r="G450" s="76">
        <v>56.47</v>
      </c>
      <c r="L450" s="77"/>
    </row>
    <row r="451" spans="1:12" ht="15">
      <c r="A451" s="74"/>
      <c r="D451" s="75" t="s">
        <v>928</v>
      </c>
      <c r="E451" s="75" t="s">
        <v>929</v>
      </c>
      <c r="G451" s="76">
        <v>35.02</v>
      </c>
      <c r="L451" s="77"/>
    </row>
    <row r="452" spans="1:12" ht="15">
      <c r="A452" s="74"/>
      <c r="D452" s="75" t="s">
        <v>930</v>
      </c>
      <c r="E452" s="75" t="s">
        <v>931</v>
      </c>
      <c r="G452" s="76">
        <v>261.62</v>
      </c>
      <c r="L452" s="77"/>
    </row>
    <row r="453" spans="1:12" ht="15">
      <c r="A453" s="74"/>
      <c r="D453" s="75" t="s">
        <v>932</v>
      </c>
      <c r="E453" s="75" t="s">
        <v>933</v>
      </c>
      <c r="G453" s="76">
        <v>7.66</v>
      </c>
      <c r="L453" s="77"/>
    </row>
    <row r="454" spans="1:75" ht="13.5" customHeight="1">
      <c r="A454" s="78" t="s">
        <v>934</v>
      </c>
      <c r="B454" s="79" t="s">
        <v>84</v>
      </c>
      <c r="C454" s="79" t="s">
        <v>900</v>
      </c>
      <c r="D454" s="198" t="s">
        <v>935</v>
      </c>
      <c r="E454" s="199"/>
      <c r="F454" s="79" t="s">
        <v>135</v>
      </c>
      <c r="G454" s="80">
        <v>25.85</v>
      </c>
      <c r="H454" s="81">
        <v>0</v>
      </c>
      <c r="I454" s="80">
        <f>G454*H454</f>
        <v>0</v>
      </c>
      <c r="J454" s="80">
        <v>0.025</v>
      </c>
      <c r="K454" s="80">
        <f>G454*J454</f>
        <v>0.6462500000000001</v>
      </c>
      <c r="L454" s="82" t="s">
        <v>136</v>
      </c>
      <c r="Z454" s="38">
        <f>IF(AQ454="5",BJ454,0)</f>
        <v>0</v>
      </c>
      <c r="AB454" s="38">
        <f>IF(AQ454="1",BH454,0)</f>
        <v>0</v>
      </c>
      <c r="AC454" s="38">
        <f>IF(AQ454="1",BI454,0)</f>
        <v>0</v>
      </c>
      <c r="AD454" s="38">
        <f>IF(AQ454="7",BH454,0)</f>
        <v>0</v>
      </c>
      <c r="AE454" s="38">
        <f>IF(AQ454="7",BI454,0)</f>
        <v>0</v>
      </c>
      <c r="AF454" s="38">
        <f>IF(AQ454="2",BH454,0)</f>
        <v>0</v>
      </c>
      <c r="AG454" s="38">
        <f>IF(AQ454="2",BI454,0)</f>
        <v>0</v>
      </c>
      <c r="AH454" s="38">
        <f>IF(AQ454="0",BJ454,0)</f>
        <v>0</v>
      </c>
      <c r="AI454" s="50" t="s">
        <v>84</v>
      </c>
      <c r="AJ454" s="80">
        <f>IF(AN454=0,I454,0)</f>
        <v>0</v>
      </c>
      <c r="AK454" s="80">
        <f>IF(AN454=12,I454,0)</f>
        <v>0</v>
      </c>
      <c r="AL454" s="80">
        <f>IF(AN454=21,I454,0)</f>
        <v>0</v>
      </c>
      <c r="AN454" s="38">
        <v>21</v>
      </c>
      <c r="AO454" s="38">
        <f>H454*1</f>
        <v>0</v>
      </c>
      <c r="AP454" s="38">
        <f>H454*(1-1)</f>
        <v>0</v>
      </c>
      <c r="AQ454" s="83" t="s">
        <v>169</v>
      </c>
      <c r="AV454" s="38">
        <f>AW454+AX454</f>
        <v>0</v>
      </c>
      <c r="AW454" s="38">
        <f>G454*AO454</f>
        <v>0</v>
      </c>
      <c r="AX454" s="38">
        <f>G454*AP454</f>
        <v>0</v>
      </c>
      <c r="AY454" s="72" t="s">
        <v>895</v>
      </c>
      <c r="AZ454" s="72" t="s">
        <v>875</v>
      </c>
      <c r="BA454" s="50" t="s">
        <v>139</v>
      </c>
      <c r="BC454" s="38">
        <f>AW454+AX454</f>
        <v>0</v>
      </c>
      <c r="BD454" s="38">
        <f>H454/(100-BE454)*100</f>
        <v>0</v>
      </c>
      <c r="BE454" s="38">
        <v>0</v>
      </c>
      <c r="BF454" s="38">
        <f>K454</f>
        <v>0.6462500000000001</v>
      </c>
      <c r="BH454" s="80">
        <f>G454*AO454</f>
        <v>0</v>
      </c>
      <c r="BI454" s="80">
        <f>G454*AP454</f>
        <v>0</v>
      </c>
      <c r="BJ454" s="80">
        <f>G454*H454</f>
        <v>0</v>
      </c>
      <c r="BK454" s="80"/>
      <c r="BL454" s="38">
        <v>713</v>
      </c>
      <c r="BW454" s="38">
        <v>21</v>
      </c>
    </row>
    <row r="455" spans="1:12" ht="15">
      <c r="A455" s="74"/>
      <c r="D455" s="75" t="s">
        <v>936</v>
      </c>
      <c r="E455" s="75" t="s">
        <v>927</v>
      </c>
      <c r="G455" s="76">
        <v>2.82</v>
      </c>
      <c r="L455" s="77"/>
    </row>
    <row r="456" spans="1:12" ht="15">
      <c r="A456" s="74"/>
      <c r="D456" s="75" t="s">
        <v>937</v>
      </c>
      <c r="E456" s="75" t="s">
        <v>929</v>
      </c>
      <c r="G456" s="76">
        <v>2.1</v>
      </c>
      <c r="L456" s="77"/>
    </row>
    <row r="457" spans="1:12" ht="15">
      <c r="A457" s="74"/>
      <c r="D457" s="75" t="s">
        <v>938</v>
      </c>
      <c r="E457" s="75" t="s">
        <v>931</v>
      </c>
      <c r="G457" s="76">
        <v>20.93</v>
      </c>
      <c r="L457" s="77"/>
    </row>
    <row r="458" spans="1:75" ht="13.5" customHeight="1">
      <c r="A458" s="78" t="s">
        <v>939</v>
      </c>
      <c r="B458" s="79" t="s">
        <v>84</v>
      </c>
      <c r="C458" s="79" t="s">
        <v>918</v>
      </c>
      <c r="D458" s="198" t="s">
        <v>919</v>
      </c>
      <c r="E458" s="199"/>
      <c r="F458" s="79" t="s">
        <v>135</v>
      </c>
      <c r="G458" s="80">
        <v>0.63</v>
      </c>
      <c r="H458" s="81">
        <v>0</v>
      </c>
      <c r="I458" s="80">
        <f>G458*H458</f>
        <v>0</v>
      </c>
      <c r="J458" s="80">
        <v>0.03</v>
      </c>
      <c r="K458" s="80">
        <f>G458*J458</f>
        <v>0.0189</v>
      </c>
      <c r="L458" s="82" t="s">
        <v>136</v>
      </c>
      <c r="Z458" s="38">
        <f>IF(AQ458="5",BJ458,0)</f>
        <v>0</v>
      </c>
      <c r="AB458" s="38">
        <f>IF(AQ458="1",BH458,0)</f>
        <v>0</v>
      </c>
      <c r="AC458" s="38">
        <f>IF(AQ458="1",BI458,0)</f>
        <v>0</v>
      </c>
      <c r="AD458" s="38">
        <f>IF(AQ458="7",BH458,0)</f>
        <v>0</v>
      </c>
      <c r="AE458" s="38">
        <f>IF(AQ458="7",BI458,0)</f>
        <v>0</v>
      </c>
      <c r="AF458" s="38">
        <f>IF(AQ458="2",BH458,0)</f>
        <v>0</v>
      </c>
      <c r="AG458" s="38">
        <f>IF(AQ458="2",BI458,0)</f>
        <v>0</v>
      </c>
      <c r="AH458" s="38">
        <f>IF(AQ458="0",BJ458,0)</f>
        <v>0</v>
      </c>
      <c r="AI458" s="50" t="s">
        <v>84</v>
      </c>
      <c r="AJ458" s="80">
        <f>IF(AN458=0,I458,0)</f>
        <v>0</v>
      </c>
      <c r="AK458" s="80">
        <f>IF(AN458=12,I458,0)</f>
        <v>0</v>
      </c>
      <c r="AL458" s="80">
        <f>IF(AN458=21,I458,0)</f>
        <v>0</v>
      </c>
      <c r="AN458" s="38">
        <v>21</v>
      </c>
      <c r="AO458" s="38">
        <f>H458*1</f>
        <v>0</v>
      </c>
      <c r="AP458" s="38">
        <f>H458*(1-1)</f>
        <v>0</v>
      </c>
      <c r="AQ458" s="83" t="s">
        <v>169</v>
      </c>
      <c r="AV458" s="38">
        <f>AW458+AX458</f>
        <v>0</v>
      </c>
      <c r="AW458" s="38">
        <f>G458*AO458</f>
        <v>0</v>
      </c>
      <c r="AX458" s="38">
        <f>G458*AP458</f>
        <v>0</v>
      </c>
      <c r="AY458" s="72" t="s">
        <v>895</v>
      </c>
      <c r="AZ458" s="72" t="s">
        <v>875</v>
      </c>
      <c r="BA458" s="50" t="s">
        <v>139</v>
      </c>
      <c r="BC458" s="38">
        <f>AW458+AX458</f>
        <v>0</v>
      </c>
      <c r="BD458" s="38">
        <f>H458/(100-BE458)*100</f>
        <v>0</v>
      </c>
      <c r="BE458" s="38">
        <v>0</v>
      </c>
      <c r="BF458" s="38">
        <f>K458</f>
        <v>0.0189</v>
      </c>
      <c r="BH458" s="80">
        <f>G458*AO458</f>
        <v>0</v>
      </c>
      <c r="BI458" s="80">
        <f>G458*AP458</f>
        <v>0</v>
      </c>
      <c r="BJ458" s="80">
        <f>G458*H458</f>
        <v>0</v>
      </c>
      <c r="BK458" s="80"/>
      <c r="BL458" s="38">
        <v>713</v>
      </c>
      <c r="BW458" s="38">
        <v>21</v>
      </c>
    </row>
    <row r="459" spans="1:12" ht="15">
      <c r="A459" s="74"/>
      <c r="D459" s="75" t="s">
        <v>940</v>
      </c>
      <c r="E459" s="75" t="s">
        <v>941</v>
      </c>
      <c r="G459" s="76">
        <v>0.61</v>
      </c>
      <c r="L459" s="77"/>
    </row>
    <row r="460" spans="1:12" ht="15">
      <c r="A460" s="74"/>
      <c r="D460" s="75" t="s">
        <v>942</v>
      </c>
      <c r="E460" s="75" t="s">
        <v>4</v>
      </c>
      <c r="G460" s="76">
        <v>0.02</v>
      </c>
      <c r="L460" s="77"/>
    </row>
    <row r="461" spans="1:75" ht="13.5" customHeight="1">
      <c r="A461" s="1" t="s">
        <v>943</v>
      </c>
      <c r="B461" s="2" t="s">
        <v>84</v>
      </c>
      <c r="C461" s="2" t="s">
        <v>944</v>
      </c>
      <c r="D461" s="108" t="s">
        <v>898</v>
      </c>
      <c r="E461" s="103"/>
      <c r="F461" s="2" t="s">
        <v>263</v>
      </c>
      <c r="G461" s="38">
        <v>95.88</v>
      </c>
      <c r="H461" s="70">
        <v>0</v>
      </c>
      <c r="I461" s="38">
        <f>G461*H461</f>
        <v>0</v>
      </c>
      <c r="J461" s="38">
        <v>0</v>
      </c>
      <c r="K461" s="38">
        <f>G461*J461</f>
        <v>0</v>
      </c>
      <c r="L461" s="71" t="s">
        <v>136</v>
      </c>
      <c r="Z461" s="38">
        <f>IF(AQ461="5",BJ461,0)</f>
        <v>0</v>
      </c>
      <c r="AB461" s="38">
        <f>IF(AQ461="1",BH461,0)</f>
        <v>0</v>
      </c>
      <c r="AC461" s="38">
        <f>IF(AQ461="1",BI461,0)</f>
        <v>0</v>
      </c>
      <c r="AD461" s="38">
        <f>IF(AQ461="7",BH461,0)</f>
        <v>0</v>
      </c>
      <c r="AE461" s="38">
        <f>IF(AQ461="7",BI461,0)</f>
        <v>0</v>
      </c>
      <c r="AF461" s="38">
        <f>IF(AQ461="2",BH461,0)</f>
        <v>0</v>
      </c>
      <c r="AG461" s="38">
        <f>IF(AQ461="2",BI461,0)</f>
        <v>0</v>
      </c>
      <c r="AH461" s="38">
        <f>IF(AQ461="0",BJ461,0)</f>
        <v>0</v>
      </c>
      <c r="AI461" s="50" t="s">
        <v>84</v>
      </c>
      <c r="AJ461" s="38">
        <f>IF(AN461=0,I461,0)</f>
        <v>0</v>
      </c>
      <c r="AK461" s="38">
        <f>IF(AN461=12,I461,0)</f>
        <v>0</v>
      </c>
      <c r="AL461" s="38">
        <f>IF(AN461=21,I461,0)</f>
        <v>0</v>
      </c>
      <c r="AN461" s="38">
        <v>21</v>
      </c>
      <c r="AO461" s="38">
        <f>H461*0</f>
        <v>0</v>
      </c>
      <c r="AP461" s="38">
        <f>H461*(1-0)</f>
        <v>0</v>
      </c>
      <c r="AQ461" s="72" t="s">
        <v>169</v>
      </c>
      <c r="AV461" s="38">
        <f>AW461+AX461</f>
        <v>0</v>
      </c>
      <c r="AW461" s="38">
        <f>G461*AO461</f>
        <v>0</v>
      </c>
      <c r="AX461" s="38">
        <f>G461*AP461</f>
        <v>0</v>
      </c>
      <c r="AY461" s="72" t="s">
        <v>895</v>
      </c>
      <c r="AZ461" s="72" t="s">
        <v>875</v>
      </c>
      <c r="BA461" s="50" t="s">
        <v>139</v>
      </c>
      <c r="BB461" s="73">
        <v>100021</v>
      </c>
      <c r="BC461" s="38">
        <f>AW461+AX461</f>
        <v>0</v>
      </c>
      <c r="BD461" s="38">
        <f>H461/(100-BE461)*100</f>
        <v>0</v>
      </c>
      <c r="BE461" s="38">
        <v>0</v>
      </c>
      <c r="BF461" s="38">
        <f>K461</f>
        <v>0</v>
      </c>
      <c r="BH461" s="38">
        <f>G461*AO461</f>
        <v>0</v>
      </c>
      <c r="BI461" s="38">
        <f>G461*AP461</f>
        <v>0</v>
      </c>
      <c r="BJ461" s="38">
        <f>G461*H461</f>
        <v>0</v>
      </c>
      <c r="BK461" s="38"/>
      <c r="BL461" s="38">
        <v>713</v>
      </c>
      <c r="BW461" s="38">
        <v>21</v>
      </c>
    </row>
    <row r="462" spans="1:12" ht="13.5" customHeight="1">
      <c r="A462" s="74"/>
      <c r="D462" s="194" t="s">
        <v>925</v>
      </c>
      <c r="E462" s="195"/>
      <c r="F462" s="195"/>
      <c r="G462" s="195"/>
      <c r="H462" s="196"/>
      <c r="I462" s="195"/>
      <c r="J462" s="195"/>
      <c r="K462" s="195"/>
      <c r="L462" s="197"/>
    </row>
    <row r="463" spans="1:12" ht="15">
      <c r="A463" s="74"/>
      <c r="D463" s="75" t="s">
        <v>945</v>
      </c>
      <c r="E463" s="75" t="s">
        <v>927</v>
      </c>
      <c r="G463" s="76">
        <v>95.88</v>
      </c>
      <c r="L463" s="77"/>
    </row>
    <row r="464" spans="1:75" ht="13.5" customHeight="1">
      <c r="A464" s="78" t="s">
        <v>946</v>
      </c>
      <c r="B464" s="79" t="s">
        <v>84</v>
      </c>
      <c r="C464" s="79" t="s">
        <v>900</v>
      </c>
      <c r="D464" s="198" t="s">
        <v>935</v>
      </c>
      <c r="E464" s="199"/>
      <c r="F464" s="79" t="s">
        <v>135</v>
      </c>
      <c r="G464" s="80">
        <v>9.59</v>
      </c>
      <c r="H464" s="81">
        <v>0</v>
      </c>
      <c r="I464" s="80">
        <f>G464*H464</f>
        <v>0</v>
      </c>
      <c r="J464" s="80">
        <v>0.025</v>
      </c>
      <c r="K464" s="80">
        <f>G464*J464</f>
        <v>0.23975000000000002</v>
      </c>
      <c r="L464" s="82" t="s">
        <v>136</v>
      </c>
      <c r="Z464" s="38">
        <f>IF(AQ464="5",BJ464,0)</f>
        <v>0</v>
      </c>
      <c r="AB464" s="38">
        <f>IF(AQ464="1",BH464,0)</f>
        <v>0</v>
      </c>
      <c r="AC464" s="38">
        <f>IF(AQ464="1",BI464,0)</f>
        <v>0</v>
      </c>
      <c r="AD464" s="38">
        <f>IF(AQ464="7",BH464,0)</f>
        <v>0</v>
      </c>
      <c r="AE464" s="38">
        <f>IF(AQ464="7",BI464,0)</f>
        <v>0</v>
      </c>
      <c r="AF464" s="38">
        <f>IF(AQ464="2",BH464,0)</f>
        <v>0</v>
      </c>
      <c r="AG464" s="38">
        <f>IF(AQ464="2",BI464,0)</f>
        <v>0</v>
      </c>
      <c r="AH464" s="38">
        <f>IF(AQ464="0",BJ464,0)</f>
        <v>0</v>
      </c>
      <c r="AI464" s="50" t="s">
        <v>84</v>
      </c>
      <c r="AJ464" s="80">
        <f>IF(AN464=0,I464,0)</f>
        <v>0</v>
      </c>
      <c r="AK464" s="80">
        <f>IF(AN464=12,I464,0)</f>
        <v>0</v>
      </c>
      <c r="AL464" s="80">
        <f>IF(AN464=21,I464,0)</f>
        <v>0</v>
      </c>
      <c r="AN464" s="38">
        <v>21</v>
      </c>
      <c r="AO464" s="38">
        <f>H464*1</f>
        <v>0</v>
      </c>
      <c r="AP464" s="38">
        <f>H464*(1-1)</f>
        <v>0</v>
      </c>
      <c r="AQ464" s="83" t="s">
        <v>169</v>
      </c>
      <c r="AV464" s="38">
        <f>AW464+AX464</f>
        <v>0</v>
      </c>
      <c r="AW464" s="38">
        <f>G464*AO464</f>
        <v>0</v>
      </c>
      <c r="AX464" s="38">
        <f>G464*AP464</f>
        <v>0</v>
      </c>
      <c r="AY464" s="72" t="s">
        <v>895</v>
      </c>
      <c r="AZ464" s="72" t="s">
        <v>875</v>
      </c>
      <c r="BA464" s="50" t="s">
        <v>139</v>
      </c>
      <c r="BC464" s="38">
        <f>AW464+AX464</f>
        <v>0</v>
      </c>
      <c r="BD464" s="38">
        <f>H464/(100-BE464)*100</f>
        <v>0</v>
      </c>
      <c r="BE464" s="38">
        <v>0</v>
      </c>
      <c r="BF464" s="38">
        <f>K464</f>
        <v>0.23975000000000002</v>
      </c>
      <c r="BH464" s="80">
        <f>G464*AO464</f>
        <v>0</v>
      </c>
      <c r="BI464" s="80">
        <f>G464*AP464</f>
        <v>0</v>
      </c>
      <c r="BJ464" s="80">
        <f>G464*H464</f>
        <v>0</v>
      </c>
      <c r="BK464" s="80"/>
      <c r="BL464" s="38">
        <v>713</v>
      </c>
      <c r="BW464" s="38">
        <v>21</v>
      </c>
    </row>
    <row r="465" spans="1:12" ht="15">
      <c r="A465" s="74"/>
      <c r="D465" s="75" t="s">
        <v>947</v>
      </c>
      <c r="E465" s="75" t="s">
        <v>927</v>
      </c>
      <c r="G465" s="76">
        <v>9.59</v>
      </c>
      <c r="L465" s="77"/>
    </row>
    <row r="466" spans="1:75" ht="13.5" customHeight="1">
      <c r="A466" s="1" t="s">
        <v>948</v>
      </c>
      <c r="B466" s="2" t="s">
        <v>84</v>
      </c>
      <c r="C466" s="2" t="s">
        <v>949</v>
      </c>
      <c r="D466" s="108" t="s">
        <v>950</v>
      </c>
      <c r="E466" s="103"/>
      <c r="F466" s="2" t="s">
        <v>214</v>
      </c>
      <c r="G466" s="38">
        <v>354.5</v>
      </c>
      <c r="H466" s="70">
        <v>0</v>
      </c>
      <c r="I466" s="38">
        <f>G466*H466</f>
        <v>0</v>
      </c>
      <c r="J466" s="38">
        <v>0</v>
      </c>
      <c r="K466" s="38">
        <f>G466*J466</f>
        <v>0</v>
      </c>
      <c r="L466" s="71" t="s">
        <v>136</v>
      </c>
      <c r="Z466" s="38">
        <f>IF(AQ466="5",BJ466,0)</f>
        <v>0</v>
      </c>
      <c r="AB466" s="38">
        <f>IF(AQ466="1",BH466,0)</f>
        <v>0</v>
      </c>
      <c r="AC466" s="38">
        <f>IF(AQ466="1",BI466,0)</f>
        <v>0</v>
      </c>
      <c r="AD466" s="38">
        <f>IF(AQ466="7",BH466,0)</f>
        <v>0</v>
      </c>
      <c r="AE466" s="38">
        <f>IF(AQ466="7",BI466,0)</f>
        <v>0</v>
      </c>
      <c r="AF466" s="38">
        <f>IF(AQ466="2",BH466,0)</f>
        <v>0</v>
      </c>
      <c r="AG466" s="38">
        <f>IF(AQ466="2",BI466,0)</f>
        <v>0</v>
      </c>
      <c r="AH466" s="38">
        <f>IF(AQ466="0",BJ466,0)</f>
        <v>0</v>
      </c>
      <c r="AI466" s="50" t="s">
        <v>84</v>
      </c>
      <c r="AJ466" s="38">
        <f>IF(AN466=0,I466,0)</f>
        <v>0</v>
      </c>
      <c r="AK466" s="38">
        <f>IF(AN466=12,I466,0)</f>
        <v>0</v>
      </c>
      <c r="AL466" s="38">
        <f>IF(AN466=21,I466,0)</f>
        <v>0</v>
      </c>
      <c r="AN466" s="38">
        <v>21</v>
      </c>
      <c r="AO466" s="38">
        <f>H466*0</f>
        <v>0</v>
      </c>
      <c r="AP466" s="38">
        <f>H466*(1-0)</f>
        <v>0</v>
      </c>
      <c r="AQ466" s="72" t="s">
        <v>169</v>
      </c>
      <c r="AV466" s="38">
        <f>AW466+AX466</f>
        <v>0</v>
      </c>
      <c r="AW466" s="38">
        <f>G466*AO466</f>
        <v>0</v>
      </c>
      <c r="AX466" s="38">
        <f>G466*AP466</f>
        <v>0</v>
      </c>
      <c r="AY466" s="72" t="s">
        <v>895</v>
      </c>
      <c r="AZ466" s="72" t="s">
        <v>875</v>
      </c>
      <c r="BA466" s="50" t="s">
        <v>139</v>
      </c>
      <c r="BB466" s="73">
        <v>100021</v>
      </c>
      <c r="BC466" s="38">
        <f>AW466+AX466</f>
        <v>0</v>
      </c>
      <c r="BD466" s="38">
        <f>H466/(100-BE466)*100</f>
        <v>0</v>
      </c>
      <c r="BE466" s="38">
        <v>0</v>
      </c>
      <c r="BF466" s="38">
        <f>K466</f>
        <v>0</v>
      </c>
      <c r="BH466" s="38">
        <f>G466*AO466</f>
        <v>0</v>
      </c>
      <c r="BI466" s="38">
        <f>G466*AP466</f>
        <v>0</v>
      </c>
      <c r="BJ466" s="38">
        <f>G466*H466</f>
        <v>0</v>
      </c>
      <c r="BK466" s="38"/>
      <c r="BL466" s="38">
        <v>713</v>
      </c>
      <c r="BW466" s="38">
        <v>21</v>
      </c>
    </row>
    <row r="467" spans="1:12" ht="15">
      <c r="A467" s="74"/>
      <c r="D467" s="75" t="s">
        <v>951</v>
      </c>
      <c r="E467" s="75" t="s">
        <v>847</v>
      </c>
      <c r="G467" s="76">
        <v>159.8</v>
      </c>
      <c r="L467" s="77"/>
    </row>
    <row r="468" spans="1:12" ht="15">
      <c r="A468" s="74"/>
      <c r="D468" s="75" t="s">
        <v>952</v>
      </c>
      <c r="E468" s="75" t="s">
        <v>953</v>
      </c>
      <c r="G468" s="76">
        <v>112.7</v>
      </c>
      <c r="L468" s="77"/>
    </row>
    <row r="469" spans="1:12" ht="15">
      <c r="A469" s="74"/>
      <c r="D469" s="75" t="s">
        <v>648</v>
      </c>
      <c r="E469" s="75" t="s">
        <v>954</v>
      </c>
      <c r="G469" s="76">
        <v>82</v>
      </c>
      <c r="L469" s="77"/>
    </row>
    <row r="470" spans="1:75" ht="13.5" customHeight="1">
      <c r="A470" s="78" t="s">
        <v>955</v>
      </c>
      <c r="B470" s="79" t="s">
        <v>84</v>
      </c>
      <c r="C470" s="79" t="s">
        <v>956</v>
      </c>
      <c r="D470" s="198" t="s">
        <v>957</v>
      </c>
      <c r="E470" s="199"/>
      <c r="F470" s="79" t="s">
        <v>214</v>
      </c>
      <c r="G470" s="80">
        <v>365.13</v>
      </c>
      <c r="H470" s="81">
        <v>0</v>
      </c>
      <c r="I470" s="80">
        <f>G470*H470</f>
        <v>0</v>
      </c>
      <c r="J470" s="80">
        <v>0</v>
      </c>
      <c r="K470" s="80">
        <f>G470*J470</f>
        <v>0</v>
      </c>
      <c r="L470" s="82" t="s">
        <v>207</v>
      </c>
      <c r="Z470" s="38">
        <f>IF(AQ470="5",BJ470,0)</f>
        <v>0</v>
      </c>
      <c r="AB470" s="38">
        <f>IF(AQ470="1",BH470,0)</f>
        <v>0</v>
      </c>
      <c r="AC470" s="38">
        <f>IF(AQ470="1",BI470,0)</f>
        <v>0</v>
      </c>
      <c r="AD470" s="38">
        <f>IF(AQ470="7",BH470,0)</f>
        <v>0</v>
      </c>
      <c r="AE470" s="38">
        <f>IF(AQ470="7",BI470,0)</f>
        <v>0</v>
      </c>
      <c r="AF470" s="38">
        <f>IF(AQ470="2",BH470,0)</f>
        <v>0</v>
      </c>
      <c r="AG470" s="38">
        <f>IF(AQ470="2",BI470,0)</f>
        <v>0</v>
      </c>
      <c r="AH470" s="38">
        <f>IF(AQ470="0",BJ470,0)</f>
        <v>0</v>
      </c>
      <c r="AI470" s="50" t="s">
        <v>84</v>
      </c>
      <c r="AJ470" s="80">
        <f>IF(AN470=0,I470,0)</f>
        <v>0</v>
      </c>
      <c r="AK470" s="80">
        <f>IF(AN470=12,I470,0)</f>
        <v>0</v>
      </c>
      <c r="AL470" s="80">
        <f>IF(AN470=21,I470,0)</f>
        <v>0</v>
      </c>
      <c r="AN470" s="38">
        <v>21</v>
      </c>
      <c r="AO470" s="38">
        <f>H470*1</f>
        <v>0</v>
      </c>
      <c r="AP470" s="38">
        <f>H470*(1-1)</f>
        <v>0</v>
      </c>
      <c r="AQ470" s="83" t="s">
        <v>169</v>
      </c>
      <c r="AV470" s="38">
        <f>AW470+AX470</f>
        <v>0</v>
      </c>
      <c r="AW470" s="38">
        <f>G470*AO470</f>
        <v>0</v>
      </c>
      <c r="AX470" s="38">
        <f>G470*AP470</f>
        <v>0</v>
      </c>
      <c r="AY470" s="72" t="s">
        <v>895</v>
      </c>
      <c r="AZ470" s="72" t="s">
        <v>875</v>
      </c>
      <c r="BA470" s="50" t="s">
        <v>139</v>
      </c>
      <c r="BC470" s="38">
        <f>AW470+AX470</f>
        <v>0</v>
      </c>
      <c r="BD470" s="38">
        <f>H470/(100-BE470)*100</f>
        <v>0</v>
      </c>
      <c r="BE470" s="38">
        <v>0</v>
      </c>
      <c r="BF470" s="38">
        <f>K470</f>
        <v>0</v>
      </c>
      <c r="BH470" s="80">
        <f>G470*AO470</f>
        <v>0</v>
      </c>
      <c r="BI470" s="80">
        <f>G470*AP470</f>
        <v>0</v>
      </c>
      <c r="BJ470" s="80">
        <f>G470*H470</f>
        <v>0</v>
      </c>
      <c r="BK470" s="80"/>
      <c r="BL470" s="38">
        <v>713</v>
      </c>
      <c r="BW470" s="38">
        <v>21</v>
      </c>
    </row>
    <row r="471" spans="1:12" ht="15">
      <c r="A471" s="74"/>
      <c r="D471" s="75" t="s">
        <v>958</v>
      </c>
      <c r="E471" s="75" t="s">
        <v>4</v>
      </c>
      <c r="G471" s="76">
        <v>354.5</v>
      </c>
      <c r="L471" s="77"/>
    </row>
    <row r="472" spans="1:12" ht="15">
      <c r="A472" s="74"/>
      <c r="D472" s="75" t="s">
        <v>959</v>
      </c>
      <c r="E472" s="75" t="s">
        <v>4</v>
      </c>
      <c r="G472" s="76">
        <v>10.63</v>
      </c>
      <c r="L472" s="77"/>
    </row>
    <row r="473" spans="1:75" ht="13.5" customHeight="1">
      <c r="A473" s="1" t="s">
        <v>960</v>
      </c>
      <c r="B473" s="2" t="s">
        <v>84</v>
      </c>
      <c r="C473" s="2" t="s">
        <v>961</v>
      </c>
      <c r="D473" s="108" t="s">
        <v>962</v>
      </c>
      <c r="E473" s="103"/>
      <c r="F473" s="2" t="s">
        <v>263</v>
      </c>
      <c r="G473" s="38">
        <v>10.48</v>
      </c>
      <c r="H473" s="70">
        <v>0</v>
      </c>
      <c r="I473" s="38">
        <f>G473*H473</f>
        <v>0</v>
      </c>
      <c r="J473" s="38">
        <v>0.0005</v>
      </c>
      <c r="K473" s="38">
        <f>G473*J473</f>
        <v>0.005240000000000001</v>
      </c>
      <c r="L473" s="71" t="s">
        <v>136</v>
      </c>
      <c r="Z473" s="38">
        <f>IF(AQ473="5",BJ473,0)</f>
        <v>0</v>
      </c>
      <c r="AB473" s="38">
        <f>IF(AQ473="1",BH473,0)</f>
        <v>0</v>
      </c>
      <c r="AC473" s="38">
        <f>IF(AQ473="1",BI473,0)</f>
        <v>0</v>
      </c>
      <c r="AD473" s="38">
        <f>IF(AQ473="7",BH473,0)</f>
        <v>0</v>
      </c>
      <c r="AE473" s="38">
        <f>IF(AQ473="7",BI473,0)</f>
        <v>0</v>
      </c>
      <c r="AF473" s="38">
        <f>IF(AQ473="2",BH473,0)</f>
        <v>0</v>
      </c>
      <c r="AG473" s="38">
        <f>IF(AQ473="2",BI473,0)</f>
        <v>0</v>
      </c>
      <c r="AH473" s="38">
        <f>IF(AQ473="0",BJ473,0)</f>
        <v>0</v>
      </c>
      <c r="AI473" s="50" t="s">
        <v>84</v>
      </c>
      <c r="AJ473" s="38">
        <f>IF(AN473=0,I473,0)</f>
        <v>0</v>
      </c>
      <c r="AK473" s="38">
        <f>IF(AN473=12,I473,0)</f>
        <v>0</v>
      </c>
      <c r="AL473" s="38">
        <f>IF(AN473=21,I473,0)</f>
        <v>0</v>
      </c>
      <c r="AN473" s="38">
        <v>21</v>
      </c>
      <c r="AO473" s="38">
        <f>H473*0.288512561</f>
        <v>0</v>
      </c>
      <c r="AP473" s="38">
        <f>H473*(1-0.288512561)</f>
        <v>0</v>
      </c>
      <c r="AQ473" s="72" t="s">
        <v>169</v>
      </c>
      <c r="AV473" s="38">
        <f>AW473+AX473</f>
        <v>0</v>
      </c>
      <c r="AW473" s="38">
        <f>G473*AO473</f>
        <v>0</v>
      </c>
      <c r="AX473" s="38">
        <f>G473*AP473</f>
        <v>0</v>
      </c>
      <c r="AY473" s="72" t="s">
        <v>895</v>
      </c>
      <c r="AZ473" s="72" t="s">
        <v>875</v>
      </c>
      <c r="BA473" s="50" t="s">
        <v>139</v>
      </c>
      <c r="BB473" s="73">
        <v>100021</v>
      </c>
      <c r="BC473" s="38">
        <f>AW473+AX473</f>
        <v>0</v>
      </c>
      <c r="BD473" s="38">
        <f>H473/(100-BE473)*100</f>
        <v>0</v>
      </c>
      <c r="BE473" s="38">
        <v>0</v>
      </c>
      <c r="BF473" s="38">
        <f>K473</f>
        <v>0.005240000000000001</v>
      </c>
      <c r="BH473" s="38">
        <f>G473*AO473</f>
        <v>0</v>
      </c>
      <c r="BI473" s="38">
        <f>G473*AP473</f>
        <v>0</v>
      </c>
      <c r="BJ473" s="38">
        <f>G473*H473</f>
        <v>0</v>
      </c>
      <c r="BK473" s="38"/>
      <c r="BL473" s="38">
        <v>713</v>
      </c>
      <c r="BW473" s="38">
        <v>21</v>
      </c>
    </row>
    <row r="474" spans="1:12" ht="15">
      <c r="A474" s="74"/>
      <c r="D474" s="75" t="s">
        <v>963</v>
      </c>
      <c r="E474" s="75" t="s">
        <v>852</v>
      </c>
      <c r="G474" s="76">
        <v>7.66</v>
      </c>
      <c r="L474" s="77"/>
    </row>
    <row r="475" spans="1:12" ht="15">
      <c r="A475" s="74"/>
      <c r="D475" s="75" t="s">
        <v>964</v>
      </c>
      <c r="E475" s="75" t="s">
        <v>965</v>
      </c>
      <c r="G475" s="76">
        <v>2.82</v>
      </c>
      <c r="L475" s="77"/>
    </row>
    <row r="476" spans="1:75" ht="13.5" customHeight="1">
      <c r="A476" s="1" t="s">
        <v>966</v>
      </c>
      <c r="B476" s="2" t="s">
        <v>84</v>
      </c>
      <c r="C476" s="2" t="s">
        <v>904</v>
      </c>
      <c r="D476" s="108" t="s">
        <v>905</v>
      </c>
      <c r="E476" s="103"/>
      <c r="F476" s="2" t="s">
        <v>263</v>
      </c>
      <c r="G476" s="38">
        <v>188.6</v>
      </c>
      <c r="H476" s="70">
        <v>0</v>
      </c>
      <c r="I476" s="38">
        <f>G476*H476</f>
        <v>0</v>
      </c>
      <c r="J476" s="38">
        <v>1E-05</v>
      </c>
      <c r="K476" s="38">
        <f>G476*J476</f>
        <v>0.001886</v>
      </c>
      <c r="L476" s="71" t="s">
        <v>136</v>
      </c>
      <c r="Z476" s="38">
        <f>IF(AQ476="5",BJ476,0)</f>
        <v>0</v>
      </c>
      <c r="AB476" s="38">
        <f>IF(AQ476="1",BH476,0)</f>
        <v>0</v>
      </c>
      <c r="AC476" s="38">
        <f>IF(AQ476="1",BI476,0)</f>
        <v>0</v>
      </c>
      <c r="AD476" s="38">
        <f>IF(AQ476="7",BH476,0)</f>
        <v>0</v>
      </c>
      <c r="AE476" s="38">
        <f>IF(AQ476="7",BI476,0)</f>
        <v>0</v>
      </c>
      <c r="AF476" s="38">
        <f>IF(AQ476="2",BH476,0)</f>
        <v>0</v>
      </c>
      <c r="AG476" s="38">
        <f>IF(AQ476="2",BI476,0)</f>
        <v>0</v>
      </c>
      <c r="AH476" s="38">
        <f>IF(AQ476="0",BJ476,0)</f>
        <v>0</v>
      </c>
      <c r="AI476" s="50" t="s">
        <v>84</v>
      </c>
      <c r="AJ476" s="38">
        <f>IF(AN476=0,I476,0)</f>
        <v>0</v>
      </c>
      <c r="AK476" s="38">
        <f>IF(AN476=12,I476,0)</f>
        <v>0</v>
      </c>
      <c r="AL476" s="38">
        <f>IF(AN476=21,I476,0)</f>
        <v>0</v>
      </c>
      <c r="AN476" s="38">
        <v>21</v>
      </c>
      <c r="AO476" s="38">
        <f>H476*0.211573712</f>
        <v>0</v>
      </c>
      <c r="AP476" s="38">
        <f>H476*(1-0.211573712)</f>
        <v>0</v>
      </c>
      <c r="AQ476" s="72" t="s">
        <v>169</v>
      </c>
      <c r="AV476" s="38">
        <f>AW476+AX476</f>
        <v>0</v>
      </c>
      <c r="AW476" s="38">
        <f>G476*AO476</f>
        <v>0</v>
      </c>
      <c r="AX476" s="38">
        <f>G476*AP476</f>
        <v>0</v>
      </c>
      <c r="AY476" s="72" t="s">
        <v>895</v>
      </c>
      <c r="AZ476" s="72" t="s">
        <v>875</v>
      </c>
      <c r="BA476" s="50" t="s">
        <v>139</v>
      </c>
      <c r="BB476" s="73">
        <v>100021</v>
      </c>
      <c r="BC476" s="38">
        <f>AW476+AX476</f>
        <v>0</v>
      </c>
      <c r="BD476" s="38">
        <f>H476/(100-BE476)*100</f>
        <v>0</v>
      </c>
      <c r="BE476" s="38">
        <v>0</v>
      </c>
      <c r="BF476" s="38">
        <f>K476</f>
        <v>0.001886</v>
      </c>
      <c r="BH476" s="38">
        <f>G476*AO476</f>
        <v>0</v>
      </c>
      <c r="BI476" s="38">
        <f>G476*AP476</f>
        <v>0</v>
      </c>
      <c r="BJ476" s="38">
        <f>G476*H476</f>
        <v>0</v>
      </c>
      <c r="BK476" s="38"/>
      <c r="BL476" s="38">
        <v>713</v>
      </c>
      <c r="BW476" s="38">
        <v>21</v>
      </c>
    </row>
    <row r="477" spans="1:12" ht="13.5" customHeight="1">
      <c r="A477" s="74"/>
      <c r="D477" s="194" t="s">
        <v>906</v>
      </c>
      <c r="E477" s="195"/>
      <c r="F477" s="195"/>
      <c r="G477" s="195"/>
      <c r="H477" s="196"/>
      <c r="I477" s="195"/>
      <c r="J477" s="195"/>
      <c r="K477" s="195"/>
      <c r="L477" s="197"/>
    </row>
    <row r="478" spans="1:12" ht="15">
      <c r="A478" s="74"/>
      <c r="D478" s="75" t="s">
        <v>967</v>
      </c>
      <c r="E478" s="75" t="s">
        <v>847</v>
      </c>
      <c r="G478" s="76">
        <v>188.6</v>
      </c>
      <c r="L478" s="77"/>
    </row>
    <row r="479" spans="1:75" ht="13.5" customHeight="1">
      <c r="A479" s="1" t="s">
        <v>968</v>
      </c>
      <c r="B479" s="2" t="s">
        <v>84</v>
      </c>
      <c r="C479" s="2" t="s">
        <v>969</v>
      </c>
      <c r="D479" s="108" t="s">
        <v>970</v>
      </c>
      <c r="E479" s="103"/>
      <c r="F479" s="2" t="s">
        <v>263</v>
      </c>
      <c r="G479" s="38">
        <v>76.4</v>
      </c>
      <c r="H479" s="70">
        <v>0</v>
      </c>
      <c r="I479" s="38">
        <f>G479*H479</f>
        <v>0</v>
      </c>
      <c r="J479" s="38">
        <v>0.1575</v>
      </c>
      <c r="K479" s="38">
        <f>G479*J479</f>
        <v>12.033000000000001</v>
      </c>
      <c r="L479" s="71" t="s">
        <v>136</v>
      </c>
      <c r="Z479" s="38">
        <f>IF(AQ479="5",BJ479,0)</f>
        <v>0</v>
      </c>
      <c r="AB479" s="38">
        <f>IF(AQ479="1",BH479,0)</f>
        <v>0</v>
      </c>
      <c r="AC479" s="38">
        <f>IF(AQ479="1",BI479,0)</f>
        <v>0</v>
      </c>
      <c r="AD479" s="38">
        <f>IF(AQ479="7",BH479,0)</f>
        <v>0</v>
      </c>
      <c r="AE479" s="38">
        <f>IF(AQ479="7",BI479,0)</f>
        <v>0</v>
      </c>
      <c r="AF479" s="38">
        <f>IF(AQ479="2",BH479,0)</f>
        <v>0</v>
      </c>
      <c r="AG479" s="38">
        <f>IF(AQ479="2",BI479,0)</f>
        <v>0</v>
      </c>
      <c r="AH479" s="38">
        <f>IF(AQ479="0",BJ479,0)</f>
        <v>0</v>
      </c>
      <c r="AI479" s="50" t="s">
        <v>84</v>
      </c>
      <c r="AJ479" s="38">
        <f>IF(AN479=0,I479,0)</f>
        <v>0</v>
      </c>
      <c r="AK479" s="38">
        <f>IF(AN479=12,I479,0)</f>
        <v>0</v>
      </c>
      <c r="AL479" s="38">
        <f>IF(AN479=21,I479,0)</f>
        <v>0</v>
      </c>
      <c r="AN479" s="38">
        <v>21</v>
      </c>
      <c r="AO479" s="38">
        <f>H479*0</f>
        <v>0</v>
      </c>
      <c r="AP479" s="38">
        <f>H479*(1-0)</f>
        <v>0</v>
      </c>
      <c r="AQ479" s="72" t="s">
        <v>169</v>
      </c>
      <c r="AV479" s="38">
        <f>AW479+AX479</f>
        <v>0</v>
      </c>
      <c r="AW479" s="38">
        <f>G479*AO479</f>
        <v>0</v>
      </c>
      <c r="AX479" s="38">
        <f>G479*AP479</f>
        <v>0</v>
      </c>
      <c r="AY479" s="72" t="s">
        <v>895</v>
      </c>
      <c r="AZ479" s="72" t="s">
        <v>875</v>
      </c>
      <c r="BA479" s="50" t="s">
        <v>139</v>
      </c>
      <c r="BB479" s="73">
        <v>100021</v>
      </c>
      <c r="BC479" s="38">
        <f>AW479+AX479</f>
        <v>0</v>
      </c>
      <c r="BD479" s="38">
        <f>H479/(100-BE479)*100</f>
        <v>0</v>
      </c>
      <c r="BE479" s="38">
        <v>0</v>
      </c>
      <c r="BF479" s="38">
        <f>K479</f>
        <v>12.033000000000001</v>
      </c>
      <c r="BH479" s="38">
        <f>G479*AO479</f>
        <v>0</v>
      </c>
      <c r="BI479" s="38">
        <f>G479*AP479</f>
        <v>0</v>
      </c>
      <c r="BJ479" s="38">
        <f>G479*H479</f>
        <v>0</v>
      </c>
      <c r="BK479" s="38"/>
      <c r="BL479" s="38">
        <v>713</v>
      </c>
      <c r="BW479" s="38">
        <v>21</v>
      </c>
    </row>
    <row r="480" spans="1:12" ht="15">
      <c r="A480" s="74"/>
      <c r="D480" s="75" t="s">
        <v>971</v>
      </c>
      <c r="E480" s="75" t="s">
        <v>972</v>
      </c>
      <c r="G480" s="76">
        <v>41.6</v>
      </c>
      <c r="L480" s="77"/>
    </row>
    <row r="481" spans="1:12" ht="15">
      <c r="A481" s="74"/>
      <c r="D481" s="75" t="s">
        <v>973</v>
      </c>
      <c r="E481" s="75" t="s">
        <v>974</v>
      </c>
      <c r="G481" s="76">
        <v>34.8</v>
      </c>
      <c r="L481" s="77"/>
    </row>
    <row r="482" spans="1:75" ht="13.5" customHeight="1">
      <c r="A482" s="1" t="s">
        <v>975</v>
      </c>
      <c r="B482" s="2" t="s">
        <v>84</v>
      </c>
      <c r="C482" s="2" t="s">
        <v>976</v>
      </c>
      <c r="D482" s="108" t="s">
        <v>977</v>
      </c>
      <c r="E482" s="103"/>
      <c r="F482" s="2" t="s">
        <v>263</v>
      </c>
      <c r="G482" s="38">
        <v>4.9</v>
      </c>
      <c r="H482" s="70">
        <v>0</v>
      </c>
      <c r="I482" s="38">
        <f>G482*H482</f>
        <v>0</v>
      </c>
      <c r="J482" s="38">
        <v>0.002</v>
      </c>
      <c r="K482" s="38">
        <f>G482*J482</f>
        <v>0.009800000000000001</v>
      </c>
      <c r="L482" s="71" t="s">
        <v>136</v>
      </c>
      <c r="Z482" s="38">
        <f>IF(AQ482="5",BJ482,0)</f>
        <v>0</v>
      </c>
      <c r="AB482" s="38">
        <f>IF(AQ482="1",BH482,0)</f>
        <v>0</v>
      </c>
      <c r="AC482" s="38">
        <f>IF(AQ482="1",BI482,0)</f>
        <v>0</v>
      </c>
      <c r="AD482" s="38">
        <f>IF(AQ482="7",BH482,0)</f>
        <v>0</v>
      </c>
      <c r="AE482" s="38">
        <f>IF(AQ482="7",BI482,0)</f>
        <v>0</v>
      </c>
      <c r="AF482" s="38">
        <f>IF(AQ482="2",BH482,0)</f>
        <v>0</v>
      </c>
      <c r="AG482" s="38">
        <f>IF(AQ482="2",BI482,0)</f>
        <v>0</v>
      </c>
      <c r="AH482" s="38">
        <f>IF(AQ482="0",BJ482,0)</f>
        <v>0</v>
      </c>
      <c r="AI482" s="50" t="s">
        <v>84</v>
      </c>
      <c r="AJ482" s="38">
        <f>IF(AN482=0,I482,0)</f>
        <v>0</v>
      </c>
      <c r="AK482" s="38">
        <f>IF(AN482=12,I482,0)</f>
        <v>0</v>
      </c>
      <c r="AL482" s="38">
        <f>IF(AN482=21,I482,0)</f>
        <v>0</v>
      </c>
      <c r="AN482" s="38">
        <v>21</v>
      </c>
      <c r="AO482" s="38">
        <f>H482*0</f>
        <v>0</v>
      </c>
      <c r="AP482" s="38">
        <f>H482*(1-0)</f>
        <v>0</v>
      </c>
      <c r="AQ482" s="72" t="s">
        <v>169</v>
      </c>
      <c r="AV482" s="38">
        <f>AW482+AX482</f>
        <v>0</v>
      </c>
      <c r="AW482" s="38">
        <f>G482*AO482</f>
        <v>0</v>
      </c>
      <c r="AX482" s="38">
        <f>G482*AP482</f>
        <v>0</v>
      </c>
      <c r="AY482" s="72" t="s">
        <v>895</v>
      </c>
      <c r="AZ482" s="72" t="s">
        <v>875</v>
      </c>
      <c r="BA482" s="50" t="s">
        <v>139</v>
      </c>
      <c r="BB482" s="73">
        <v>100021</v>
      </c>
      <c r="BC482" s="38">
        <f>AW482+AX482</f>
        <v>0</v>
      </c>
      <c r="BD482" s="38">
        <f>H482/(100-BE482)*100</f>
        <v>0</v>
      </c>
      <c r="BE482" s="38">
        <v>0</v>
      </c>
      <c r="BF482" s="38">
        <f>K482</f>
        <v>0.009800000000000001</v>
      </c>
      <c r="BH482" s="38">
        <f>G482*AO482</f>
        <v>0</v>
      </c>
      <c r="BI482" s="38">
        <f>G482*AP482</f>
        <v>0</v>
      </c>
      <c r="BJ482" s="38">
        <f>G482*H482</f>
        <v>0</v>
      </c>
      <c r="BK482" s="38"/>
      <c r="BL482" s="38">
        <v>713</v>
      </c>
      <c r="BW482" s="38">
        <v>21</v>
      </c>
    </row>
    <row r="483" spans="1:12" ht="15">
      <c r="A483" s="74"/>
      <c r="D483" s="75" t="s">
        <v>978</v>
      </c>
      <c r="E483" s="75" t="s">
        <v>979</v>
      </c>
      <c r="G483" s="76">
        <v>4.9</v>
      </c>
      <c r="L483" s="77"/>
    </row>
    <row r="484" spans="1:75" ht="13.5" customHeight="1">
      <c r="A484" s="1" t="s">
        <v>980</v>
      </c>
      <c r="B484" s="2" t="s">
        <v>84</v>
      </c>
      <c r="C484" s="2" t="s">
        <v>981</v>
      </c>
      <c r="D484" s="108" t="s">
        <v>982</v>
      </c>
      <c r="E484" s="103"/>
      <c r="F484" s="2" t="s">
        <v>189</v>
      </c>
      <c r="G484" s="38">
        <v>1</v>
      </c>
      <c r="H484" s="70">
        <v>0</v>
      </c>
      <c r="I484" s="38">
        <f>G484*H484</f>
        <v>0</v>
      </c>
      <c r="J484" s="38">
        <v>0</v>
      </c>
      <c r="K484" s="38">
        <f>G484*J484</f>
        <v>0</v>
      </c>
      <c r="L484" s="71" t="s">
        <v>136</v>
      </c>
      <c r="Z484" s="38">
        <f>IF(AQ484="5",BJ484,0)</f>
        <v>0</v>
      </c>
      <c r="AB484" s="38">
        <f>IF(AQ484="1",BH484,0)</f>
        <v>0</v>
      </c>
      <c r="AC484" s="38">
        <f>IF(AQ484="1",BI484,0)</f>
        <v>0</v>
      </c>
      <c r="AD484" s="38">
        <f>IF(AQ484="7",BH484,0)</f>
        <v>0</v>
      </c>
      <c r="AE484" s="38">
        <f>IF(AQ484="7",BI484,0)</f>
        <v>0</v>
      </c>
      <c r="AF484" s="38">
        <f>IF(AQ484="2",BH484,0)</f>
        <v>0</v>
      </c>
      <c r="AG484" s="38">
        <f>IF(AQ484="2",BI484,0)</f>
        <v>0</v>
      </c>
      <c r="AH484" s="38">
        <f>IF(AQ484="0",BJ484,0)</f>
        <v>0</v>
      </c>
      <c r="AI484" s="50" t="s">
        <v>84</v>
      </c>
      <c r="AJ484" s="38">
        <f>IF(AN484=0,I484,0)</f>
        <v>0</v>
      </c>
      <c r="AK484" s="38">
        <f>IF(AN484=12,I484,0)</f>
        <v>0</v>
      </c>
      <c r="AL484" s="38">
        <f>IF(AN484=21,I484,0)</f>
        <v>0</v>
      </c>
      <c r="AN484" s="38">
        <v>21</v>
      </c>
      <c r="AO484" s="38">
        <f>H484*0</f>
        <v>0</v>
      </c>
      <c r="AP484" s="38">
        <f>H484*(1-0)</f>
        <v>0</v>
      </c>
      <c r="AQ484" s="72" t="s">
        <v>162</v>
      </c>
      <c r="AV484" s="38">
        <f>AW484+AX484</f>
        <v>0</v>
      </c>
      <c r="AW484" s="38">
        <f>G484*AO484</f>
        <v>0</v>
      </c>
      <c r="AX484" s="38">
        <f>G484*AP484</f>
        <v>0</v>
      </c>
      <c r="AY484" s="72" t="s">
        <v>895</v>
      </c>
      <c r="AZ484" s="72" t="s">
        <v>875</v>
      </c>
      <c r="BA484" s="50" t="s">
        <v>139</v>
      </c>
      <c r="BC484" s="38">
        <f>AW484+AX484</f>
        <v>0</v>
      </c>
      <c r="BD484" s="38">
        <f>H484/(100-BE484)*100</f>
        <v>0</v>
      </c>
      <c r="BE484" s="38">
        <v>0</v>
      </c>
      <c r="BF484" s="38">
        <f>K484</f>
        <v>0</v>
      </c>
      <c r="BH484" s="38">
        <f>G484*AO484</f>
        <v>0</v>
      </c>
      <c r="BI484" s="38">
        <f>G484*AP484</f>
        <v>0</v>
      </c>
      <c r="BJ484" s="38">
        <f>G484*H484</f>
        <v>0</v>
      </c>
      <c r="BK484" s="38"/>
      <c r="BL484" s="38">
        <v>713</v>
      </c>
      <c r="BW484" s="38">
        <v>21</v>
      </c>
    </row>
    <row r="485" spans="1:12" ht="15">
      <c r="A485" s="74"/>
      <c r="D485" s="75" t="s">
        <v>983</v>
      </c>
      <c r="E485" s="75" t="s">
        <v>4</v>
      </c>
      <c r="G485" s="76">
        <v>1</v>
      </c>
      <c r="L485" s="77"/>
    </row>
    <row r="486" spans="1:47" ht="15">
      <c r="A486" s="65" t="s">
        <v>4</v>
      </c>
      <c r="B486" s="66" t="s">
        <v>84</v>
      </c>
      <c r="C486" s="66" t="s">
        <v>984</v>
      </c>
      <c r="D486" s="192" t="s">
        <v>985</v>
      </c>
      <c r="E486" s="193"/>
      <c r="F486" s="67" t="s">
        <v>78</v>
      </c>
      <c r="G486" s="67" t="s">
        <v>78</v>
      </c>
      <c r="H486" s="68" t="s">
        <v>78</v>
      </c>
      <c r="I486" s="44">
        <f>SUM(I487:I499)</f>
        <v>0</v>
      </c>
      <c r="J486" s="50" t="s">
        <v>4</v>
      </c>
      <c r="K486" s="44">
        <f>SUM(K487:K499)</f>
        <v>0.9775365</v>
      </c>
      <c r="L486" s="69" t="s">
        <v>4</v>
      </c>
      <c r="AI486" s="50" t="s">
        <v>84</v>
      </c>
      <c r="AS486" s="44">
        <f>SUM(AJ487:AJ499)</f>
        <v>0</v>
      </c>
      <c r="AT486" s="44">
        <f>SUM(AK487:AK499)</f>
        <v>0</v>
      </c>
      <c r="AU486" s="44">
        <f>SUM(AL487:AL499)</f>
        <v>0</v>
      </c>
    </row>
    <row r="487" spans="1:75" ht="13.5" customHeight="1">
      <c r="A487" s="1" t="s">
        <v>986</v>
      </c>
      <c r="B487" s="2" t="s">
        <v>84</v>
      </c>
      <c r="C487" s="2" t="s">
        <v>987</v>
      </c>
      <c r="D487" s="108" t="s">
        <v>988</v>
      </c>
      <c r="E487" s="103"/>
      <c r="F487" s="2" t="s">
        <v>214</v>
      </c>
      <c r="G487" s="38">
        <v>81.2</v>
      </c>
      <c r="H487" s="70">
        <v>0</v>
      </c>
      <c r="I487" s="38">
        <f>G487*H487</f>
        <v>0</v>
      </c>
      <c r="J487" s="38">
        <v>0.00099</v>
      </c>
      <c r="K487" s="38">
        <f>G487*J487</f>
        <v>0.080388</v>
      </c>
      <c r="L487" s="71" t="s">
        <v>136</v>
      </c>
      <c r="Z487" s="38">
        <f>IF(AQ487="5",BJ487,0)</f>
        <v>0</v>
      </c>
      <c r="AB487" s="38">
        <f>IF(AQ487="1",BH487,0)</f>
        <v>0</v>
      </c>
      <c r="AC487" s="38">
        <f>IF(AQ487="1",BI487,0)</f>
        <v>0</v>
      </c>
      <c r="AD487" s="38">
        <f>IF(AQ487="7",BH487,0)</f>
        <v>0</v>
      </c>
      <c r="AE487" s="38">
        <f>IF(AQ487="7",BI487,0)</f>
        <v>0</v>
      </c>
      <c r="AF487" s="38">
        <f>IF(AQ487="2",BH487,0)</f>
        <v>0</v>
      </c>
      <c r="AG487" s="38">
        <f>IF(AQ487="2",BI487,0)</f>
        <v>0</v>
      </c>
      <c r="AH487" s="38">
        <f>IF(AQ487="0",BJ487,0)</f>
        <v>0</v>
      </c>
      <c r="AI487" s="50" t="s">
        <v>84</v>
      </c>
      <c r="AJ487" s="38">
        <f>IF(AN487=0,I487,0)</f>
        <v>0</v>
      </c>
      <c r="AK487" s="38">
        <f>IF(AN487=12,I487,0)</f>
        <v>0</v>
      </c>
      <c r="AL487" s="38">
        <f>IF(AN487=21,I487,0)</f>
        <v>0</v>
      </c>
      <c r="AN487" s="38">
        <v>21</v>
      </c>
      <c r="AO487" s="38">
        <f>H487*0.05145679</f>
        <v>0</v>
      </c>
      <c r="AP487" s="38">
        <f>H487*(1-0.05145679)</f>
        <v>0</v>
      </c>
      <c r="AQ487" s="72" t="s">
        <v>169</v>
      </c>
      <c r="AV487" s="38">
        <f>AW487+AX487</f>
        <v>0</v>
      </c>
      <c r="AW487" s="38">
        <f>G487*AO487</f>
        <v>0</v>
      </c>
      <c r="AX487" s="38">
        <f>G487*AP487</f>
        <v>0</v>
      </c>
      <c r="AY487" s="72" t="s">
        <v>989</v>
      </c>
      <c r="AZ487" s="72" t="s">
        <v>990</v>
      </c>
      <c r="BA487" s="50" t="s">
        <v>139</v>
      </c>
      <c r="BB487" s="73">
        <v>100012</v>
      </c>
      <c r="BC487" s="38">
        <f>AW487+AX487</f>
        <v>0</v>
      </c>
      <c r="BD487" s="38">
        <f>H487/(100-BE487)*100</f>
        <v>0</v>
      </c>
      <c r="BE487" s="38">
        <v>0</v>
      </c>
      <c r="BF487" s="38">
        <f>K487</f>
        <v>0.080388</v>
      </c>
      <c r="BH487" s="38">
        <f>G487*AO487</f>
        <v>0</v>
      </c>
      <c r="BI487" s="38">
        <f>G487*AP487</f>
        <v>0</v>
      </c>
      <c r="BJ487" s="38">
        <f>G487*H487</f>
        <v>0</v>
      </c>
      <c r="BK487" s="38"/>
      <c r="BL487" s="38">
        <v>762</v>
      </c>
      <c r="BW487" s="38">
        <v>21</v>
      </c>
    </row>
    <row r="488" spans="1:12" ht="15">
      <c r="A488" s="74"/>
      <c r="D488" s="75" t="s">
        <v>991</v>
      </c>
      <c r="E488" s="75" t="s">
        <v>992</v>
      </c>
      <c r="G488" s="76">
        <v>30.1</v>
      </c>
      <c r="L488" s="77"/>
    </row>
    <row r="489" spans="1:12" ht="15">
      <c r="A489" s="74"/>
      <c r="D489" s="75" t="s">
        <v>993</v>
      </c>
      <c r="E489" s="75" t="s">
        <v>994</v>
      </c>
      <c r="G489" s="76">
        <v>51.1</v>
      </c>
      <c r="L489" s="77"/>
    </row>
    <row r="490" spans="1:75" ht="13.5" customHeight="1">
      <c r="A490" s="78" t="s">
        <v>995</v>
      </c>
      <c r="B490" s="79" t="s">
        <v>84</v>
      </c>
      <c r="C490" s="79" t="s">
        <v>996</v>
      </c>
      <c r="D490" s="198" t="s">
        <v>997</v>
      </c>
      <c r="E490" s="199"/>
      <c r="F490" s="79" t="s">
        <v>135</v>
      </c>
      <c r="G490" s="80">
        <v>0.88</v>
      </c>
      <c r="H490" s="81">
        <v>0</v>
      </c>
      <c r="I490" s="80">
        <f>G490*H490</f>
        <v>0</v>
      </c>
      <c r="J490" s="80">
        <v>0.55</v>
      </c>
      <c r="K490" s="80">
        <f>G490*J490</f>
        <v>0.48400000000000004</v>
      </c>
      <c r="L490" s="82" t="s">
        <v>136</v>
      </c>
      <c r="Z490" s="38">
        <f>IF(AQ490="5",BJ490,0)</f>
        <v>0</v>
      </c>
      <c r="AB490" s="38">
        <f>IF(AQ490="1",BH490,0)</f>
        <v>0</v>
      </c>
      <c r="AC490" s="38">
        <f>IF(AQ490="1",BI490,0)</f>
        <v>0</v>
      </c>
      <c r="AD490" s="38">
        <f>IF(AQ490="7",BH490,0)</f>
        <v>0</v>
      </c>
      <c r="AE490" s="38">
        <f>IF(AQ490="7",BI490,0)</f>
        <v>0</v>
      </c>
      <c r="AF490" s="38">
        <f>IF(AQ490="2",BH490,0)</f>
        <v>0</v>
      </c>
      <c r="AG490" s="38">
        <f>IF(AQ490="2",BI490,0)</f>
        <v>0</v>
      </c>
      <c r="AH490" s="38">
        <f>IF(AQ490="0",BJ490,0)</f>
        <v>0</v>
      </c>
      <c r="AI490" s="50" t="s">
        <v>84</v>
      </c>
      <c r="AJ490" s="80">
        <f>IF(AN490=0,I490,0)</f>
        <v>0</v>
      </c>
      <c r="AK490" s="80">
        <f>IF(AN490=12,I490,0)</f>
        <v>0</v>
      </c>
      <c r="AL490" s="80">
        <f>IF(AN490=21,I490,0)</f>
        <v>0</v>
      </c>
      <c r="AN490" s="38">
        <v>21</v>
      </c>
      <c r="AO490" s="38">
        <f>H490*1</f>
        <v>0</v>
      </c>
      <c r="AP490" s="38">
        <f>H490*(1-1)</f>
        <v>0</v>
      </c>
      <c r="AQ490" s="83" t="s">
        <v>169</v>
      </c>
      <c r="AV490" s="38">
        <f>AW490+AX490</f>
        <v>0</v>
      </c>
      <c r="AW490" s="38">
        <f>G490*AO490</f>
        <v>0</v>
      </c>
      <c r="AX490" s="38">
        <f>G490*AP490</f>
        <v>0</v>
      </c>
      <c r="AY490" s="72" t="s">
        <v>989</v>
      </c>
      <c r="AZ490" s="72" t="s">
        <v>990</v>
      </c>
      <c r="BA490" s="50" t="s">
        <v>139</v>
      </c>
      <c r="BC490" s="38">
        <f>AW490+AX490</f>
        <v>0</v>
      </c>
      <c r="BD490" s="38">
        <f>H490/(100-BE490)*100</f>
        <v>0</v>
      </c>
      <c r="BE490" s="38">
        <v>0</v>
      </c>
      <c r="BF490" s="38">
        <f>K490</f>
        <v>0.48400000000000004</v>
      </c>
      <c r="BH490" s="80">
        <f>G490*AO490</f>
        <v>0</v>
      </c>
      <c r="BI490" s="80">
        <f>G490*AP490</f>
        <v>0</v>
      </c>
      <c r="BJ490" s="80">
        <f>G490*H490</f>
        <v>0</v>
      </c>
      <c r="BK490" s="80"/>
      <c r="BL490" s="38">
        <v>762</v>
      </c>
      <c r="BW490" s="38">
        <v>21</v>
      </c>
    </row>
    <row r="491" spans="1:12" ht="15">
      <c r="A491" s="74"/>
      <c r="D491" s="75" t="s">
        <v>998</v>
      </c>
      <c r="E491" s="75" t="s">
        <v>4</v>
      </c>
      <c r="G491" s="76">
        <v>0.8</v>
      </c>
      <c r="L491" s="77"/>
    </row>
    <row r="492" spans="1:12" ht="15">
      <c r="A492" s="74"/>
      <c r="D492" s="75" t="s">
        <v>999</v>
      </c>
      <c r="E492" s="75" t="s">
        <v>4</v>
      </c>
      <c r="G492" s="76">
        <v>0.08</v>
      </c>
      <c r="L492" s="77"/>
    </row>
    <row r="493" spans="1:75" ht="13.5" customHeight="1">
      <c r="A493" s="1" t="s">
        <v>1000</v>
      </c>
      <c r="B493" s="2" t="s">
        <v>84</v>
      </c>
      <c r="C493" s="2" t="s">
        <v>1001</v>
      </c>
      <c r="D493" s="108" t="s">
        <v>1002</v>
      </c>
      <c r="E493" s="103"/>
      <c r="F493" s="2" t="s">
        <v>263</v>
      </c>
      <c r="G493" s="38">
        <v>26.1</v>
      </c>
      <c r="H493" s="70">
        <v>0</v>
      </c>
      <c r="I493" s="38">
        <f>G493*H493</f>
        <v>0</v>
      </c>
      <c r="J493" s="38">
        <v>0.01452</v>
      </c>
      <c r="K493" s="38">
        <f>G493*J493</f>
        <v>0.37897200000000003</v>
      </c>
      <c r="L493" s="71" t="s">
        <v>136</v>
      </c>
      <c r="Z493" s="38">
        <f>IF(AQ493="5",BJ493,0)</f>
        <v>0</v>
      </c>
      <c r="AB493" s="38">
        <f>IF(AQ493="1",BH493,0)</f>
        <v>0</v>
      </c>
      <c r="AC493" s="38">
        <f>IF(AQ493="1",BI493,0)</f>
        <v>0</v>
      </c>
      <c r="AD493" s="38">
        <f>IF(AQ493="7",BH493,0)</f>
        <v>0</v>
      </c>
      <c r="AE493" s="38">
        <f>IF(AQ493="7",BI493,0)</f>
        <v>0</v>
      </c>
      <c r="AF493" s="38">
        <f>IF(AQ493="2",BH493,0)</f>
        <v>0</v>
      </c>
      <c r="AG493" s="38">
        <f>IF(AQ493="2",BI493,0)</f>
        <v>0</v>
      </c>
      <c r="AH493" s="38">
        <f>IF(AQ493="0",BJ493,0)</f>
        <v>0</v>
      </c>
      <c r="AI493" s="50" t="s">
        <v>84</v>
      </c>
      <c r="AJ493" s="38">
        <f>IF(AN493=0,I493,0)</f>
        <v>0</v>
      </c>
      <c r="AK493" s="38">
        <f>IF(AN493=12,I493,0)</f>
        <v>0</v>
      </c>
      <c r="AL493" s="38">
        <f>IF(AN493=21,I493,0)</f>
        <v>0</v>
      </c>
      <c r="AN493" s="38">
        <v>21</v>
      </c>
      <c r="AO493" s="38">
        <f>H493*0.5754086</f>
        <v>0</v>
      </c>
      <c r="AP493" s="38">
        <f>H493*(1-0.5754086)</f>
        <v>0</v>
      </c>
      <c r="AQ493" s="72" t="s">
        <v>169</v>
      </c>
      <c r="AV493" s="38">
        <f>AW493+AX493</f>
        <v>0</v>
      </c>
      <c r="AW493" s="38">
        <f>G493*AO493</f>
        <v>0</v>
      </c>
      <c r="AX493" s="38">
        <f>G493*AP493</f>
        <v>0</v>
      </c>
      <c r="AY493" s="72" t="s">
        <v>989</v>
      </c>
      <c r="AZ493" s="72" t="s">
        <v>990</v>
      </c>
      <c r="BA493" s="50" t="s">
        <v>139</v>
      </c>
      <c r="BB493" s="73">
        <v>100012</v>
      </c>
      <c r="BC493" s="38">
        <f>AW493+AX493</f>
        <v>0</v>
      </c>
      <c r="BD493" s="38">
        <f>H493/(100-BE493)*100</f>
        <v>0</v>
      </c>
      <c r="BE493" s="38">
        <v>0</v>
      </c>
      <c r="BF493" s="38">
        <f>K493</f>
        <v>0.37897200000000003</v>
      </c>
      <c r="BH493" s="38">
        <f>G493*AO493</f>
        <v>0</v>
      </c>
      <c r="BI493" s="38">
        <f>G493*AP493</f>
        <v>0</v>
      </c>
      <c r="BJ493" s="38">
        <f>G493*H493</f>
        <v>0</v>
      </c>
      <c r="BK493" s="38"/>
      <c r="BL493" s="38">
        <v>762</v>
      </c>
      <c r="BW493" s="38">
        <v>21</v>
      </c>
    </row>
    <row r="494" spans="1:12" ht="13.5" customHeight="1">
      <c r="A494" s="74"/>
      <c r="D494" s="194" t="s">
        <v>1003</v>
      </c>
      <c r="E494" s="195"/>
      <c r="F494" s="195"/>
      <c r="G494" s="195"/>
      <c r="H494" s="196"/>
      <c r="I494" s="195"/>
      <c r="J494" s="195"/>
      <c r="K494" s="195"/>
      <c r="L494" s="197"/>
    </row>
    <row r="495" spans="1:12" ht="15">
      <c r="A495" s="74"/>
      <c r="D495" s="75" t="s">
        <v>877</v>
      </c>
      <c r="E495" s="75" t="s">
        <v>266</v>
      </c>
      <c r="G495" s="76">
        <v>26.1</v>
      </c>
      <c r="L495" s="77"/>
    </row>
    <row r="496" spans="1:75" ht="13.5" customHeight="1">
      <c r="A496" s="1" t="s">
        <v>1004</v>
      </c>
      <c r="B496" s="2" t="s">
        <v>84</v>
      </c>
      <c r="C496" s="2" t="s">
        <v>1005</v>
      </c>
      <c r="D496" s="108" t="s">
        <v>1006</v>
      </c>
      <c r="E496" s="103"/>
      <c r="F496" s="2" t="s">
        <v>135</v>
      </c>
      <c r="G496" s="38">
        <v>1.45</v>
      </c>
      <c r="H496" s="70">
        <v>0</v>
      </c>
      <c r="I496" s="38">
        <f>G496*H496</f>
        <v>0</v>
      </c>
      <c r="J496" s="38">
        <v>0.02357</v>
      </c>
      <c r="K496" s="38">
        <f>G496*J496</f>
        <v>0.0341765</v>
      </c>
      <c r="L496" s="71" t="s">
        <v>136</v>
      </c>
      <c r="Z496" s="38">
        <f>IF(AQ496="5",BJ496,0)</f>
        <v>0</v>
      </c>
      <c r="AB496" s="38">
        <f>IF(AQ496="1",BH496,0)</f>
        <v>0</v>
      </c>
      <c r="AC496" s="38">
        <f>IF(AQ496="1",BI496,0)</f>
        <v>0</v>
      </c>
      <c r="AD496" s="38">
        <f>IF(AQ496="7",BH496,0)</f>
        <v>0</v>
      </c>
      <c r="AE496" s="38">
        <f>IF(AQ496="7",BI496,0)</f>
        <v>0</v>
      </c>
      <c r="AF496" s="38">
        <f>IF(AQ496="2",BH496,0)</f>
        <v>0</v>
      </c>
      <c r="AG496" s="38">
        <f>IF(AQ496="2",BI496,0)</f>
        <v>0</v>
      </c>
      <c r="AH496" s="38">
        <f>IF(AQ496="0",BJ496,0)</f>
        <v>0</v>
      </c>
      <c r="AI496" s="50" t="s">
        <v>84</v>
      </c>
      <c r="AJ496" s="38">
        <f>IF(AN496=0,I496,0)</f>
        <v>0</v>
      </c>
      <c r="AK496" s="38">
        <f>IF(AN496=12,I496,0)</f>
        <v>0</v>
      </c>
      <c r="AL496" s="38">
        <f>IF(AN496=21,I496,0)</f>
        <v>0</v>
      </c>
      <c r="AN496" s="38">
        <v>21</v>
      </c>
      <c r="AO496" s="38">
        <f>H496*0.999876674</f>
        <v>0</v>
      </c>
      <c r="AP496" s="38">
        <f>H496*(1-0.999876674)</f>
        <v>0</v>
      </c>
      <c r="AQ496" s="72" t="s">
        <v>169</v>
      </c>
      <c r="AV496" s="38">
        <f>AW496+AX496</f>
        <v>0</v>
      </c>
      <c r="AW496" s="38">
        <f>G496*AO496</f>
        <v>0</v>
      </c>
      <c r="AX496" s="38">
        <f>G496*AP496</f>
        <v>0</v>
      </c>
      <c r="AY496" s="72" t="s">
        <v>989</v>
      </c>
      <c r="AZ496" s="72" t="s">
        <v>990</v>
      </c>
      <c r="BA496" s="50" t="s">
        <v>139</v>
      </c>
      <c r="BB496" s="73">
        <v>100012</v>
      </c>
      <c r="BC496" s="38">
        <f>AW496+AX496</f>
        <v>0</v>
      </c>
      <c r="BD496" s="38">
        <f>H496/(100-BE496)*100</f>
        <v>0</v>
      </c>
      <c r="BE496" s="38">
        <v>0</v>
      </c>
      <c r="BF496" s="38">
        <f>K496</f>
        <v>0.0341765</v>
      </c>
      <c r="BH496" s="38">
        <f>G496*AO496</f>
        <v>0</v>
      </c>
      <c r="BI496" s="38">
        <f>G496*AP496</f>
        <v>0</v>
      </c>
      <c r="BJ496" s="38">
        <f>G496*H496</f>
        <v>0</v>
      </c>
      <c r="BK496" s="38"/>
      <c r="BL496" s="38">
        <v>762</v>
      </c>
      <c r="BW496" s="38">
        <v>21</v>
      </c>
    </row>
    <row r="497" spans="1:12" ht="15">
      <c r="A497" s="74"/>
      <c r="D497" s="75" t="s">
        <v>998</v>
      </c>
      <c r="E497" s="75" t="s">
        <v>1007</v>
      </c>
      <c r="G497" s="76">
        <v>0.8</v>
      </c>
      <c r="L497" s="77"/>
    </row>
    <row r="498" spans="1:12" ht="15">
      <c r="A498" s="74"/>
      <c r="D498" s="75" t="s">
        <v>1008</v>
      </c>
      <c r="E498" s="75" t="s">
        <v>1009</v>
      </c>
      <c r="G498" s="76">
        <v>0.65</v>
      </c>
      <c r="L498" s="77"/>
    </row>
    <row r="499" spans="1:75" ht="13.5" customHeight="1">
      <c r="A499" s="1" t="s">
        <v>1010</v>
      </c>
      <c r="B499" s="2" t="s">
        <v>84</v>
      </c>
      <c r="C499" s="2" t="s">
        <v>1011</v>
      </c>
      <c r="D499" s="108" t="s">
        <v>1012</v>
      </c>
      <c r="E499" s="103"/>
      <c r="F499" s="2" t="s">
        <v>189</v>
      </c>
      <c r="G499" s="38">
        <v>0.98</v>
      </c>
      <c r="H499" s="70">
        <v>0</v>
      </c>
      <c r="I499" s="38">
        <f>G499*H499</f>
        <v>0</v>
      </c>
      <c r="J499" s="38">
        <v>0</v>
      </c>
      <c r="K499" s="38">
        <f>G499*J499</f>
        <v>0</v>
      </c>
      <c r="L499" s="71" t="s">
        <v>136</v>
      </c>
      <c r="Z499" s="38">
        <f>IF(AQ499="5",BJ499,0)</f>
        <v>0</v>
      </c>
      <c r="AB499" s="38">
        <f>IF(AQ499="1",BH499,0)</f>
        <v>0</v>
      </c>
      <c r="AC499" s="38">
        <f>IF(AQ499="1",BI499,0)</f>
        <v>0</v>
      </c>
      <c r="AD499" s="38">
        <f>IF(AQ499="7",BH499,0)</f>
        <v>0</v>
      </c>
      <c r="AE499" s="38">
        <f>IF(AQ499="7",BI499,0)</f>
        <v>0</v>
      </c>
      <c r="AF499" s="38">
        <f>IF(AQ499="2",BH499,0)</f>
        <v>0</v>
      </c>
      <c r="AG499" s="38">
        <f>IF(AQ499="2",BI499,0)</f>
        <v>0</v>
      </c>
      <c r="AH499" s="38">
        <f>IF(AQ499="0",BJ499,0)</f>
        <v>0</v>
      </c>
      <c r="AI499" s="50" t="s">
        <v>84</v>
      </c>
      <c r="AJ499" s="38">
        <f>IF(AN499=0,I499,0)</f>
        <v>0</v>
      </c>
      <c r="AK499" s="38">
        <f>IF(AN499=12,I499,0)</f>
        <v>0</v>
      </c>
      <c r="AL499" s="38">
        <f>IF(AN499=21,I499,0)</f>
        <v>0</v>
      </c>
      <c r="AN499" s="38">
        <v>21</v>
      </c>
      <c r="AO499" s="38">
        <f>H499*0</f>
        <v>0</v>
      </c>
      <c r="AP499" s="38">
        <f>H499*(1-0)</f>
        <v>0</v>
      </c>
      <c r="AQ499" s="72" t="s">
        <v>162</v>
      </c>
      <c r="AV499" s="38">
        <f>AW499+AX499</f>
        <v>0</v>
      </c>
      <c r="AW499" s="38">
        <f>G499*AO499</f>
        <v>0</v>
      </c>
      <c r="AX499" s="38">
        <f>G499*AP499</f>
        <v>0</v>
      </c>
      <c r="AY499" s="72" t="s">
        <v>989</v>
      </c>
      <c r="AZ499" s="72" t="s">
        <v>990</v>
      </c>
      <c r="BA499" s="50" t="s">
        <v>139</v>
      </c>
      <c r="BC499" s="38">
        <f>AW499+AX499</f>
        <v>0</v>
      </c>
      <c r="BD499" s="38">
        <f>H499/(100-BE499)*100</f>
        <v>0</v>
      </c>
      <c r="BE499" s="38">
        <v>0</v>
      </c>
      <c r="BF499" s="38">
        <f>K499</f>
        <v>0</v>
      </c>
      <c r="BH499" s="38">
        <f>G499*AO499</f>
        <v>0</v>
      </c>
      <c r="BI499" s="38">
        <f>G499*AP499</f>
        <v>0</v>
      </c>
      <c r="BJ499" s="38">
        <f>G499*H499</f>
        <v>0</v>
      </c>
      <c r="BK499" s="38"/>
      <c r="BL499" s="38">
        <v>762</v>
      </c>
      <c r="BW499" s="38">
        <v>21</v>
      </c>
    </row>
    <row r="500" spans="1:12" ht="15">
      <c r="A500" s="74"/>
      <c r="D500" s="75" t="s">
        <v>1013</v>
      </c>
      <c r="E500" s="75" t="s">
        <v>4</v>
      </c>
      <c r="G500" s="76">
        <v>0.98</v>
      </c>
      <c r="L500" s="77"/>
    </row>
    <row r="501" spans="1:47" ht="15">
      <c r="A501" s="65" t="s">
        <v>4</v>
      </c>
      <c r="B501" s="66" t="s">
        <v>84</v>
      </c>
      <c r="C501" s="66" t="s">
        <v>1014</v>
      </c>
      <c r="D501" s="192" t="s">
        <v>1015</v>
      </c>
      <c r="E501" s="193"/>
      <c r="F501" s="67" t="s">
        <v>78</v>
      </c>
      <c r="G501" s="67" t="s">
        <v>78</v>
      </c>
      <c r="H501" s="68" t="s">
        <v>78</v>
      </c>
      <c r="I501" s="44">
        <f>SUM(I502:I541)</f>
        <v>0</v>
      </c>
      <c r="J501" s="50" t="s">
        <v>4</v>
      </c>
      <c r="K501" s="44">
        <f>SUM(K502:K541)</f>
        <v>0.123746</v>
      </c>
      <c r="L501" s="69" t="s">
        <v>4</v>
      </c>
      <c r="AI501" s="50" t="s">
        <v>84</v>
      </c>
      <c r="AS501" s="44">
        <f>SUM(AJ502:AJ541)</f>
        <v>0</v>
      </c>
      <c r="AT501" s="44">
        <f>SUM(AK502:AK541)</f>
        <v>0</v>
      </c>
      <c r="AU501" s="44">
        <f>SUM(AL502:AL541)</f>
        <v>0</v>
      </c>
    </row>
    <row r="502" spans="1:75" ht="13.5" customHeight="1">
      <c r="A502" s="1" t="s">
        <v>1016</v>
      </c>
      <c r="B502" s="2" t="s">
        <v>84</v>
      </c>
      <c r="C502" s="2" t="s">
        <v>1017</v>
      </c>
      <c r="D502" s="108" t="s">
        <v>1018</v>
      </c>
      <c r="E502" s="103"/>
      <c r="F502" s="2" t="s">
        <v>263</v>
      </c>
      <c r="G502" s="38">
        <v>28.15</v>
      </c>
      <c r="H502" s="70">
        <v>0</v>
      </c>
      <c r="I502" s="38">
        <f>G502*H502</f>
        <v>0</v>
      </c>
      <c r="J502" s="38">
        <v>0.00225</v>
      </c>
      <c r="K502" s="38">
        <f>G502*J502</f>
        <v>0.06333749999999999</v>
      </c>
      <c r="L502" s="71" t="s">
        <v>136</v>
      </c>
      <c r="Z502" s="38">
        <f>IF(AQ502="5",BJ502,0)</f>
        <v>0</v>
      </c>
      <c r="AB502" s="38">
        <f>IF(AQ502="1",BH502,0)</f>
        <v>0</v>
      </c>
      <c r="AC502" s="38">
        <f>IF(AQ502="1",BI502,0)</f>
        <v>0</v>
      </c>
      <c r="AD502" s="38">
        <f>IF(AQ502="7",BH502,0)</f>
        <v>0</v>
      </c>
      <c r="AE502" s="38">
        <f>IF(AQ502="7",BI502,0)</f>
        <v>0</v>
      </c>
      <c r="AF502" s="38">
        <f>IF(AQ502="2",BH502,0)</f>
        <v>0</v>
      </c>
      <c r="AG502" s="38">
        <f>IF(AQ502="2",BI502,0)</f>
        <v>0</v>
      </c>
      <c r="AH502" s="38">
        <f>IF(AQ502="0",BJ502,0)</f>
        <v>0</v>
      </c>
      <c r="AI502" s="50" t="s">
        <v>84</v>
      </c>
      <c r="AJ502" s="38">
        <f>IF(AN502=0,I502,0)</f>
        <v>0</v>
      </c>
      <c r="AK502" s="38">
        <f>IF(AN502=12,I502,0)</f>
        <v>0</v>
      </c>
      <c r="AL502" s="38">
        <f>IF(AN502=21,I502,0)</f>
        <v>0</v>
      </c>
      <c r="AN502" s="38">
        <v>21</v>
      </c>
      <c r="AO502" s="38">
        <f>H502*0.465606365</f>
        <v>0</v>
      </c>
      <c r="AP502" s="38">
        <f>H502*(1-0.465606365)</f>
        <v>0</v>
      </c>
      <c r="AQ502" s="72" t="s">
        <v>169</v>
      </c>
      <c r="AV502" s="38">
        <f>AW502+AX502</f>
        <v>0</v>
      </c>
      <c r="AW502" s="38">
        <f>G502*AO502</f>
        <v>0</v>
      </c>
      <c r="AX502" s="38">
        <f>G502*AP502</f>
        <v>0</v>
      </c>
      <c r="AY502" s="72" t="s">
        <v>1019</v>
      </c>
      <c r="AZ502" s="72" t="s">
        <v>990</v>
      </c>
      <c r="BA502" s="50" t="s">
        <v>139</v>
      </c>
      <c r="BB502" s="73">
        <v>100035</v>
      </c>
      <c r="BC502" s="38">
        <f>AW502+AX502</f>
        <v>0</v>
      </c>
      <c r="BD502" s="38">
        <f>H502/(100-BE502)*100</f>
        <v>0</v>
      </c>
      <c r="BE502" s="38">
        <v>0</v>
      </c>
      <c r="BF502" s="38">
        <f>K502</f>
        <v>0.06333749999999999</v>
      </c>
      <c r="BH502" s="38">
        <f>G502*AO502</f>
        <v>0</v>
      </c>
      <c r="BI502" s="38">
        <f>G502*AP502</f>
        <v>0</v>
      </c>
      <c r="BJ502" s="38">
        <f>G502*H502</f>
        <v>0</v>
      </c>
      <c r="BK502" s="38"/>
      <c r="BL502" s="38">
        <v>764</v>
      </c>
      <c r="BW502" s="38">
        <v>21</v>
      </c>
    </row>
    <row r="503" spans="1:12" ht="15">
      <c r="A503" s="74"/>
      <c r="D503" s="75" t="s">
        <v>877</v>
      </c>
      <c r="E503" s="75" t="s">
        <v>1020</v>
      </c>
      <c r="G503" s="76">
        <v>26.1</v>
      </c>
      <c r="L503" s="77"/>
    </row>
    <row r="504" spans="1:12" ht="15">
      <c r="A504" s="74"/>
      <c r="D504" s="75" t="s">
        <v>879</v>
      </c>
      <c r="E504" s="75" t="s">
        <v>1021</v>
      </c>
      <c r="G504" s="76">
        <v>2.05</v>
      </c>
      <c r="L504" s="77"/>
    </row>
    <row r="505" spans="1:75" ht="13.5" customHeight="1">
      <c r="A505" s="1" t="s">
        <v>1022</v>
      </c>
      <c r="B505" s="2" t="s">
        <v>84</v>
      </c>
      <c r="C505" s="2" t="s">
        <v>1023</v>
      </c>
      <c r="D505" s="108" t="s">
        <v>1024</v>
      </c>
      <c r="E505" s="103"/>
      <c r="F505" s="2" t="s">
        <v>214</v>
      </c>
      <c r="G505" s="38">
        <v>2.3</v>
      </c>
      <c r="H505" s="70">
        <v>0</v>
      </c>
      <c r="I505" s="38">
        <f>G505*H505</f>
        <v>0</v>
      </c>
      <c r="J505" s="38">
        <v>0.00073</v>
      </c>
      <c r="K505" s="38">
        <f>G505*J505</f>
        <v>0.0016789999999999997</v>
      </c>
      <c r="L505" s="71" t="s">
        <v>136</v>
      </c>
      <c r="Z505" s="38">
        <f>IF(AQ505="5",BJ505,0)</f>
        <v>0</v>
      </c>
      <c r="AB505" s="38">
        <f>IF(AQ505="1",BH505,0)</f>
        <v>0</v>
      </c>
      <c r="AC505" s="38">
        <f>IF(AQ505="1",BI505,0)</f>
        <v>0</v>
      </c>
      <c r="AD505" s="38">
        <f>IF(AQ505="7",BH505,0)</f>
        <v>0</v>
      </c>
      <c r="AE505" s="38">
        <f>IF(AQ505="7",BI505,0)</f>
        <v>0</v>
      </c>
      <c r="AF505" s="38">
        <f>IF(AQ505="2",BH505,0)</f>
        <v>0</v>
      </c>
      <c r="AG505" s="38">
        <f>IF(AQ505="2",BI505,0)</f>
        <v>0</v>
      </c>
      <c r="AH505" s="38">
        <f>IF(AQ505="0",BJ505,0)</f>
        <v>0</v>
      </c>
      <c r="AI505" s="50" t="s">
        <v>84</v>
      </c>
      <c r="AJ505" s="38">
        <f>IF(AN505=0,I505,0)</f>
        <v>0</v>
      </c>
      <c r="AK505" s="38">
        <f>IF(AN505=12,I505,0)</f>
        <v>0</v>
      </c>
      <c r="AL505" s="38">
        <f>IF(AN505=21,I505,0)</f>
        <v>0</v>
      </c>
      <c r="AN505" s="38">
        <v>21</v>
      </c>
      <c r="AO505" s="38">
        <f>H505*0.638843049</f>
        <v>0</v>
      </c>
      <c r="AP505" s="38">
        <f>H505*(1-0.638843049)</f>
        <v>0</v>
      </c>
      <c r="AQ505" s="72" t="s">
        <v>169</v>
      </c>
      <c r="AV505" s="38">
        <f>AW505+AX505</f>
        <v>0</v>
      </c>
      <c r="AW505" s="38">
        <f>G505*AO505</f>
        <v>0</v>
      </c>
      <c r="AX505" s="38">
        <f>G505*AP505</f>
        <v>0</v>
      </c>
      <c r="AY505" s="72" t="s">
        <v>1019</v>
      </c>
      <c r="AZ505" s="72" t="s">
        <v>990</v>
      </c>
      <c r="BA505" s="50" t="s">
        <v>139</v>
      </c>
      <c r="BB505" s="73">
        <v>100035</v>
      </c>
      <c r="BC505" s="38">
        <f>AW505+AX505</f>
        <v>0</v>
      </c>
      <c r="BD505" s="38">
        <f>H505/(100-BE505)*100</f>
        <v>0</v>
      </c>
      <c r="BE505" s="38">
        <v>0</v>
      </c>
      <c r="BF505" s="38">
        <f>K505</f>
        <v>0.0016789999999999997</v>
      </c>
      <c r="BH505" s="38">
        <f>G505*AO505</f>
        <v>0</v>
      </c>
      <c r="BI505" s="38">
        <f>G505*AP505</f>
        <v>0</v>
      </c>
      <c r="BJ505" s="38">
        <f>G505*H505</f>
        <v>0</v>
      </c>
      <c r="BK505" s="38"/>
      <c r="BL505" s="38">
        <v>764</v>
      </c>
      <c r="BW505" s="38">
        <v>21</v>
      </c>
    </row>
    <row r="506" spans="1:12" ht="13.5" customHeight="1">
      <c r="A506" s="74"/>
      <c r="D506" s="194" t="s">
        <v>1025</v>
      </c>
      <c r="E506" s="195"/>
      <c r="F506" s="195"/>
      <c r="G506" s="195"/>
      <c r="H506" s="196"/>
      <c r="I506" s="195"/>
      <c r="J506" s="195"/>
      <c r="K506" s="195"/>
      <c r="L506" s="197"/>
    </row>
    <row r="507" spans="1:12" ht="15">
      <c r="A507" s="74"/>
      <c r="D507" s="75" t="s">
        <v>1026</v>
      </c>
      <c r="E507" s="75" t="s">
        <v>4</v>
      </c>
      <c r="G507" s="76">
        <v>2.3</v>
      </c>
      <c r="L507" s="77"/>
    </row>
    <row r="508" spans="1:75" ht="27" customHeight="1">
      <c r="A508" s="1" t="s">
        <v>1027</v>
      </c>
      <c r="B508" s="2" t="s">
        <v>84</v>
      </c>
      <c r="C508" s="2" t="s">
        <v>1028</v>
      </c>
      <c r="D508" s="108" t="s">
        <v>1029</v>
      </c>
      <c r="E508" s="103"/>
      <c r="F508" s="2" t="s">
        <v>214</v>
      </c>
      <c r="G508" s="38">
        <v>15.1</v>
      </c>
      <c r="H508" s="70">
        <v>0</v>
      </c>
      <c r="I508" s="38">
        <f>G508*H508</f>
        <v>0</v>
      </c>
      <c r="J508" s="38">
        <v>0.00088</v>
      </c>
      <c r="K508" s="38">
        <f>G508*J508</f>
        <v>0.013288</v>
      </c>
      <c r="L508" s="71" t="s">
        <v>1030</v>
      </c>
      <c r="Z508" s="38">
        <f>IF(AQ508="5",BJ508,0)</f>
        <v>0</v>
      </c>
      <c r="AB508" s="38">
        <f>IF(AQ508="1",BH508,0)</f>
        <v>0</v>
      </c>
      <c r="AC508" s="38">
        <f>IF(AQ508="1",BI508,0)</f>
        <v>0</v>
      </c>
      <c r="AD508" s="38">
        <f>IF(AQ508="7",BH508,0)</f>
        <v>0</v>
      </c>
      <c r="AE508" s="38">
        <f>IF(AQ508="7",BI508,0)</f>
        <v>0</v>
      </c>
      <c r="AF508" s="38">
        <f>IF(AQ508="2",BH508,0)</f>
        <v>0</v>
      </c>
      <c r="AG508" s="38">
        <f>IF(AQ508="2",BI508,0)</f>
        <v>0</v>
      </c>
      <c r="AH508" s="38">
        <f>IF(AQ508="0",BJ508,0)</f>
        <v>0</v>
      </c>
      <c r="AI508" s="50" t="s">
        <v>84</v>
      </c>
      <c r="AJ508" s="38">
        <f>IF(AN508=0,I508,0)</f>
        <v>0</v>
      </c>
      <c r="AK508" s="38">
        <f>IF(AN508=12,I508,0)</f>
        <v>0</v>
      </c>
      <c r="AL508" s="38">
        <f>IF(AN508=21,I508,0)</f>
        <v>0</v>
      </c>
      <c r="AN508" s="38">
        <v>21</v>
      </c>
      <c r="AO508" s="38">
        <f>H508*0.6191</f>
        <v>0</v>
      </c>
      <c r="AP508" s="38">
        <f>H508*(1-0.6191)</f>
        <v>0</v>
      </c>
      <c r="AQ508" s="72" t="s">
        <v>169</v>
      </c>
      <c r="AV508" s="38">
        <f>AW508+AX508</f>
        <v>0</v>
      </c>
      <c r="AW508" s="38">
        <f>G508*AO508</f>
        <v>0</v>
      </c>
      <c r="AX508" s="38">
        <f>G508*AP508</f>
        <v>0</v>
      </c>
      <c r="AY508" s="72" t="s">
        <v>1019</v>
      </c>
      <c r="AZ508" s="72" t="s">
        <v>990</v>
      </c>
      <c r="BA508" s="50" t="s">
        <v>139</v>
      </c>
      <c r="BB508" s="73">
        <v>100035</v>
      </c>
      <c r="BC508" s="38">
        <f>AW508+AX508</f>
        <v>0</v>
      </c>
      <c r="BD508" s="38">
        <f>H508/(100-BE508)*100</f>
        <v>0</v>
      </c>
      <c r="BE508" s="38">
        <v>0</v>
      </c>
      <c r="BF508" s="38">
        <f>K508</f>
        <v>0.013288</v>
      </c>
      <c r="BH508" s="38">
        <f>G508*AO508</f>
        <v>0</v>
      </c>
      <c r="BI508" s="38">
        <f>G508*AP508</f>
        <v>0</v>
      </c>
      <c r="BJ508" s="38">
        <f>G508*H508</f>
        <v>0</v>
      </c>
      <c r="BK508" s="38"/>
      <c r="BL508" s="38">
        <v>764</v>
      </c>
      <c r="BW508" s="38">
        <v>21</v>
      </c>
    </row>
    <row r="509" spans="1:12" ht="13.5" customHeight="1">
      <c r="A509" s="74"/>
      <c r="D509" s="194" t="s">
        <v>1031</v>
      </c>
      <c r="E509" s="195"/>
      <c r="F509" s="195"/>
      <c r="G509" s="195"/>
      <c r="H509" s="196"/>
      <c r="I509" s="195"/>
      <c r="J509" s="195"/>
      <c r="K509" s="195"/>
      <c r="L509" s="197"/>
    </row>
    <row r="510" spans="1:12" ht="15">
      <c r="A510" s="74"/>
      <c r="D510" s="75" t="s">
        <v>1032</v>
      </c>
      <c r="E510" s="75" t="s">
        <v>4</v>
      </c>
      <c r="G510" s="76">
        <v>15.1</v>
      </c>
      <c r="L510" s="77"/>
    </row>
    <row r="511" spans="1:75" ht="13.5" customHeight="1">
      <c r="A511" s="1" t="s">
        <v>1033</v>
      </c>
      <c r="B511" s="2" t="s">
        <v>84</v>
      </c>
      <c r="C511" s="2" t="s">
        <v>1034</v>
      </c>
      <c r="D511" s="108" t="s">
        <v>1035</v>
      </c>
      <c r="E511" s="103"/>
      <c r="F511" s="2" t="s">
        <v>214</v>
      </c>
      <c r="G511" s="38">
        <v>17.4</v>
      </c>
      <c r="H511" s="70">
        <v>0</v>
      </c>
      <c r="I511" s="38">
        <f>G511*H511</f>
        <v>0</v>
      </c>
      <c r="J511" s="38">
        <v>0.00043</v>
      </c>
      <c r="K511" s="38">
        <f>G511*J511</f>
        <v>0.007481999999999999</v>
      </c>
      <c r="L511" s="71" t="s">
        <v>1030</v>
      </c>
      <c r="Z511" s="38">
        <f>IF(AQ511="5",BJ511,0)</f>
        <v>0</v>
      </c>
      <c r="AB511" s="38">
        <f>IF(AQ511="1",BH511,0)</f>
        <v>0</v>
      </c>
      <c r="AC511" s="38">
        <f>IF(AQ511="1",BI511,0)</f>
        <v>0</v>
      </c>
      <c r="AD511" s="38">
        <f>IF(AQ511="7",BH511,0)</f>
        <v>0</v>
      </c>
      <c r="AE511" s="38">
        <f>IF(AQ511="7",BI511,0)</f>
        <v>0</v>
      </c>
      <c r="AF511" s="38">
        <f>IF(AQ511="2",BH511,0)</f>
        <v>0</v>
      </c>
      <c r="AG511" s="38">
        <f>IF(AQ511="2",BI511,0)</f>
        <v>0</v>
      </c>
      <c r="AH511" s="38">
        <f>IF(AQ511="0",BJ511,0)</f>
        <v>0</v>
      </c>
      <c r="AI511" s="50" t="s">
        <v>84</v>
      </c>
      <c r="AJ511" s="38">
        <f>IF(AN511=0,I511,0)</f>
        <v>0</v>
      </c>
      <c r="AK511" s="38">
        <f>IF(AN511=12,I511,0)</f>
        <v>0</v>
      </c>
      <c r="AL511" s="38">
        <f>IF(AN511=21,I511,0)</f>
        <v>0</v>
      </c>
      <c r="AN511" s="38">
        <v>21</v>
      </c>
      <c r="AO511" s="38">
        <f>H511*0.701535146</f>
        <v>0</v>
      </c>
      <c r="AP511" s="38">
        <f>H511*(1-0.701535146)</f>
        <v>0</v>
      </c>
      <c r="AQ511" s="72" t="s">
        <v>169</v>
      </c>
      <c r="AV511" s="38">
        <f>AW511+AX511</f>
        <v>0</v>
      </c>
      <c r="AW511" s="38">
        <f>G511*AO511</f>
        <v>0</v>
      </c>
      <c r="AX511" s="38">
        <f>G511*AP511</f>
        <v>0</v>
      </c>
      <c r="AY511" s="72" t="s">
        <v>1019</v>
      </c>
      <c r="AZ511" s="72" t="s">
        <v>990</v>
      </c>
      <c r="BA511" s="50" t="s">
        <v>139</v>
      </c>
      <c r="BB511" s="73">
        <v>100035</v>
      </c>
      <c r="BC511" s="38">
        <f>AW511+AX511</f>
        <v>0</v>
      </c>
      <c r="BD511" s="38">
        <f>H511/(100-BE511)*100</f>
        <v>0</v>
      </c>
      <c r="BE511" s="38">
        <v>0</v>
      </c>
      <c r="BF511" s="38">
        <f>K511</f>
        <v>0.007481999999999999</v>
      </c>
      <c r="BH511" s="38">
        <f>G511*AO511</f>
        <v>0</v>
      </c>
      <c r="BI511" s="38">
        <f>G511*AP511</f>
        <v>0</v>
      </c>
      <c r="BJ511" s="38">
        <f>G511*H511</f>
        <v>0</v>
      </c>
      <c r="BK511" s="38"/>
      <c r="BL511" s="38">
        <v>764</v>
      </c>
      <c r="BW511" s="38">
        <v>21</v>
      </c>
    </row>
    <row r="512" spans="1:12" ht="13.5" customHeight="1">
      <c r="A512" s="74"/>
      <c r="D512" s="194" t="s">
        <v>1036</v>
      </c>
      <c r="E512" s="195"/>
      <c r="F512" s="195"/>
      <c r="G512" s="195"/>
      <c r="H512" s="196"/>
      <c r="I512" s="195"/>
      <c r="J512" s="195"/>
      <c r="K512" s="195"/>
      <c r="L512" s="197"/>
    </row>
    <row r="513" spans="1:12" ht="15">
      <c r="A513" s="74"/>
      <c r="D513" s="75" t="s">
        <v>1037</v>
      </c>
      <c r="E513" s="75" t="s">
        <v>4</v>
      </c>
      <c r="G513" s="76">
        <v>17.4</v>
      </c>
      <c r="L513" s="77"/>
    </row>
    <row r="514" spans="1:75" ht="27" customHeight="1">
      <c r="A514" s="1" t="s">
        <v>1038</v>
      </c>
      <c r="B514" s="2" t="s">
        <v>84</v>
      </c>
      <c r="C514" s="2" t="s">
        <v>1039</v>
      </c>
      <c r="D514" s="108" t="s">
        <v>1040</v>
      </c>
      <c r="E514" s="103"/>
      <c r="F514" s="2" t="s">
        <v>214</v>
      </c>
      <c r="G514" s="38">
        <v>1.8</v>
      </c>
      <c r="H514" s="70">
        <v>0</v>
      </c>
      <c r="I514" s="38">
        <f>G514*H514</f>
        <v>0</v>
      </c>
      <c r="J514" s="38">
        <v>0.00021</v>
      </c>
      <c r="K514" s="38">
        <f>G514*J514</f>
        <v>0.000378</v>
      </c>
      <c r="L514" s="71" t="s">
        <v>136</v>
      </c>
      <c r="Z514" s="38">
        <f>IF(AQ514="5",BJ514,0)</f>
        <v>0</v>
      </c>
      <c r="AB514" s="38">
        <f>IF(AQ514="1",BH514,0)</f>
        <v>0</v>
      </c>
      <c r="AC514" s="38">
        <f>IF(AQ514="1",BI514,0)</f>
        <v>0</v>
      </c>
      <c r="AD514" s="38">
        <f>IF(AQ514="7",BH514,0)</f>
        <v>0</v>
      </c>
      <c r="AE514" s="38">
        <f>IF(AQ514="7",BI514,0)</f>
        <v>0</v>
      </c>
      <c r="AF514" s="38">
        <f>IF(AQ514="2",BH514,0)</f>
        <v>0</v>
      </c>
      <c r="AG514" s="38">
        <f>IF(AQ514="2",BI514,0)</f>
        <v>0</v>
      </c>
      <c r="AH514" s="38">
        <f>IF(AQ514="0",BJ514,0)</f>
        <v>0</v>
      </c>
      <c r="AI514" s="50" t="s">
        <v>84</v>
      </c>
      <c r="AJ514" s="38">
        <f>IF(AN514=0,I514,0)</f>
        <v>0</v>
      </c>
      <c r="AK514" s="38">
        <f>IF(AN514=12,I514,0)</f>
        <v>0</v>
      </c>
      <c r="AL514" s="38">
        <f>IF(AN514=21,I514,0)</f>
        <v>0</v>
      </c>
      <c r="AN514" s="38">
        <v>21</v>
      </c>
      <c r="AO514" s="38">
        <f>H514*0.619834711</f>
        <v>0</v>
      </c>
      <c r="AP514" s="38">
        <f>H514*(1-0.619834711)</f>
        <v>0</v>
      </c>
      <c r="AQ514" s="72" t="s">
        <v>169</v>
      </c>
      <c r="AV514" s="38">
        <f>AW514+AX514</f>
        <v>0</v>
      </c>
      <c r="AW514" s="38">
        <f>G514*AO514</f>
        <v>0</v>
      </c>
      <c r="AX514" s="38">
        <f>G514*AP514</f>
        <v>0</v>
      </c>
      <c r="AY514" s="72" t="s">
        <v>1019</v>
      </c>
      <c r="AZ514" s="72" t="s">
        <v>990</v>
      </c>
      <c r="BA514" s="50" t="s">
        <v>139</v>
      </c>
      <c r="BB514" s="73">
        <v>100035</v>
      </c>
      <c r="BC514" s="38">
        <f>AW514+AX514</f>
        <v>0</v>
      </c>
      <c r="BD514" s="38">
        <f>H514/(100-BE514)*100</f>
        <v>0</v>
      </c>
      <c r="BE514" s="38">
        <v>0</v>
      </c>
      <c r="BF514" s="38">
        <f>K514</f>
        <v>0.000378</v>
      </c>
      <c r="BH514" s="38">
        <f>G514*AO514</f>
        <v>0</v>
      </c>
      <c r="BI514" s="38">
        <f>G514*AP514</f>
        <v>0</v>
      </c>
      <c r="BJ514" s="38">
        <f>G514*H514</f>
        <v>0</v>
      </c>
      <c r="BK514" s="38"/>
      <c r="BL514" s="38">
        <v>764</v>
      </c>
      <c r="BW514" s="38">
        <v>21</v>
      </c>
    </row>
    <row r="515" spans="1:12" ht="13.5" customHeight="1">
      <c r="A515" s="74"/>
      <c r="D515" s="194" t="s">
        <v>1041</v>
      </c>
      <c r="E515" s="195"/>
      <c r="F515" s="195"/>
      <c r="G515" s="195"/>
      <c r="H515" s="196"/>
      <c r="I515" s="195"/>
      <c r="J515" s="195"/>
      <c r="K515" s="195"/>
      <c r="L515" s="197"/>
    </row>
    <row r="516" spans="1:12" ht="15">
      <c r="A516" s="74"/>
      <c r="D516" s="75" t="s">
        <v>467</v>
      </c>
      <c r="E516" s="75" t="s">
        <v>4</v>
      </c>
      <c r="G516" s="76">
        <v>1.8</v>
      </c>
      <c r="L516" s="77"/>
    </row>
    <row r="517" spans="1:75" ht="27" customHeight="1">
      <c r="A517" s="1" t="s">
        <v>1042</v>
      </c>
      <c r="B517" s="2" t="s">
        <v>84</v>
      </c>
      <c r="C517" s="2" t="s">
        <v>1043</v>
      </c>
      <c r="D517" s="108" t="s">
        <v>1044</v>
      </c>
      <c r="E517" s="103"/>
      <c r="F517" s="2" t="s">
        <v>214</v>
      </c>
      <c r="G517" s="38">
        <v>11.4</v>
      </c>
      <c r="H517" s="70">
        <v>0</v>
      </c>
      <c r="I517" s="38">
        <f>G517*H517</f>
        <v>0</v>
      </c>
      <c r="J517" s="38">
        <v>0.00059</v>
      </c>
      <c r="K517" s="38">
        <f>G517*J517</f>
        <v>0.006726</v>
      </c>
      <c r="L517" s="71" t="s">
        <v>207</v>
      </c>
      <c r="Z517" s="38">
        <f>IF(AQ517="5",BJ517,0)</f>
        <v>0</v>
      </c>
      <c r="AB517" s="38">
        <f>IF(AQ517="1",BH517,0)</f>
        <v>0</v>
      </c>
      <c r="AC517" s="38">
        <f>IF(AQ517="1",BI517,0)</f>
        <v>0</v>
      </c>
      <c r="AD517" s="38">
        <f>IF(AQ517="7",BH517,0)</f>
        <v>0</v>
      </c>
      <c r="AE517" s="38">
        <f>IF(AQ517="7",BI517,0)</f>
        <v>0</v>
      </c>
      <c r="AF517" s="38">
        <f>IF(AQ517="2",BH517,0)</f>
        <v>0</v>
      </c>
      <c r="AG517" s="38">
        <f>IF(AQ517="2",BI517,0)</f>
        <v>0</v>
      </c>
      <c r="AH517" s="38">
        <f>IF(AQ517="0",BJ517,0)</f>
        <v>0</v>
      </c>
      <c r="AI517" s="50" t="s">
        <v>84</v>
      </c>
      <c r="AJ517" s="38">
        <f>IF(AN517=0,I517,0)</f>
        <v>0</v>
      </c>
      <c r="AK517" s="38">
        <f>IF(AN517=12,I517,0)</f>
        <v>0</v>
      </c>
      <c r="AL517" s="38">
        <f>IF(AN517=21,I517,0)</f>
        <v>0</v>
      </c>
      <c r="AN517" s="38">
        <v>21</v>
      </c>
      <c r="AO517" s="38">
        <f>H517*0.543513772</f>
        <v>0</v>
      </c>
      <c r="AP517" s="38">
        <f>H517*(1-0.543513772)</f>
        <v>0</v>
      </c>
      <c r="AQ517" s="72" t="s">
        <v>169</v>
      </c>
      <c r="AV517" s="38">
        <f>AW517+AX517</f>
        <v>0</v>
      </c>
      <c r="AW517" s="38">
        <f>G517*AO517</f>
        <v>0</v>
      </c>
      <c r="AX517" s="38">
        <f>G517*AP517</f>
        <v>0</v>
      </c>
      <c r="AY517" s="72" t="s">
        <v>1019</v>
      </c>
      <c r="AZ517" s="72" t="s">
        <v>990</v>
      </c>
      <c r="BA517" s="50" t="s">
        <v>139</v>
      </c>
      <c r="BB517" s="73">
        <v>100035</v>
      </c>
      <c r="BC517" s="38">
        <f>AW517+AX517</f>
        <v>0</v>
      </c>
      <c r="BD517" s="38">
        <f>H517/(100-BE517)*100</f>
        <v>0</v>
      </c>
      <c r="BE517" s="38">
        <v>0</v>
      </c>
      <c r="BF517" s="38">
        <f>K517</f>
        <v>0.006726</v>
      </c>
      <c r="BH517" s="38">
        <f>G517*AO517</f>
        <v>0</v>
      </c>
      <c r="BI517" s="38">
        <f>G517*AP517</f>
        <v>0</v>
      </c>
      <c r="BJ517" s="38">
        <f>G517*H517</f>
        <v>0</v>
      </c>
      <c r="BK517" s="38"/>
      <c r="BL517" s="38">
        <v>764</v>
      </c>
      <c r="BW517" s="38">
        <v>21</v>
      </c>
    </row>
    <row r="518" spans="1:12" ht="13.5" customHeight="1">
      <c r="A518" s="74"/>
      <c r="D518" s="194" t="s">
        <v>1045</v>
      </c>
      <c r="E518" s="195"/>
      <c r="F518" s="195"/>
      <c r="G518" s="195"/>
      <c r="H518" s="196"/>
      <c r="I518" s="195"/>
      <c r="J518" s="195"/>
      <c r="K518" s="195"/>
      <c r="L518" s="197"/>
    </row>
    <row r="519" spans="1:12" ht="15">
      <c r="A519" s="74"/>
      <c r="D519" s="75" t="s">
        <v>1046</v>
      </c>
      <c r="E519" s="75" t="s">
        <v>4</v>
      </c>
      <c r="G519" s="76">
        <v>11.4</v>
      </c>
      <c r="L519" s="77"/>
    </row>
    <row r="520" spans="1:75" ht="13.5" customHeight="1">
      <c r="A520" s="1" t="s">
        <v>1047</v>
      </c>
      <c r="B520" s="2" t="s">
        <v>84</v>
      </c>
      <c r="C520" s="2" t="s">
        <v>1048</v>
      </c>
      <c r="D520" s="108" t="s">
        <v>1049</v>
      </c>
      <c r="E520" s="103"/>
      <c r="F520" s="2" t="s">
        <v>214</v>
      </c>
      <c r="G520" s="38">
        <v>2.5</v>
      </c>
      <c r="H520" s="70">
        <v>0</v>
      </c>
      <c r="I520" s="38">
        <f>G520*H520</f>
        <v>0</v>
      </c>
      <c r="J520" s="38">
        <v>0.00226</v>
      </c>
      <c r="K520" s="38">
        <f>G520*J520</f>
        <v>0.00565</v>
      </c>
      <c r="L520" s="71" t="s">
        <v>136</v>
      </c>
      <c r="Z520" s="38">
        <f>IF(AQ520="5",BJ520,0)</f>
        <v>0</v>
      </c>
      <c r="AB520" s="38">
        <f>IF(AQ520="1",BH520,0)</f>
        <v>0</v>
      </c>
      <c r="AC520" s="38">
        <f>IF(AQ520="1",BI520,0)</f>
        <v>0</v>
      </c>
      <c r="AD520" s="38">
        <f>IF(AQ520="7",BH520,0)</f>
        <v>0</v>
      </c>
      <c r="AE520" s="38">
        <f>IF(AQ520="7",BI520,0)</f>
        <v>0</v>
      </c>
      <c r="AF520" s="38">
        <f>IF(AQ520="2",BH520,0)</f>
        <v>0</v>
      </c>
      <c r="AG520" s="38">
        <f>IF(AQ520="2",BI520,0)</f>
        <v>0</v>
      </c>
      <c r="AH520" s="38">
        <f>IF(AQ520="0",BJ520,0)</f>
        <v>0</v>
      </c>
      <c r="AI520" s="50" t="s">
        <v>84</v>
      </c>
      <c r="AJ520" s="38">
        <f>IF(AN520=0,I520,0)</f>
        <v>0</v>
      </c>
      <c r="AK520" s="38">
        <f>IF(AN520=12,I520,0)</f>
        <v>0</v>
      </c>
      <c r="AL520" s="38">
        <f>IF(AN520=21,I520,0)</f>
        <v>0</v>
      </c>
      <c r="AN520" s="38">
        <v>21</v>
      </c>
      <c r="AO520" s="38">
        <f>H520*0.81356453</f>
        <v>0</v>
      </c>
      <c r="AP520" s="38">
        <f>H520*(1-0.81356453)</f>
        <v>0</v>
      </c>
      <c r="AQ520" s="72" t="s">
        <v>169</v>
      </c>
      <c r="AV520" s="38">
        <f>AW520+AX520</f>
        <v>0</v>
      </c>
      <c r="AW520" s="38">
        <f>G520*AO520</f>
        <v>0</v>
      </c>
      <c r="AX520" s="38">
        <f>G520*AP520</f>
        <v>0</v>
      </c>
      <c r="AY520" s="72" t="s">
        <v>1019</v>
      </c>
      <c r="AZ520" s="72" t="s">
        <v>990</v>
      </c>
      <c r="BA520" s="50" t="s">
        <v>139</v>
      </c>
      <c r="BB520" s="73">
        <v>100035</v>
      </c>
      <c r="BC520" s="38">
        <f>AW520+AX520</f>
        <v>0</v>
      </c>
      <c r="BD520" s="38">
        <f>H520/(100-BE520)*100</f>
        <v>0</v>
      </c>
      <c r="BE520" s="38">
        <v>0</v>
      </c>
      <c r="BF520" s="38">
        <f>K520</f>
        <v>0.00565</v>
      </c>
      <c r="BH520" s="38">
        <f>G520*AO520</f>
        <v>0</v>
      </c>
      <c r="BI520" s="38">
        <f>G520*AP520</f>
        <v>0</v>
      </c>
      <c r="BJ520" s="38">
        <f>G520*H520</f>
        <v>0</v>
      </c>
      <c r="BK520" s="38"/>
      <c r="BL520" s="38">
        <v>764</v>
      </c>
      <c r="BW520" s="38">
        <v>21</v>
      </c>
    </row>
    <row r="521" spans="1:12" ht="13.5" customHeight="1">
      <c r="A521" s="74"/>
      <c r="D521" s="194" t="s">
        <v>1050</v>
      </c>
      <c r="E521" s="195"/>
      <c r="F521" s="195"/>
      <c r="G521" s="195"/>
      <c r="H521" s="196"/>
      <c r="I521" s="195"/>
      <c r="J521" s="195"/>
      <c r="K521" s="195"/>
      <c r="L521" s="197"/>
    </row>
    <row r="522" spans="1:12" ht="15">
      <c r="A522" s="74"/>
      <c r="D522" s="75" t="s">
        <v>1051</v>
      </c>
      <c r="E522" s="75" t="s">
        <v>4</v>
      </c>
      <c r="G522" s="76">
        <v>2.5</v>
      </c>
      <c r="L522" s="77"/>
    </row>
    <row r="523" spans="1:75" ht="13.5" customHeight="1">
      <c r="A523" s="1" t="s">
        <v>1052</v>
      </c>
      <c r="B523" s="2" t="s">
        <v>84</v>
      </c>
      <c r="C523" s="2" t="s">
        <v>1053</v>
      </c>
      <c r="D523" s="108" t="s">
        <v>1054</v>
      </c>
      <c r="E523" s="103"/>
      <c r="F523" s="2" t="s">
        <v>199</v>
      </c>
      <c r="G523" s="38">
        <v>2</v>
      </c>
      <c r="H523" s="70">
        <v>0</v>
      </c>
      <c r="I523" s="38">
        <f>G523*H523</f>
        <v>0</v>
      </c>
      <c r="J523" s="38">
        <v>0.00166</v>
      </c>
      <c r="K523" s="38">
        <f>G523*J523</f>
        <v>0.00332</v>
      </c>
      <c r="L523" s="71" t="s">
        <v>207</v>
      </c>
      <c r="Z523" s="38">
        <f>IF(AQ523="5",BJ523,0)</f>
        <v>0</v>
      </c>
      <c r="AB523" s="38">
        <f>IF(AQ523="1",BH523,0)</f>
        <v>0</v>
      </c>
      <c r="AC523" s="38">
        <f>IF(AQ523="1",BI523,0)</f>
        <v>0</v>
      </c>
      <c r="AD523" s="38">
        <f>IF(AQ523="7",BH523,0)</f>
        <v>0</v>
      </c>
      <c r="AE523" s="38">
        <f>IF(AQ523="7",BI523,0)</f>
        <v>0</v>
      </c>
      <c r="AF523" s="38">
        <f>IF(AQ523="2",BH523,0)</f>
        <v>0</v>
      </c>
      <c r="AG523" s="38">
        <f>IF(AQ523="2",BI523,0)</f>
        <v>0</v>
      </c>
      <c r="AH523" s="38">
        <f>IF(AQ523="0",BJ523,0)</f>
        <v>0</v>
      </c>
      <c r="AI523" s="50" t="s">
        <v>84</v>
      </c>
      <c r="AJ523" s="38">
        <f>IF(AN523=0,I523,0)</f>
        <v>0</v>
      </c>
      <c r="AK523" s="38">
        <f>IF(AN523=12,I523,0)</f>
        <v>0</v>
      </c>
      <c r="AL523" s="38">
        <f>IF(AN523=21,I523,0)</f>
        <v>0</v>
      </c>
      <c r="AN523" s="38">
        <v>21</v>
      </c>
      <c r="AO523" s="38">
        <f>H523*0.7</f>
        <v>0</v>
      </c>
      <c r="AP523" s="38">
        <f>H523*(1-0.7)</f>
        <v>0</v>
      </c>
      <c r="AQ523" s="72" t="s">
        <v>169</v>
      </c>
      <c r="AV523" s="38">
        <f>AW523+AX523</f>
        <v>0</v>
      </c>
      <c r="AW523" s="38">
        <f>G523*AO523</f>
        <v>0</v>
      </c>
      <c r="AX523" s="38">
        <f>G523*AP523</f>
        <v>0</v>
      </c>
      <c r="AY523" s="72" t="s">
        <v>1019</v>
      </c>
      <c r="AZ523" s="72" t="s">
        <v>990</v>
      </c>
      <c r="BA523" s="50" t="s">
        <v>139</v>
      </c>
      <c r="BB523" s="73">
        <v>100035</v>
      </c>
      <c r="BC523" s="38">
        <f>AW523+AX523</f>
        <v>0</v>
      </c>
      <c r="BD523" s="38">
        <f>H523/(100-BE523)*100</f>
        <v>0</v>
      </c>
      <c r="BE523" s="38">
        <v>0</v>
      </c>
      <c r="BF523" s="38">
        <f>K523</f>
        <v>0.00332</v>
      </c>
      <c r="BH523" s="38">
        <f>G523*AO523</f>
        <v>0</v>
      </c>
      <c r="BI523" s="38">
        <f>G523*AP523</f>
        <v>0</v>
      </c>
      <c r="BJ523" s="38">
        <f>G523*H523</f>
        <v>0</v>
      </c>
      <c r="BK523" s="38"/>
      <c r="BL523" s="38">
        <v>764</v>
      </c>
      <c r="BW523" s="38">
        <v>21</v>
      </c>
    </row>
    <row r="524" spans="1:12" ht="13.5" customHeight="1">
      <c r="A524" s="74"/>
      <c r="D524" s="194" t="s">
        <v>1050</v>
      </c>
      <c r="E524" s="195"/>
      <c r="F524" s="195"/>
      <c r="G524" s="195"/>
      <c r="H524" s="196"/>
      <c r="I524" s="195"/>
      <c r="J524" s="195"/>
      <c r="K524" s="195"/>
      <c r="L524" s="197"/>
    </row>
    <row r="525" spans="1:12" ht="15">
      <c r="A525" s="74"/>
      <c r="D525" s="75" t="s">
        <v>143</v>
      </c>
      <c r="E525" s="75" t="s">
        <v>4</v>
      </c>
      <c r="G525" s="76">
        <v>2</v>
      </c>
      <c r="L525" s="77"/>
    </row>
    <row r="526" spans="1:75" ht="13.5" customHeight="1">
      <c r="A526" s="1" t="s">
        <v>1055</v>
      </c>
      <c r="B526" s="2" t="s">
        <v>84</v>
      </c>
      <c r="C526" s="2" t="s">
        <v>1056</v>
      </c>
      <c r="D526" s="108" t="s">
        <v>1057</v>
      </c>
      <c r="E526" s="103"/>
      <c r="F526" s="2" t="s">
        <v>199</v>
      </c>
      <c r="G526" s="38">
        <v>18</v>
      </c>
      <c r="H526" s="70">
        <v>0</v>
      </c>
      <c r="I526" s="38">
        <f>G526*H526</f>
        <v>0</v>
      </c>
      <c r="J526" s="38">
        <v>5E-05</v>
      </c>
      <c r="K526" s="38">
        <f>G526*J526</f>
        <v>0.0009000000000000001</v>
      </c>
      <c r="L526" s="71" t="s">
        <v>207</v>
      </c>
      <c r="Z526" s="38">
        <f>IF(AQ526="5",BJ526,0)</f>
        <v>0</v>
      </c>
      <c r="AB526" s="38">
        <f>IF(AQ526="1",BH526,0)</f>
        <v>0</v>
      </c>
      <c r="AC526" s="38">
        <f>IF(AQ526="1",BI526,0)</f>
        <v>0</v>
      </c>
      <c r="AD526" s="38">
        <f>IF(AQ526="7",BH526,0)</f>
        <v>0</v>
      </c>
      <c r="AE526" s="38">
        <f>IF(AQ526="7",BI526,0)</f>
        <v>0</v>
      </c>
      <c r="AF526" s="38">
        <f>IF(AQ526="2",BH526,0)</f>
        <v>0</v>
      </c>
      <c r="AG526" s="38">
        <f>IF(AQ526="2",BI526,0)</f>
        <v>0</v>
      </c>
      <c r="AH526" s="38">
        <f>IF(AQ526="0",BJ526,0)</f>
        <v>0</v>
      </c>
      <c r="AI526" s="50" t="s">
        <v>84</v>
      </c>
      <c r="AJ526" s="38">
        <f>IF(AN526=0,I526,0)</f>
        <v>0</v>
      </c>
      <c r="AK526" s="38">
        <f>IF(AN526=12,I526,0)</f>
        <v>0</v>
      </c>
      <c r="AL526" s="38">
        <f>IF(AN526=21,I526,0)</f>
        <v>0</v>
      </c>
      <c r="AN526" s="38">
        <v>21</v>
      </c>
      <c r="AO526" s="38">
        <f>H526*0.656603774</f>
        <v>0</v>
      </c>
      <c r="AP526" s="38">
        <f>H526*(1-0.656603774)</f>
        <v>0</v>
      </c>
      <c r="AQ526" s="72" t="s">
        <v>169</v>
      </c>
      <c r="AV526" s="38">
        <f>AW526+AX526</f>
        <v>0</v>
      </c>
      <c r="AW526" s="38">
        <f>G526*AO526</f>
        <v>0</v>
      </c>
      <c r="AX526" s="38">
        <f>G526*AP526</f>
        <v>0</v>
      </c>
      <c r="AY526" s="72" t="s">
        <v>1019</v>
      </c>
      <c r="AZ526" s="72" t="s">
        <v>990</v>
      </c>
      <c r="BA526" s="50" t="s">
        <v>139</v>
      </c>
      <c r="BB526" s="73">
        <v>100035</v>
      </c>
      <c r="BC526" s="38">
        <f>AW526+AX526</f>
        <v>0</v>
      </c>
      <c r="BD526" s="38">
        <f>H526/(100-BE526)*100</f>
        <v>0</v>
      </c>
      <c r="BE526" s="38">
        <v>0</v>
      </c>
      <c r="BF526" s="38">
        <f>K526</f>
        <v>0.0009000000000000001</v>
      </c>
      <c r="BH526" s="38">
        <f>G526*AO526</f>
        <v>0</v>
      </c>
      <c r="BI526" s="38">
        <f>G526*AP526</f>
        <v>0</v>
      </c>
      <c r="BJ526" s="38">
        <f>G526*H526</f>
        <v>0</v>
      </c>
      <c r="BK526" s="38"/>
      <c r="BL526" s="38">
        <v>764</v>
      </c>
      <c r="BW526" s="38">
        <v>21</v>
      </c>
    </row>
    <row r="527" spans="1:12" ht="13.5" customHeight="1">
      <c r="A527" s="74"/>
      <c r="D527" s="194" t="s">
        <v>1058</v>
      </c>
      <c r="E527" s="195"/>
      <c r="F527" s="195"/>
      <c r="G527" s="195"/>
      <c r="H527" s="196"/>
      <c r="I527" s="195"/>
      <c r="J527" s="195"/>
      <c r="K527" s="195"/>
      <c r="L527" s="197"/>
    </row>
    <row r="528" spans="1:12" ht="15">
      <c r="A528" s="74"/>
      <c r="D528" s="75" t="s">
        <v>241</v>
      </c>
      <c r="E528" s="75" t="s">
        <v>4</v>
      </c>
      <c r="G528" s="76">
        <v>18</v>
      </c>
      <c r="L528" s="77"/>
    </row>
    <row r="529" spans="1:75" ht="27" customHeight="1">
      <c r="A529" s="1" t="s">
        <v>1059</v>
      </c>
      <c r="B529" s="2" t="s">
        <v>84</v>
      </c>
      <c r="C529" s="2" t="s">
        <v>1060</v>
      </c>
      <c r="D529" s="108" t="s">
        <v>1061</v>
      </c>
      <c r="E529" s="103"/>
      <c r="F529" s="2" t="s">
        <v>214</v>
      </c>
      <c r="G529" s="38">
        <v>15.75</v>
      </c>
      <c r="H529" s="70">
        <v>0</v>
      </c>
      <c r="I529" s="38">
        <f>G529*H529</f>
        <v>0</v>
      </c>
      <c r="J529" s="38">
        <v>0.00069</v>
      </c>
      <c r="K529" s="38">
        <f>G529*J529</f>
        <v>0.010867499999999999</v>
      </c>
      <c r="L529" s="71" t="s">
        <v>136</v>
      </c>
      <c r="Z529" s="38">
        <f>IF(AQ529="5",BJ529,0)</f>
        <v>0</v>
      </c>
      <c r="AB529" s="38">
        <f>IF(AQ529="1",BH529,0)</f>
        <v>0</v>
      </c>
      <c r="AC529" s="38">
        <f>IF(AQ529="1",BI529,0)</f>
        <v>0</v>
      </c>
      <c r="AD529" s="38">
        <f>IF(AQ529="7",BH529,0)</f>
        <v>0</v>
      </c>
      <c r="AE529" s="38">
        <f>IF(AQ529="7",BI529,0)</f>
        <v>0</v>
      </c>
      <c r="AF529" s="38">
        <f>IF(AQ529="2",BH529,0)</f>
        <v>0</v>
      </c>
      <c r="AG529" s="38">
        <f>IF(AQ529="2",BI529,0)</f>
        <v>0</v>
      </c>
      <c r="AH529" s="38">
        <f>IF(AQ529="0",BJ529,0)</f>
        <v>0</v>
      </c>
      <c r="AI529" s="50" t="s">
        <v>84</v>
      </c>
      <c r="AJ529" s="38">
        <f>IF(AN529=0,I529,0)</f>
        <v>0</v>
      </c>
      <c r="AK529" s="38">
        <f>IF(AN529=12,I529,0)</f>
        <v>0</v>
      </c>
      <c r="AL529" s="38">
        <f>IF(AN529=21,I529,0)</f>
        <v>0</v>
      </c>
      <c r="AN529" s="38">
        <v>21</v>
      </c>
      <c r="AO529" s="38">
        <f>H529*0.740807522</f>
        <v>0</v>
      </c>
      <c r="AP529" s="38">
        <f>H529*(1-0.740807522)</f>
        <v>0</v>
      </c>
      <c r="AQ529" s="72" t="s">
        <v>169</v>
      </c>
      <c r="AV529" s="38">
        <f>AW529+AX529</f>
        <v>0</v>
      </c>
      <c r="AW529" s="38">
        <f>G529*AO529</f>
        <v>0</v>
      </c>
      <c r="AX529" s="38">
        <f>G529*AP529</f>
        <v>0</v>
      </c>
      <c r="AY529" s="72" t="s">
        <v>1019</v>
      </c>
      <c r="AZ529" s="72" t="s">
        <v>990</v>
      </c>
      <c r="BA529" s="50" t="s">
        <v>139</v>
      </c>
      <c r="BB529" s="73">
        <v>100035</v>
      </c>
      <c r="BC529" s="38">
        <f>AW529+AX529</f>
        <v>0</v>
      </c>
      <c r="BD529" s="38">
        <f>H529/(100-BE529)*100</f>
        <v>0</v>
      </c>
      <c r="BE529" s="38">
        <v>0</v>
      </c>
      <c r="BF529" s="38">
        <f>K529</f>
        <v>0.010867499999999999</v>
      </c>
      <c r="BH529" s="38">
        <f>G529*AO529</f>
        <v>0</v>
      </c>
      <c r="BI529" s="38">
        <f>G529*AP529</f>
        <v>0</v>
      </c>
      <c r="BJ529" s="38">
        <f>G529*H529</f>
        <v>0</v>
      </c>
      <c r="BK529" s="38"/>
      <c r="BL529" s="38">
        <v>764</v>
      </c>
      <c r="BW529" s="38">
        <v>21</v>
      </c>
    </row>
    <row r="530" spans="1:12" ht="13.5" customHeight="1">
      <c r="A530" s="74"/>
      <c r="D530" s="194" t="s">
        <v>1062</v>
      </c>
      <c r="E530" s="195"/>
      <c r="F530" s="195"/>
      <c r="G530" s="195"/>
      <c r="H530" s="196"/>
      <c r="I530" s="195"/>
      <c r="J530" s="195"/>
      <c r="K530" s="195"/>
      <c r="L530" s="197"/>
    </row>
    <row r="531" spans="1:12" ht="15">
      <c r="A531" s="74"/>
      <c r="D531" s="75" t="s">
        <v>1063</v>
      </c>
      <c r="E531" s="75" t="s">
        <v>4</v>
      </c>
      <c r="G531" s="76">
        <v>15.75</v>
      </c>
      <c r="L531" s="77"/>
    </row>
    <row r="532" spans="1:75" ht="27" customHeight="1">
      <c r="A532" s="1" t="s">
        <v>1064</v>
      </c>
      <c r="B532" s="2" t="s">
        <v>84</v>
      </c>
      <c r="C532" s="2" t="s">
        <v>1065</v>
      </c>
      <c r="D532" s="108" t="s">
        <v>1066</v>
      </c>
      <c r="E532" s="103"/>
      <c r="F532" s="2" t="s">
        <v>199</v>
      </c>
      <c r="G532" s="38">
        <v>1</v>
      </c>
      <c r="H532" s="70">
        <v>0</v>
      </c>
      <c r="I532" s="38">
        <f>G532*H532</f>
        <v>0</v>
      </c>
      <c r="J532" s="38">
        <v>0.00031</v>
      </c>
      <c r="K532" s="38">
        <f>G532*J532</f>
        <v>0.00031</v>
      </c>
      <c r="L532" s="71" t="s">
        <v>136</v>
      </c>
      <c r="Z532" s="38">
        <f>IF(AQ532="5",BJ532,0)</f>
        <v>0</v>
      </c>
      <c r="AB532" s="38">
        <f>IF(AQ532="1",BH532,0)</f>
        <v>0</v>
      </c>
      <c r="AC532" s="38">
        <f>IF(AQ532="1",BI532,0)</f>
        <v>0</v>
      </c>
      <c r="AD532" s="38">
        <f>IF(AQ532="7",BH532,0)</f>
        <v>0</v>
      </c>
      <c r="AE532" s="38">
        <f>IF(AQ532="7",BI532,0)</f>
        <v>0</v>
      </c>
      <c r="AF532" s="38">
        <f>IF(AQ532="2",BH532,0)</f>
        <v>0</v>
      </c>
      <c r="AG532" s="38">
        <f>IF(AQ532="2",BI532,0)</f>
        <v>0</v>
      </c>
      <c r="AH532" s="38">
        <f>IF(AQ532="0",BJ532,0)</f>
        <v>0</v>
      </c>
      <c r="AI532" s="50" t="s">
        <v>84</v>
      </c>
      <c r="AJ532" s="38">
        <f>IF(AN532=0,I532,0)</f>
        <v>0</v>
      </c>
      <c r="AK532" s="38">
        <f>IF(AN532=12,I532,0)</f>
        <v>0</v>
      </c>
      <c r="AL532" s="38">
        <f>IF(AN532=21,I532,0)</f>
        <v>0</v>
      </c>
      <c r="AN532" s="38">
        <v>21</v>
      </c>
      <c r="AO532" s="38">
        <f>H532*0.653128492</f>
        <v>0</v>
      </c>
      <c r="AP532" s="38">
        <f>H532*(1-0.653128492)</f>
        <v>0</v>
      </c>
      <c r="AQ532" s="72" t="s">
        <v>169</v>
      </c>
      <c r="AV532" s="38">
        <f>AW532+AX532</f>
        <v>0</v>
      </c>
      <c r="AW532" s="38">
        <f>G532*AO532</f>
        <v>0</v>
      </c>
      <c r="AX532" s="38">
        <f>G532*AP532</f>
        <v>0</v>
      </c>
      <c r="AY532" s="72" t="s">
        <v>1019</v>
      </c>
      <c r="AZ532" s="72" t="s">
        <v>990</v>
      </c>
      <c r="BA532" s="50" t="s">
        <v>139</v>
      </c>
      <c r="BB532" s="73">
        <v>100035</v>
      </c>
      <c r="BC532" s="38">
        <f>AW532+AX532</f>
        <v>0</v>
      </c>
      <c r="BD532" s="38">
        <f>H532/(100-BE532)*100</f>
        <v>0</v>
      </c>
      <c r="BE532" s="38">
        <v>0</v>
      </c>
      <c r="BF532" s="38">
        <f>K532</f>
        <v>0.00031</v>
      </c>
      <c r="BH532" s="38">
        <f>G532*AO532</f>
        <v>0</v>
      </c>
      <c r="BI532" s="38">
        <f>G532*AP532</f>
        <v>0</v>
      </c>
      <c r="BJ532" s="38">
        <f>G532*H532</f>
        <v>0</v>
      </c>
      <c r="BK532" s="38"/>
      <c r="BL532" s="38">
        <v>764</v>
      </c>
      <c r="BW532" s="38">
        <v>21</v>
      </c>
    </row>
    <row r="533" spans="1:12" ht="13.5" customHeight="1">
      <c r="A533" s="74"/>
      <c r="D533" s="194" t="s">
        <v>1067</v>
      </c>
      <c r="E533" s="195"/>
      <c r="F533" s="195"/>
      <c r="G533" s="195"/>
      <c r="H533" s="196"/>
      <c r="I533" s="195"/>
      <c r="J533" s="195"/>
      <c r="K533" s="195"/>
      <c r="L533" s="197"/>
    </row>
    <row r="534" spans="1:12" ht="15">
      <c r="A534" s="74"/>
      <c r="D534" s="75" t="s">
        <v>132</v>
      </c>
      <c r="E534" s="75" t="s">
        <v>4</v>
      </c>
      <c r="G534" s="76">
        <v>1</v>
      </c>
      <c r="L534" s="77"/>
    </row>
    <row r="535" spans="1:75" ht="13.5" customHeight="1">
      <c r="A535" s="1" t="s">
        <v>1068</v>
      </c>
      <c r="B535" s="2" t="s">
        <v>84</v>
      </c>
      <c r="C535" s="2" t="s">
        <v>1069</v>
      </c>
      <c r="D535" s="108" t="s">
        <v>1070</v>
      </c>
      <c r="E535" s="103"/>
      <c r="F535" s="2" t="s">
        <v>214</v>
      </c>
      <c r="G535" s="38">
        <v>4</v>
      </c>
      <c r="H535" s="70">
        <v>0</v>
      </c>
      <c r="I535" s="38">
        <f>G535*H535</f>
        <v>0</v>
      </c>
      <c r="J535" s="38">
        <v>0.00211</v>
      </c>
      <c r="K535" s="38">
        <f>G535*J535</f>
        <v>0.00844</v>
      </c>
      <c r="L535" s="71" t="s">
        <v>136</v>
      </c>
      <c r="Z535" s="38">
        <f>IF(AQ535="5",BJ535,0)</f>
        <v>0</v>
      </c>
      <c r="AB535" s="38">
        <f>IF(AQ535="1",BH535,0)</f>
        <v>0</v>
      </c>
      <c r="AC535" s="38">
        <f>IF(AQ535="1",BI535,0)</f>
        <v>0</v>
      </c>
      <c r="AD535" s="38">
        <f>IF(AQ535="7",BH535,0)</f>
        <v>0</v>
      </c>
      <c r="AE535" s="38">
        <f>IF(AQ535="7",BI535,0)</f>
        <v>0</v>
      </c>
      <c r="AF535" s="38">
        <f>IF(AQ535="2",BH535,0)</f>
        <v>0</v>
      </c>
      <c r="AG535" s="38">
        <f>IF(AQ535="2",BI535,0)</f>
        <v>0</v>
      </c>
      <c r="AH535" s="38">
        <f>IF(AQ535="0",BJ535,0)</f>
        <v>0</v>
      </c>
      <c r="AI535" s="50" t="s">
        <v>84</v>
      </c>
      <c r="AJ535" s="38">
        <f>IF(AN535=0,I535,0)</f>
        <v>0</v>
      </c>
      <c r="AK535" s="38">
        <f>IF(AN535=12,I535,0)</f>
        <v>0</v>
      </c>
      <c r="AL535" s="38">
        <f>IF(AN535=21,I535,0)</f>
        <v>0</v>
      </c>
      <c r="AN535" s="38">
        <v>21</v>
      </c>
      <c r="AO535" s="38">
        <f>H535*0.245793758</f>
        <v>0</v>
      </c>
      <c r="AP535" s="38">
        <f>H535*(1-0.245793758)</f>
        <v>0</v>
      </c>
      <c r="AQ535" s="72" t="s">
        <v>169</v>
      </c>
      <c r="AV535" s="38">
        <f>AW535+AX535</f>
        <v>0</v>
      </c>
      <c r="AW535" s="38">
        <f>G535*AO535</f>
        <v>0</v>
      </c>
      <c r="AX535" s="38">
        <f>G535*AP535</f>
        <v>0</v>
      </c>
      <c r="AY535" s="72" t="s">
        <v>1019</v>
      </c>
      <c r="AZ535" s="72" t="s">
        <v>990</v>
      </c>
      <c r="BA535" s="50" t="s">
        <v>139</v>
      </c>
      <c r="BB535" s="73">
        <v>100035</v>
      </c>
      <c r="BC535" s="38">
        <f>AW535+AX535</f>
        <v>0</v>
      </c>
      <c r="BD535" s="38">
        <f>H535/(100-BE535)*100</f>
        <v>0</v>
      </c>
      <c r="BE535" s="38">
        <v>0</v>
      </c>
      <c r="BF535" s="38">
        <f>K535</f>
        <v>0.00844</v>
      </c>
      <c r="BH535" s="38">
        <f>G535*AO535</f>
        <v>0</v>
      </c>
      <c r="BI535" s="38">
        <f>G535*AP535</f>
        <v>0</v>
      </c>
      <c r="BJ535" s="38">
        <f>G535*H535</f>
        <v>0</v>
      </c>
      <c r="BK535" s="38"/>
      <c r="BL535" s="38">
        <v>764</v>
      </c>
      <c r="BW535" s="38">
        <v>21</v>
      </c>
    </row>
    <row r="536" spans="1:12" ht="13.5" customHeight="1">
      <c r="A536" s="74"/>
      <c r="D536" s="194" t="s">
        <v>1071</v>
      </c>
      <c r="E536" s="195"/>
      <c r="F536" s="195"/>
      <c r="G536" s="195"/>
      <c r="H536" s="196"/>
      <c r="I536" s="195"/>
      <c r="J536" s="195"/>
      <c r="K536" s="195"/>
      <c r="L536" s="197"/>
    </row>
    <row r="537" spans="1:12" ht="15">
      <c r="A537" s="74"/>
      <c r="D537" s="75" t="s">
        <v>1072</v>
      </c>
      <c r="E537" s="75" t="s">
        <v>4</v>
      </c>
      <c r="G537" s="76">
        <v>4</v>
      </c>
      <c r="L537" s="77"/>
    </row>
    <row r="538" spans="1:75" ht="27" customHeight="1">
      <c r="A538" s="1" t="s">
        <v>1073</v>
      </c>
      <c r="B538" s="2" t="s">
        <v>84</v>
      </c>
      <c r="C538" s="2" t="s">
        <v>1074</v>
      </c>
      <c r="D538" s="108" t="s">
        <v>1075</v>
      </c>
      <c r="E538" s="103"/>
      <c r="F538" s="2" t="s">
        <v>214</v>
      </c>
      <c r="G538" s="38">
        <v>0.6</v>
      </c>
      <c r="H538" s="70">
        <v>0</v>
      </c>
      <c r="I538" s="38">
        <f>G538*H538</f>
        <v>0</v>
      </c>
      <c r="J538" s="38">
        <v>0.00228</v>
      </c>
      <c r="K538" s="38">
        <f>G538*J538</f>
        <v>0.0013679999999999999</v>
      </c>
      <c r="L538" s="71" t="s">
        <v>136</v>
      </c>
      <c r="Z538" s="38">
        <f>IF(AQ538="5",BJ538,0)</f>
        <v>0</v>
      </c>
      <c r="AB538" s="38">
        <f>IF(AQ538="1",BH538,0)</f>
        <v>0</v>
      </c>
      <c r="AC538" s="38">
        <f>IF(AQ538="1",BI538,0)</f>
        <v>0</v>
      </c>
      <c r="AD538" s="38">
        <f>IF(AQ538="7",BH538,0)</f>
        <v>0</v>
      </c>
      <c r="AE538" s="38">
        <f>IF(AQ538="7",BI538,0)</f>
        <v>0</v>
      </c>
      <c r="AF538" s="38">
        <f>IF(AQ538="2",BH538,0)</f>
        <v>0</v>
      </c>
      <c r="AG538" s="38">
        <f>IF(AQ538="2",BI538,0)</f>
        <v>0</v>
      </c>
      <c r="AH538" s="38">
        <f>IF(AQ538="0",BJ538,0)</f>
        <v>0</v>
      </c>
      <c r="AI538" s="50" t="s">
        <v>84</v>
      </c>
      <c r="AJ538" s="38">
        <f>IF(AN538=0,I538,0)</f>
        <v>0</v>
      </c>
      <c r="AK538" s="38">
        <f>IF(AN538=12,I538,0)</f>
        <v>0</v>
      </c>
      <c r="AL538" s="38">
        <f>IF(AN538=21,I538,0)</f>
        <v>0</v>
      </c>
      <c r="AN538" s="38">
        <v>21</v>
      </c>
      <c r="AO538" s="38">
        <f>H538*0.287610879</f>
        <v>0</v>
      </c>
      <c r="AP538" s="38">
        <f>H538*(1-0.287610879)</f>
        <v>0</v>
      </c>
      <c r="AQ538" s="72" t="s">
        <v>169</v>
      </c>
      <c r="AV538" s="38">
        <f>AW538+AX538</f>
        <v>0</v>
      </c>
      <c r="AW538" s="38">
        <f>G538*AO538</f>
        <v>0</v>
      </c>
      <c r="AX538" s="38">
        <f>G538*AP538</f>
        <v>0</v>
      </c>
      <c r="AY538" s="72" t="s">
        <v>1019</v>
      </c>
      <c r="AZ538" s="72" t="s">
        <v>990</v>
      </c>
      <c r="BA538" s="50" t="s">
        <v>139</v>
      </c>
      <c r="BB538" s="73">
        <v>100035</v>
      </c>
      <c r="BC538" s="38">
        <f>AW538+AX538</f>
        <v>0</v>
      </c>
      <c r="BD538" s="38">
        <f>H538/(100-BE538)*100</f>
        <v>0</v>
      </c>
      <c r="BE538" s="38">
        <v>0</v>
      </c>
      <c r="BF538" s="38">
        <f>K538</f>
        <v>0.0013679999999999999</v>
      </c>
      <c r="BH538" s="38">
        <f>G538*AO538</f>
        <v>0</v>
      </c>
      <c r="BI538" s="38">
        <f>G538*AP538</f>
        <v>0</v>
      </c>
      <c r="BJ538" s="38">
        <f>G538*H538</f>
        <v>0</v>
      </c>
      <c r="BK538" s="38"/>
      <c r="BL538" s="38">
        <v>764</v>
      </c>
      <c r="BW538" s="38">
        <v>21</v>
      </c>
    </row>
    <row r="539" spans="1:12" ht="13.5" customHeight="1">
      <c r="A539" s="74"/>
      <c r="D539" s="194" t="s">
        <v>1076</v>
      </c>
      <c r="E539" s="195"/>
      <c r="F539" s="195"/>
      <c r="G539" s="195"/>
      <c r="H539" s="196"/>
      <c r="I539" s="195"/>
      <c r="J539" s="195"/>
      <c r="K539" s="195"/>
      <c r="L539" s="197"/>
    </row>
    <row r="540" spans="1:12" ht="15">
      <c r="A540" s="74"/>
      <c r="D540" s="75" t="s">
        <v>1077</v>
      </c>
      <c r="E540" s="75" t="s">
        <v>4</v>
      </c>
      <c r="G540" s="76">
        <v>0.6</v>
      </c>
      <c r="L540" s="77"/>
    </row>
    <row r="541" spans="1:75" ht="13.5" customHeight="1">
      <c r="A541" s="1" t="s">
        <v>1078</v>
      </c>
      <c r="B541" s="2" t="s">
        <v>84</v>
      </c>
      <c r="C541" s="2" t="s">
        <v>1079</v>
      </c>
      <c r="D541" s="108" t="s">
        <v>1080</v>
      </c>
      <c r="E541" s="103"/>
      <c r="F541" s="2" t="s">
        <v>189</v>
      </c>
      <c r="G541" s="38">
        <v>0.12</v>
      </c>
      <c r="H541" s="70">
        <v>0</v>
      </c>
      <c r="I541" s="38">
        <f>G541*H541</f>
        <v>0</v>
      </c>
      <c r="J541" s="38">
        <v>0</v>
      </c>
      <c r="K541" s="38">
        <f>G541*J541</f>
        <v>0</v>
      </c>
      <c r="L541" s="71" t="s">
        <v>136</v>
      </c>
      <c r="Z541" s="38">
        <f>IF(AQ541="5",BJ541,0)</f>
        <v>0</v>
      </c>
      <c r="AB541" s="38">
        <f>IF(AQ541="1",BH541,0)</f>
        <v>0</v>
      </c>
      <c r="AC541" s="38">
        <f>IF(AQ541="1",BI541,0)</f>
        <v>0</v>
      </c>
      <c r="AD541" s="38">
        <f>IF(AQ541="7",BH541,0)</f>
        <v>0</v>
      </c>
      <c r="AE541" s="38">
        <f>IF(AQ541="7",BI541,0)</f>
        <v>0</v>
      </c>
      <c r="AF541" s="38">
        <f>IF(AQ541="2",BH541,0)</f>
        <v>0</v>
      </c>
      <c r="AG541" s="38">
        <f>IF(AQ541="2",BI541,0)</f>
        <v>0</v>
      </c>
      <c r="AH541" s="38">
        <f>IF(AQ541="0",BJ541,0)</f>
        <v>0</v>
      </c>
      <c r="AI541" s="50" t="s">
        <v>84</v>
      </c>
      <c r="AJ541" s="38">
        <f>IF(AN541=0,I541,0)</f>
        <v>0</v>
      </c>
      <c r="AK541" s="38">
        <f>IF(AN541=12,I541,0)</f>
        <v>0</v>
      </c>
      <c r="AL541" s="38">
        <f>IF(AN541=21,I541,0)</f>
        <v>0</v>
      </c>
      <c r="AN541" s="38">
        <v>21</v>
      </c>
      <c r="AO541" s="38">
        <f>H541*0</f>
        <v>0</v>
      </c>
      <c r="AP541" s="38">
        <f>H541*(1-0)</f>
        <v>0</v>
      </c>
      <c r="AQ541" s="72" t="s">
        <v>162</v>
      </c>
      <c r="AV541" s="38">
        <f>AW541+AX541</f>
        <v>0</v>
      </c>
      <c r="AW541" s="38">
        <f>G541*AO541</f>
        <v>0</v>
      </c>
      <c r="AX541" s="38">
        <f>G541*AP541</f>
        <v>0</v>
      </c>
      <c r="AY541" s="72" t="s">
        <v>1019</v>
      </c>
      <c r="AZ541" s="72" t="s">
        <v>990</v>
      </c>
      <c r="BA541" s="50" t="s">
        <v>139</v>
      </c>
      <c r="BC541" s="38">
        <f>AW541+AX541</f>
        <v>0</v>
      </c>
      <c r="BD541" s="38">
        <f>H541/(100-BE541)*100</f>
        <v>0</v>
      </c>
      <c r="BE541" s="38">
        <v>0</v>
      </c>
      <c r="BF541" s="38">
        <f>K541</f>
        <v>0</v>
      </c>
      <c r="BH541" s="38">
        <f>G541*AO541</f>
        <v>0</v>
      </c>
      <c r="BI541" s="38">
        <f>G541*AP541</f>
        <v>0</v>
      </c>
      <c r="BJ541" s="38">
        <f>G541*H541</f>
        <v>0</v>
      </c>
      <c r="BK541" s="38"/>
      <c r="BL541" s="38">
        <v>764</v>
      </c>
      <c r="BW541" s="38">
        <v>21</v>
      </c>
    </row>
    <row r="542" spans="1:12" ht="15">
      <c r="A542" s="74"/>
      <c r="D542" s="75" t="s">
        <v>1081</v>
      </c>
      <c r="E542" s="75" t="s">
        <v>4</v>
      </c>
      <c r="G542" s="76">
        <v>0.12</v>
      </c>
      <c r="L542" s="77"/>
    </row>
    <row r="543" spans="1:47" ht="15">
      <c r="A543" s="65" t="s">
        <v>4</v>
      </c>
      <c r="B543" s="66" t="s">
        <v>84</v>
      </c>
      <c r="C543" s="66" t="s">
        <v>1082</v>
      </c>
      <c r="D543" s="192" t="s">
        <v>1083</v>
      </c>
      <c r="E543" s="193"/>
      <c r="F543" s="67" t="s">
        <v>78</v>
      </c>
      <c r="G543" s="67" t="s">
        <v>78</v>
      </c>
      <c r="H543" s="68" t="s">
        <v>78</v>
      </c>
      <c r="I543" s="44">
        <f>SUM(I544:I632)</f>
        <v>0</v>
      </c>
      <c r="J543" s="50" t="s">
        <v>4</v>
      </c>
      <c r="K543" s="44">
        <f>SUM(K544:K632)</f>
        <v>1.4167790000000002</v>
      </c>
      <c r="L543" s="69" t="s">
        <v>4</v>
      </c>
      <c r="AI543" s="50" t="s">
        <v>84</v>
      </c>
      <c r="AS543" s="44">
        <f>SUM(AJ544:AJ632)</f>
        <v>0</v>
      </c>
      <c r="AT543" s="44">
        <f>SUM(AK544:AK632)</f>
        <v>0</v>
      </c>
      <c r="AU543" s="44">
        <f>SUM(AL544:AL632)</f>
        <v>0</v>
      </c>
    </row>
    <row r="544" spans="1:75" ht="13.5" customHeight="1">
      <c r="A544" s="1" t="s">
        <v>1084</v>
      </c>
      <c r="B544" s="2" t="s">
        <v>84</v>
      </c>
      <c r="C544" s="2" t="s">
        <v>1085</v>
      </c>
      <c r="D544" s="108" t="s">
        <v>1086</v>
      </c>
      <c r="E544" s="103"/>
      <c r="F544" s="2" t="s">
        <v>263</v>
      </c>
      <c r="G544" s="38">
        <v>10.45</v>
      </c>
      <c r="H544" s="70">
        <v>0</v>
      </c>
      <c r="I544" s="38">
        <f>G544*H544</f>
        <v>0</v>
      </c>
      <c r="J544" s="38">
        <v>0.01098</v>
      </c>
      <c r="K544" s="38">
        <f>G544*J544</f>
        <v>0.114741</v>
      </c>
      <c r="L544" s="71" t="s">
        <v>136</v>
      </c>
      <c r="Z544" s="38">
        <f>IF(AQ544="5",BJ544,0)</f>
        <v>0</v>
      </c>
      <c r="AB544" s="38">
        <f>IF(AQ544="1",BH544,0)</f>
        <v>0</v>
      </c>
      <c r="AC544" s="38">
        <f>IF(AQ544="1",BI544,0)</f>
        <v>0</v>
      </c>
      <c r="AD544" s="38">
        <f>IF(AQ544="7",BH544,0)</f>
        <v>0</v>
      </c>
      <c r="AE544" s="38">
        <f>IF(AQ544="7",BI544,0)</f>
        <v>0</v>
      </c>
      <c r="AF544" s="38">
        <f>IF(AQ544="2",BH544,0)</f>
        <v>0</v>
      </c>
      <c r="AG544" s="38">
        <f>IF(AQ544="2",BI544,0)</f>
        <v>0</v>
      </c>
      <c r="AH544" s="38">
        <f>IF(AQ544="0",BJ544,0)</f>
        <v>0</v>
      </c>
      <c r="AI544" s="50" t="s">
        <v>84</v>
      </c>
      <c r="AJ544" s="38">
        <f>IF(AN544=0,I544,0)</f>
        <v>0</v>
      </c>
      <c r="AK544" s="38">
        <f>IF(AN544=12,I544,0)</f>
        <v>0</v>
      </c>
      <c r="AL544" s="38">
        <f>IF(AN544=21,I544,0)</f>
        <v>0</v>
      </c>
      <c r="AN544" s="38">
        <v>21</v>
      </c>
      <c r="AO544" s="38">
        <f>H544*0</f>
        <v>0</v>
      </c>
      <c r="AP544" s="38">
        <f>H544*(1-0)</f>
        <v>0</v>
      </c>
      <c r="AQ544" s="72" t="s">
        <v>169</v>
      </c>
      <c r="AV544" s="38">
        <f>AW544+AX544</f>
        <v>0</v>
      </c>
      <c r="AW544" s="38">
        <f>G544*AO544</f>
        <v>0</v>
      </c>
      <c r="AX544" s="38">
        <f>G544*AP544</f>
        <v>0</v>
      </c>
      <c r="AY544" s="72" t="s">
        <v>1087</v>
      </c>
      <c r="AZ544" s="72" t="s">
        <v>990</v>
      </c>
      <c r="BA544" s="50" t="s">
        <v>139</v>
      </c>
      <c r="BB544" s="73">
        <v>100013</v>
      </c>
      <c r="BC544" s="38">
        <f>AW544+AX544</f>
        <v>0</v>
      </c>
      <c r="BD544" s="38">
        <f>H544/(100-BE544)*100</f>
        <v>0</v>
      </c>
      <c r="BE544" s="38">
        <v>0</v>
      </c>
      <c r="BF544" s="38">
        <f>K544</f>
        <v>0.114741</v>
      </c>
      <c r="BH544" s="38">
        <f>G544*AO544</f>
        <v>0</v>
      </c>
      <c r="BI544" s="38">
        <f>G544*AP544</f>
        <v>0</v>
      </c>
      <c r="BJ544" s="38">
        <f>G544*H544</f>
        <v>0</v>
      </c>
      <c r="BK544" s="38"/>
      <c r="BL544" s="38">
        <v>766</v>
      </c>
      <c r="BW544" s="38">
        <v>21</v>
      </c>
    </row>
    <row r="545" spans="1:12" ht="15">
      <c r="A545" s="74"/>
      <c r="D545" s="75" t="s">
        <v>1088</v>
      </c>
      <c r="E545" s="75" t="s">
        <v>4</v>
      </c>
      <c r="G545" s="76">
        <v>10.45</v>
      </c>
      <c r="L545" s="77"/>
    </row>
    <row r="546" spans="1:75" ht="13.5" customHeight="1">
      <c r="A546" s="1" t="s">
        <v>1089</v>
      </c>
      <c r="B546" s="2" t="s">
        <v>84</v>
      </c>
      <c r="C546" s="2" t="s">
        <v>1090</v>
      </c>
      <c r="D546" s="108" t="s">
        <v>1091</v>
      </c>
      <c r="E546" s="103"/>
      <c r="F546" s="2" t="s">
        <v>263</v>
      </c>
      <c r="G546" s="38">
        <v>5.23</v>
      </c>
      <c r="H546" s="70">
        <v>0</v>
      </c>
      <c r="I546" s="38">
        <f>G546*H546</f>
        <v>0</v>
      </c>
      <c r="J546" s="38">
        <v>0.008</v>
      </c>
      <c r="K546" s="38">
        <f>G546*J546</f>
        <v>0.04184</v>
      </c>
      <c r="L546" s="71" t="s">
        <v>136</v>
      </c>
      <c r="Z546" s="38">
        <f>IF(AQ546="5",BJ546,0)</f>
        <v>0</v>
      </c>
      <c r="AB546" s="38">
        <f>IF(AQ546="1",BH546,0)</f>
        <v>0</v>
      </c>
      <c r="AC546" s="38">
        <f>IF(AQ546="1",BI546,0)</f>
        <v>0</v>
      </c>
      <c r="AD546" s="38">
        <f>IF(AQ546="7",BH546,0)</f>
        <v>0</v>
      </c>
      <c r="AE546" s="38">
        <f>IF(AQ546="7",BI546,0)</f>
        <v>0</v>
      </c>
      <c r="AF546" s="38">
        <f>IF(AQ546="2",BH546,0)</f>
        <v>0</v>
      </c>
      <c r="AG546" s="38">
        <f>IF(AQ546="2",BI546,0)</f>
        <v>0</v>
      </c>
      <c r="AH546" s="38">
        <f>IF(AQ546="0",BJ546,0)</f>
        <v>0</v>
      </c>
      <c r="AI546" s="50" t="s">
        <v>84</v>
      </c>
      <c r="AJ546" s="38">
        <f>IF(AN546=0,I546,0)</f>
        <v>0</v>
      </c>
      <c r="AK546" s="38">
        <f>IF(AN546=12,I546,0)</f>
        <v>0</v>
      </c>
      <c r="AL546" s="38">
        <f>IF(AN546=21,I546,0)</f>
        <v>0</v>
      </c>
      <c r="AN546" s="38">
        <v>21</v>
      </c>
      <c r="AO546" s="38">
        <f>H546*0</f>
        <v>0</v>
      </c>
      <c r="AP546" s="38">
        <f>H546*(1-0)</f>
        <v>0</v>
      </c>
      <c r="AQ546" s="72" t="s">
        <v>169</v>
      </c>
      <c r="AV546" s="38">
        <f>AW546+AX546</f>
        <v>0</v>
      </c>
      <c r="AW546" s="38">
        <f>G546*AO546</f>
        <v>0</v>
      </c>
      <c r="AX546" s="38">
        <f>G546*AP546</f>
        <v>0</v>
      </c>
      <c r="AY546" s="72" t="s">
        <v>1087</v>
      </c>
      <c r="AZ546" s="72" t="s">
        <v>990</v>
      </c>
      <c r="BA546" s="50" t="s">
        <v>139</v>
      </c>
      <c r="BB546" s="73">
        <v>100013</v>
      </c>
      <c r="BC546" s="38">
        <f>AW546+AX546</f>
        <v>0</v>
      </c>
      <c r="BD546" s="38">
        <f>H546/(100-BE546)*100</f>
        <v>0</v>
      </c>
      <c r="BE546" s="38">
        <v>0</v>
      </c>
      <c r="BF546" s="38">
        <f>K546</f>
        <v>0.04184</v>
      </c>
      <c r="BH546" s="38">
        <f>G546*AO546</f>
        <v>0</v>
      </c>
      <c r="BI546" s="38">
        <f>G546*AP546</f>
        <v>0</v>
      </c>
      <c r="BJ546" s="38">
        <f>G546*H546</f>
        <v>0</v>
      </c>
      <c r="BK546" s="38"/>
      <c r="BL546" s="38">
        <v>766</v>
      </c>
      <c r="BW546" s="38">
        <v>21</v>
      </c>
    </row>
    <row r="547" spans="1:12" ht="13.5" customHeight="1">
      <c r="A547" s="74"/>
      <c r="D547" s="194" t="s">
        <v>1092</v>
      </c>
      <c r="E547" s="195"/>
      <c r="F547" s="195"/>
      <c r="G547" s="195"/>
      <c r="H547" s="196"/>
      <c r="I547" s="195"/>
      <c r="J547" s="195"/>
      <c r="K547" s="195"/>
      <c r="L547" s="197"/>
    </row>
    <row r="548" spans="1:12" ht="15">
      <c r="A548" s="74"/>
      <c r="D548" s="75" t="s">
        <v>1093</v>
      </c>
      <c r="E548" s="75" t="s">
        <v>4</v>
      </c>
      <c r="G548" s="76">
        <v>5.23</v>
      </c>
      <c r="L548" s="77"/>
    </row>
    <row r="549" spans="1:75" ht="27" customHeight="1">
      <c r="A549" s="1" t="s">
        <v>1094</v>
      </c>
      <c r="B549" s="2" t="s">
        <v>84</v>
      </c>
      <c r="C549" s="2" t="s">
        <v>1095</v>
      </c>
      <c r="D549" s="108" t="s">
        <v>1096</v>
      </c>
      <c r="E549" s="103"/>
      <c r="F549" s="2" t="s">
        <v>1097</v>
      </c>
      <c r="G549" s="38">
        <v>1</v>
      </c>
      <c r="H549" s="70">
        <v>0</v>
      </c>
      <c r="I549" s="38">
        <f>G549*H549</f>
        <v>0</v>
      </c>
      <c r="J549" s="38">
        <v>0.067</v>
      </c>
      <c r="K549" s="38">
        <f>G549*J549</f>
        <v>0.067</v>
      </c>
      <c r="L549" s="71" t="s">
        <v>207</v>
      </c>
      <c r="Z549" s="38">
        <f>IF(AQ549="5",BJ549,0)</f>
        <v>0</v>
      </c>
      <c r="AB549" s="38">
        <f>IF(AQ549="1",BH549,0)</f>
        <v>0</v>
      </c>
      <c r="AC549" s="38">
        <f>IF(AQ549="1",BI549,0)</f>
        <v>0</v>
      </c>
      <c r="AD549" s="38">
        <f>IF(AQ549="7",BH549,0)</f>
        <v>0</v>
      </c>
      <c r="AE549" s="38">
        <f>IF(AQ549="7",BI549,0)</f>
        <v>0</v>
      </c>
      <c r="AF549" s="38">
        <f>IF(AQ549="2",BH549,0)</f>
        <v>0</v>
      </c>
      <c r="AG549" s="38">
        <f>IF(AQ549="2",BI549,0)</f>
        <v>0</v>
      </c>
      <c r="AH549" s="38">
        <f>IF(AQ549="0",BJ549,0)</f>
        <v>0</v>
      </c>
      <c r="AI549" s="50" t="s">
        <v>84</v>
      </c>
      <c r="AJ549" s="38">
        <f>IF(AN549=0,I549,0)</f>
        <v>0</v>
      </c>
      <c r="AK549" s="38">
        <f>IF(AN549=12,I549,0)</f>
        <v>0</v>
      </c>
      <c r="AL549" s="38">
        <f>IF(AN549=21,I549,0)</f>
        <v>0</v>
      </c>
      <c r="AN549" s="38">
        <v>21</v>
      </c>
      <c r="AO549" s="38">
        <f>H549*0.867924528</f>
        <v>0</v>
      </c>
      <c r="AP549" s="38">
        <f>H549*(1-0.867924528)</f>
        <v>0</v>
      </c>
      <c r="AQ549" s="72" t="s">
        <v>169</v>
      </c>
      <c r="AV549" s="38">
        <f>AW549+AX549</f>
        <v>0</v>
      </c>
      <c r="AW549" s="38">
        <f>G549*AO549</f>
        <v>0</v>
      </c>
      <c r="AX549" s="38">
        <f>G549*AP549</f>
        <v>0</v>
      </c>
      <c r="AY549" s="72" t="s">
        <v>1087</v>
      </c>
      <c r="AZ549" s="72" t="s">
        <v>990</v>
      </c>
      <c r="BA549" s="50" t="s">
        <v>139</v>
      </c>
      <c r="BB549" s="73">
        <v>100013</v>
      </c>
      <c r="BC549" s="38">
        <f>AW549+AX549</f>
        <v>0</v>
      </c>
      <c r="BD549" s="38">
        <f>H549/(100-BE549)*100</f>
        <v>0</v>
      </c>
      <c r="BE549" s="38">
        <v>0</v>
      </c>
      <c r="BF549" s="38">
        <f>K549</f>
        <v>0.067</v>
      </c>
      <c r="BH549" s="38">
        <f>G549*AO549</f>
        <v>0</v>
      </c>
      <c r="BI549" s="38">
        <f>G549*AP549</f>
        <v>0</v>
      </c>
      <c r="BJ549" s="38">
        <f>G549*H549</f>
        <v>0</v>
      </c>
      <c r="BK549" s="38"/>
      <c r="BL549" s="38">
        <v>766</v>
      </c>
      <c r="BW549" s="38">
        <v>21</v>
      </c>
    </row>
    <row r="550" spans="1:12" ht="13.5" customHeight="1">
      <c r="A550" s="74"/>
      <c r="D550" s="194" t="s">
        <v>1098</v>
      </c>
      <c r="E550" s="195"/>
      <c r="F550" s="195"/>
      <c r="G550" s="195"/>
      <c r="H550" s="196"/>
      <c r="I550" s="195"/>
      <c r="J550" s="195"/>
      <c r="K550" s="195"/>
      <c r="L550" s="197"/>
    </row>
    <row r="551" spans="1:12" ht="15">
      <c r="A551" s="74"/>
      <c r="D551" s="75" t="s">
        <v>132</v>
      </c>
      <c r="E551" s="75" t="s">
        <v>4</v>
      </c>
      <c r="G551" s="76">
        <v>1</v>
      </c>
      <c r="L551" s="77"/>
    </row>
    <row r="552" spans="1:75" ht="27" customHeight="1">
      <c r="A552" s="1" t="s">
        <v>1099</v>
      </c>
      <c r="B552" s="2" t="s">
        <v>84</v>
      </c>
      <c r="C552" s="2" t="s">
        <v>1100</v>
      </c>
      <c r="D552" s="108" t="s">
        <v>1101</v>
      </c>
      <c r="E552" s="103"/>
      <c r="F552" s="2" t="s">
        <v>1097</v>
      </c>
      <c r="G552" s="38">
        <v>1</v>
      </c>
      <c r="H552" s="70">
        <v>0</v>
      </c>
      <c r="I552" s="38">
        <f>G552*H552</f>
        <v>0</v>
      </c>
      <c r="J552" s="38">
        <v>0.067</v>
      </c>
      <c r="K552" s="38">
        <f>G552*J552</f>
        <v>0.067</v>
      </c>
      <c r="L552" s="71" t="s">
        <v>207</v>
      </c>
      <c r="Z552" s="38">
        <f>IF(AQ552="5",BJ552,0)</f>
        <v>0</v>
      </c>
      <c r="AB552" s="38">
        <f>IF(AQ552="1",BH552,0)</f>
        <v>0</v>
      </c>
      <c r="AC552" s="38">
        <f>IF(AQ552="1",BI552,0)</f>
        <v>0</v>
      </c>
      <c r="AD552" s="38">
        <f>IF(AQ552="7",BH552,0)</f>
        <v>0</v>
      </c>
      <c r="AE552" s="38">
        <f>IF(AQ552="7",BI552,0)</f>
        <v>0</v>
      </c>
      <c r="AF552" s="38">
        <f>IF(AQ552="2",BH552,0)</f>
        <v>0</v>
      </c>
      <c r="AG552" s="38">
        <f>IF(AQ552="2",BI552,0)</f>
        <v>0</v>
      </c>
      <c r="AH552" s="38">
        <f>IF(AQ552="0",BJ552,0)</f>
        <v>0</v>
      </c>
      <c r="AI552" s="50" t="s">
        <v>84</v>
      </c>
      <c r="AJ552" s="38">
        <f>IF(AN552=0,I552,0)</f>
        <v>0</v>
      </c>
      <c r="AK552" s="38">
        <f>IF(AN552=12,I552,0)</f>
        <v>0</v>
      </c>
      <c r="AL552" s="38">
        <f>IF(AN552=21,I552,0)</f>
        <v>0</v>
      </c>
      <c r="AN552" s="38">
        <v>21</v>
      </c>
      <c r="AO552" s="38">
        <f>H552*0.934280727</f>
        <v>0</v>
      </c>
      <c r="AP552" s="38">
        <f>H552*(1-0.934280727)</f>
        <v>0</v>
      </c>
      <c r="AQ552" s="72" t="s">
        <v>169</v>
      </c>
      <c r="AV552" s="38">
        <f>AW552+AX552</f>
        <v>0</v>
      </c>
      <c r="AW552" s="38">
        <f>G552*AO552</f>
        <v>0</v>
      </c>
      <c r="AX552" s="38">
        <f>G552*AP552</f>
        <v>0</v>
      </c>
      <c r="AY552" s="72" t="s">
        <v>1087</v>
      </c>
      <c r="AZ552" s="72" t="s">
        <v>990</v>
      </c>
      <c r="BA552" s="50" t="s">
        <v>139</v>
      </c>
      <c r="BB552" s="73">
        <v>100013</v>
      </c>
      <c r="BC552" s="38">
        <f>AW552+AX552</f>
        <v>0</v>
      </c>
      <c r="BD552" s="38">
        <f>H552/(100-BE552)*100</f>
        <v>0</v>
      </c>
      <c r="BE552" s="38">
        <v>0</v>
      </c>
      <c r="BF552" s="38">
        <f>K552</f>
        <v>0.067</v>
      </c>
      <c r="BH552" s="38">
        <f>G552*AO552</f>
        <v>0</v>
      </c>
      <c r="BI552" s="38">
        <f>G552*AP552</f>
        <v>0</v>
      </c>
      <c r="BJ552" s="38">
        <f>G552*H552</f>
        <v>0</v>
      </c>
      <c r="BK552" s="38"/>
      <c r="BL552" s="38">
        <v>766</v>
      </c>
      <c r="BW552" s="38">
        <v>21</v>
      </c>
    </row>
    <row r="553" spans="1:12" ht="13.5" customHeight="1">
      <c r="A553" s="74"/>
      <c r="D553" s="194" t="s">
        <v>1102</v>
      </c>
      <c r="E553" s="195"/>
      <c r="F553" s="195"/>
      <c r="G553" s="195"/>
      <c r="H553" s="196"/>
      <c r="I553" s="195"/>
      <c r="J553" s="195"/>
      <c r="K553" s="195"/>
      <c r="L553" s="197"/>
    </row>
    <row r="554" spans="1:12" ht="15">
      <c r="A554" s="74"/>
      <c r="D554" s="75" t="s">
        <v>132</v>
      </c>
      <c r="E554" s="75" t="s">
        <v>4</v>
      </c>
      <c r="G554" s="76">
        <v>1</v>
      </c>
      <c r="L554" s="77"/>
    </row>
    <row r="555" spans="1:75" ht="27" customHeight="1">
      <c r="A555" s="1" t="s">
        <v>1103</v>
      </c>
      <c r="B555" s="2" t="s">
        <v>84</v>
      </c>
      <c r="C555" s="2" t="s">
        <v>1104</v>
      </c>
      <c r="D555" s="108" t="s">
        <v>1105</v>
      </c>
      <c r="E555" s="103"/>
      <c r="F555" s="2" t="s">
        <v>199</v>
      </c>
      <c r="G555" s="38">
        <v>1</v>
      </c>
      <c r="H555" s="70">
        <v>0</v>
      </c>
      <c r="I555" s="38">
        <f>G555*H555</f>
        <v>0</v>
      </c>
      <c r="J555" s="38">
        <v>0.04</v>
      </c>
      <c r="K555" s="38">
        <f>G555*J555</f>
        <v>0.04</v>
      </c>
      <c r="L555" s="71" t="s">
        <v>207</v>
      </c>
      <c r="Z555" s="38">
        <f>IF(AQ555="5",BJ555,0)</f>
        <v>0</v>
      </c>
      <c r="AB555" s="38">
        <f>IF(AQ555="1",BH555,0)</f>
        <v>0</v>
      </c>
      <c r="AC555" s="38">
        <f>IF(AQ555="1",BI555,0)</f>
        <v>0</v>
      </c>
      <c r="AD555" s="38">
        <f>IF(AQ555="7",BH555,0)</f>
        <v>0</v>
      </c>
      <c r="AE555" s="38">
        <f>IF(AQ555="7",BI555,0)</f>
        <v>0</v>
      </c>
      <c r="AF555" s="38">
        <f>IF(AQ555="2",BH555,0)</f>
        <v>0</v>
      </c>
      <c r="AG555" s="38">
        <f>IF(AQ555="2",BI555,0)</f>
        <v>0</v>
      </c>
      <c r="AH555" s="38">
        <f>IF(AQ555="0",BJ555,0)</f>
        <v>0</v>
      </c>
      <c r="AI555" s="50" t="s">
        <v>84</v>
      </c>
      <c r="AJ555" s="38">
        <f>IF(AN555=0,I555,0)</f>
        <v>0</v>
      </c>
      <c r="AK555" s="38">
        <f>IF(AN555=12,I555,0)</f>
        <v>0</v>
      </c>
      <c r="AL555" s="38">
        <f>IF(AN555=21,I555,0)</f>
        <v>0</v>
      </c>
      <c r="AN555" s="38">
        <v>21</v>
      </c>
      <c r="AO555" s="38">
        <f>H555*0.88150534</f>
        <v>0</v>
      </c>
      <c r="AP555" s="38">
        <f>H555*(1-0.88150534)</f>
        <v>0</v>
      </c>
      <c r="AQ555" s="72" t="s">
        <v>169</v>
      </c>
      <c r="AV555" s="38">
        <f>AW555+AX555</f>
        <v>0</v>
      </c>
      <c r="AW555" s="38">
        <f>G555*AO555</f>
        <v>0</v>
      </c>
      <c r="AX555" s="38">
        <f>G555*AP555</f>
        <v>0</v>
      </c>
      <c r="AY555" s="72" t="s">
        <v>1087</v>
      </c>
      <c r="AZ555" s="72" t="s">
        <v>990</v>
      </c>
      <c r="BA555" s="50" t="s">
        <v>139</v>
      </c>
      <c r="BB555" s="73">
        <v>100013</v>
      </c>
      <c r="BC555" s="38">
        <f>AW555+AX555</f>
        <v>0</v>
      </c>
      <c r="BD555" s="38">
        <f>H555/(100-BE555)*100</f>
        <v>0</v>
      </c>
      <c r="BE555" s="38">
        <v>0</v>
      </c>
      <c r="BF555" s="38">
        <f>K555</f>
        <v>0.04</v>
      </c>
      <c r="BH555" s="38">
        <f>G555*AO555</f>
        <v>0</v>
      </c>
      <c r="BI555" s="38">
        <f>G555*AP555</f>
        <v>0</v>
      </c>
      <c r="BJ555" s="38">
        <f>G555*H555</f>
        <v>0</v>
      </c>
      <c r="BK555" s="38"/>
      <c r="BL555" s="38">
        <v>766</v>
      </c>
      <c r="BW555" s="38">
        <v>21</v>
      </c>
    </row>
    <row r="556" spans="1:12" ht="13.5" customHeight="1">
      <c r="A556" s="74"/>
      <c r="D556" s="194" t="s">
        <v>1106</v>
      </c>
      <c r="E556" s="195"/>
      <c r="F556" s="195"/>
      <c r="G556" s="195"/>
      <c r="H556" s="196"/>
      <c r="I556" s="195"/>
      <c r="J556" s="195"/>
      <c r="K556" s="195"/>
      <c r="L556" s="197"/>
    </row>
    <row r="557" spans="1:12" ht="15">
      <c r="A557" s="74"/>
      <c r="D557" s="75" t="s">
        <v>132</v>
      </c>
      <c r="E557" s="75" t="s">
        <v>4</v>
      </c>
      <c r="G557" s="76">
        <v>1</v>
      </c>
      <c r="L557" s="77"/>
    </row>
    <row r="558" spans="1:75" ht="27" customHeight="1">
      <c r="A558" s="1" t="s">
        <v>1107</v>
      </c>
      <c r="B558" s="2" t="s">
        <v>84</v>
      </c>
      <c r="C558" s="2" t="s">
        <v>1108</v>
      </c>
      <c r="D558" s="108" t="s">
        <v>1109</v>
      </c>
      <c r="E558" s="103"/>
      <c r="F558" s="2" t="s">
        <v>199</v>
      </c>
      <c r="G558" s="38">
        <v>1</v>
      </c>
      <c r="H558" s="70">
        <v>0</v>
      </c>
      <c r="I558" s="38">
        <f>G558*H558</f>
        <v>0</v>
      </c>
      <c r="J558" s="38">
        <v>0.04</v>
      </c>
      <c r="K558" s="38">
        <f>G558*J558</f>
        <v>0.04</v>
      </c>
      <c r="L558" s="71" t="s">
        <v>207</v>
      </c>
      <c r="Z558" s="38">
        <f>IF(AQ558="5",BJ558,0)</f>
        <v>0</v>
      </c>
      <c r="AB558" s="38">
        <f>IF(AQ558="1",BH558,0)</f>
        <v>0</v>
      </c>
      <c r="AC558" s="38">
        <f>IF(AQ558="1",BI558,0)</f>
        <v>0</v>
      </c>
      <c r="AD558" s="38">
        <f>IF(AQ558="7",BH558,0)</f>
        <v>0</v>
      </c>
      <c r="AE558" s="38">
        <f>IF(AQ558="7",BI558,0)</f>
        <v>0</v>
      </c>
      <c r="AF558" s="38">
        <f>IF(AQ558="2",BH558,0)</f>
        <v>0</v>
      </c>
      <c r="AG558" s="38">
        <f>IF(AQ558="2",BI558,0)</f>
        <v>0</v>
      </c>
      <c r="AH558" s="38">
        <f>IF(AQ558="0",BJ558,0)</f>
        <v>0</v>
      </c>
      <c r="AI558" s="50" t="s">
        <v>84</v>
      </c>
      <c r="AJ558" s="38">
        <f>IF(AN558=0,I558,0)</f>
        <v>0</v>
      </c>
      <c r="AK558" s="38">
        <f>IF(AN558=12,I558,0)</f>
        <v>0</v>
      </c>
      <c r="AL558" s="38">
        <f>IF(AN558=21,I558,0)</f>
        <v>0</v>
      </c>
      <c r="AN558" s="38">
        <v>21</v>
      </c>
      <c r="AO558" s="38">
        <f>H558*0.88150534</f>
        <v>0</v>
      </c>
      <c r="AP558" s="38">
        <f>H558*(1-0.88150534)</f>
        <v>0</v>
      </c>
      <c r="AQ558" s="72" t="s">
        <v>169</v>
      </c>
      <c r="AV558" s="38">
        <f>AW558+AX558</f>
        <v>0</v>
      </c>
      <c r="AW558" s="38">
        <f>G558*AO558</f>
        <v>0</v>
      </c>
      <c r="AX558" s="38">
        <f>G558*AP558</f>
        <v>0</v>
      </c>
      <c r="AY558" s="72" t="s">
        <v>1087</v>
      </c>
      <c r="AZ558" s="72" t="s">
        <v>990</v>
      </c>
      <c r="BA558" s="50" t="s">
        <v>139</v>
      </c>
      <c r="BB558" s="73">
        <v>100013</v>
      </c>
      <c r="BC558" s="38">
        <f>AW558+AX558</f>
        <v>0</v>
      </c>
      <c r="BD558" s="38">
        <f>H558/(100-BE558)*100</f>
        <v>0</v>
      </c>
      <c r="BE558" s="38">
        <v>0</v>
      </c>
      <c r="BF558" s="38">
        <f>K558</f>
        <v>0.04</v>
      </c>
      <c r="BH558" s="38">
        <f>G558*AO558</f>
        <v>0</v>
      </c>
      <c r="BI558" s="38">
        <f>G558*AP558</f>
        <v>0</v>
      </c>
      <c r="BJ558" s="38">
        <f>G558*H558</f>
        <v>0</v>
      </c>
      <c r="BK558" s="38"/>
      <c r="BL558" s="38">
        <v>766</v>
      </c>
      <c r="BW558" s="38">
        <v>21</v>
      </c>
    </row>
    <row r="559" spans="1:12" ht="13.5" customHeight="1">
      <c r="A559" s="74"/>
      <c r="D559" s="194" t="s">
        <v>1106</v>
      </c>
      <c r="E559" s="195"/>
      <c r="F559" s="195"/>
      <c r="G559" s="195"/>
      <c r="H559" s="196"/>
      <c r="I559" s="195"/>
      <c r="J559" s="195"/>
      <c r="K559" s="195"/>
      <c r="L559" s="197"/>
    </row>
    <row r="560" spans="1:12" ht="15">
      <c r="A560" s="74"/>
      <c r="D560" s="75" t="s">
        <v>132</v>
      </c>
      <c r="E560" s="75" t="s">
        <v>4</v>
      </c>
      <c r="G560" s="76">
        <v>1</v>
      </c>
      <c r="L560" s="77"/>
    </row>
    <row r="561" spans="1:75" ht="27" customHeight="1">
      <c r="A561" s="1" t="s">
        <v>1110</v>
      </c>
      <c r="B561" s="2" t="s">
        <v>84</v>
      </c>
      <c r="C561" s="2" t="s">
        <v>1111</v>
      </c>
      <c r="D561" s="108" t="s">
        <v>1112</v>
      </c>
      <c r="E561" s="103"/>
      <c r="F561" s="2" t="s">
        <v>199</v>
      </c>
      <c r="G561" s="38">
        <v>1</v>
      </c>
      <c r="H561" s="70">
        <v>0</v>
      </c>
      <c r="I561" s="38">
        <f>G561*H561</f>
        <v>0</v>
      </c>
      <c r="J561" s="38">
        <v>0.04</v>
      </c>
      <c r="K561" s="38">
        <f>G561*J561</f>
        <v>0.04</v>
      </c>
      <c r="L561" s="71" t="s">
        <v>207</v>
      </c>
      <c r="Z561" s="38">
        <f>IF(AQ561="5",BJ561,0)</f>
        <v>0</v>
      </c>
      <c r="AB561" s="38">
        <f>IF(AQ561="1",BH561,0)</f>
        <v>0</v>
      </c>
      <c r="AC561" s="38">
        <f>IF(AQ561="1",BI561,0)</f>
        <v>0</v>
      </c>
      <c r="AD561" s="38">
        <f>IF(AQ561="7",BH561,0)</f>
        <v>0</v>
      </c>
      <c r="AE561" s="38">
        <f>IF(AQ561="7",BI561,0)</f>
        <v>0</v>
      </c>
      <c r="AF561" s="38">
        <f>IF(AQ561="2",BH561,0)</f>
        <v>0</v>
      </c>
      <c r="AG561" s="38">
        <f>IF(AQ561="2",BI561,0)</f>
        <v>0</v>
      </c>
      <c r="AH561" s="38">
        <f>IF(AQ561="0",BJ561,0)</f>
        <v>0</v>
      </c>
      <c r="AI561" s="50" t="s">
        <v>84</v>
      </c>
      <c r="AJ561" s="38">
        <f>IF(AN561=0,I561,0)</f>
        <v>0</v>
      </c>
      <c r="AK561" s="38">
        <f>IF(AN561=12,I561,0)</f>
        <v>0</v>
      </c>
      <c r="AL561" s="38">
        <f>IF(AN561=21,I561,0)</f>
        <v>0</v>
      </c>
      <c r="AN561" s="38">
        <v>21</v>
      </c>
      <c r="AO561" s="38">
        <f>H561*0.877346903</f>
        <v>0</v>
      </c>
      <c r="AP561" s="38">
        <f>H561*(1-0.877346903)</f>
        <v>0</v>
      </c>
      <c r="AQ561" s="72" t="s">
        <v>169</v>
      </c>
      <c r="AV561" s="38">
        <f>AW561+AX561</f>
        <v>0</v>
      </c>
      <c r="AW561" s="38">
        <f>G561*AO561</f>
        <v>0</v>
      </c>
      <c r="AX561" s="38">
        <f>G561*AP561</f>
        <v>0</v>
      </c>
      <c r="AY561" s="72" t="s">
        <v>1087</v>
      </c>
      <c r="AZ561" s="72" t="s">
        <v>990</v>
      </c>
      <c r="BA561" s="50" t="s">
        <v>139</v>
      </c>
      <c r="BB561" s="73">
        <v>100013</v>
      </c>
      <c r="BC561" s="38">
        <f>AW561+AX561</f>
        <v>0</v>
      </c>
      <c r="BD561" s="38">
        <f>H561/(100-BE561)*100</f>
        <v>0</v>
      </c>
      <c r="BE561" s="38">
        <v>0</v>
      </c>
      <c r="BF561" s="38">
        <f>K561</f>
        <v>0.04</v>
      </c>
      <c r="BH561" s="38">
        <f>G561*AO561</f>
        <v>0</v>
      </c>
      <c r="BI561" s="38">
        <f>G561*AP561</f>
        <v>0</v>
      </c>
      <c r="BJ561" s="38">
        <f>G561*H561</f>
        <v>0</v>
      </c>
      <c r="BK561" s="38"/>
      <c r="BL561" s="38">
        <v>766</v>
      </c>
      <c r="BW561" s="38">
        <v>21</v>
      </c>
    </row>
    <row r="562" spans="1:12" ht="13.5" customHeight="1">
      <c r="A562" s="74"/>
      <c r="D562" s="194" t="s">
        <v>1106</v>
      </c>
      <c r="E562" s="195"/>
      <c r="F562" s="195"/>
      <c r="G562" s="195"/>
      <c r="H562" s="196"/>
      <c r="I562" s="195"/>
      <c r="J562" s="195"/>
      <c r="K562" s="195"/>
      <c r="L562" s="197"/>
    </row>
    <row r="563" spans="1:12" ht="15">
      <c r="A563" s="74"/>
      <c r="D563" s="75" t="s">
        <v>132</v>
      </c>
      <c r="E563" s="75" t="s">
        <v>4</v>
      </c>
      <c r="G563" s="76">
        <v>1</v>
      </c>
      <c r="L563" s="77"/>
    </row>
    <row r="564" spans="1:75" ht="27" customHeight="1">
      <c r="A564" s="1" t="s">
        <v>1113</v>
      </c>
      <c r="B564" s="2" t="s">
        <v>84</v>
      </c>
      <c r="C564" s="2" t="s">
        <v>1114</v>
      </c>
      <c r="D564" s="108" t="s">
        <v>1115</v>
      </c>
      <c r="E564" s="103"/>
      <c r="F564" s="2" t="s">
        <v>199</v>
      </c>
      <c r="G564" s="38">
        <v>1</v>
      </c>
      <c r="H564" s="70">
        <v>0</v>
      </c>
      <c r="I564" s="38">
        <f>G564*H564</f>
        <v>0</v>
      </c>
      <c r="J564" s="38">
        <v>0.04</v>
      </c>
      <c r="K564" s="38">
        <f>G564*J564</f>
        <v>0.04</v>
      </c>
      <c r="L564" s="71" t="s">
        <v>207</v>
      </c>
      <c r="Z564" s="38">
        <f>IF(AQ564="5",BJ564,0)</f>
        <v>0</v>
      </c>
      <c r="AB564" s="38">
        <f>IF(AQ564="1",BH564,0)</f>
        <v>0</v>
      </c>
      <c r="AC564" s="38">
        <f>IF(AQ564="1",BI564,0)</f>
        <v>0</v>
      </c>
      <c r="AD564" s="38">
        <f>IF(AQ564="7",BH564,0)</f>
        <v>0</v>
      </c>
      <c r="AE564" s="38">
        <f>IF(AQ564="7",BI564,0)</f>
        <v>0</v>
      </c>
      <c r="AF564" s="38">
        <f>IF(AQ564="2",BH564,0)</f>
        <v>0</v>
      </c>
      <c r="AG564" s="38">
        <f>IF(AQ564="2",BI564,0)</f>
        <v>0</v>
      </c>
      <c r="AH564" s="38">
        <f>IF(AQ564="0",BJ564,0)</f>
        <v>0</v>
      </c>
      <c r="AI564" s="50" t="s">
        <v>84</v>
      </c>
      <c r="AJ564" s="38">
        <f>IF(AN564=0,I564,0)</f>
        <v>0</v>
      </c>
      <c r="AK564" s="38">
        <f>IF(AN564=12,I564,0)</f>
        <v>0</v>
      </c>
      <c r="AL564" s="38">
        <f>IF(AN564=21,I564,0)</f>
        <v>0</v>
      </c>
      <c r="AN564" s="38">
        <v>21</v>
      </c>
      <c r="AO564" s="38">
        <f>H564*0.88150534</f>
        <v>0</v>
      </c>
      <c r="AP564" s="38">
        <f>H564*(1-0.88150534)</f>
        <v>0</v>
      </c>
      <c r="AQ564" s="72" t="s">
        <v>169</v>
      </c>
      <c r="AV564" s="38">
        <f>AW564+AX564</f>
        <v>0</v>
      </c>
      <c r="AW564" s="38">
        <f>G564*AO564</f>
        <v>0</v>
      </c>
      <c r="AX564" s="38">
        <f>G564*AP564</f>
        <v>0</v>
      </c>
      <c r="AY564" s="72" t="s">
        <v>1087</v>
      </c>
      <c r="AZ564" s="72" t="s">
        <v>990</v>
      </c>
      <c r="BA564" s="50" t="s">
        <v>139</v>
      </c>
      <c r="BB564" s="73">
        <v>100013</v>
      </c>
      <c r="BC564" s="38">
        <f>AW564+AX564</f>
        <v>0</v>
      </c>
      <c r="BD564" s="38">
        <f>H564/(100-BE564)*100</f>
        <v>0</v>
      </c>
      <c r="BE564" s="38">
        <v>0</v>
      </c>
      <c r="BF564" s="38">
        <f>K564</f>
        <v>0.04</v>
      </c>
      <c r="BH564" s="38">
        <f>G564*AO564</f>
        <v>0</v>
      </c>
      <c r="BI564" s="38">
        <f>G564*AP564</f>
        <v>0</v>
      </c>
      <c r="BJ564" s="38">
        <f>G564*H564</f>
        <v>0</v>
      </c>
      <c r="BK564" s="38"/>
      <c r="BL564" s="38">
        <v>766</v>
      </c>
      <c r="BW564" s="38">
        <v>21</v>
      </c>
    </row>
    <row r="565" spans="1:12" ht="13.5" customHeight="1">
      <c r="A565" s="74"/>
      <c r="D565" s="194" t="s">
        <v>1106</v>
      </c>
      <c r="E565" s="195"/>
      <c r="F565" s="195"/>
      <c r="G565" s="195"/>
      <c r="H565" s="196"/>
      <c r="I565" s="195"/>
      <c r="J565" s="195"/>
      <c r="K565" s="195"/>
      <c r="L565" s="197"/>
    </row>
    <row r="566" spans="1:12" ht="15">
      <c r="A566" s="74"/>
      <c r="D566" s="75" t="s">
        <v>132</v>
      </c>
      <c r="E566" s="75" t="s">
        <v>4</v>
      </c>
      <c r="G566" s="76">
        <v>1</v>
      </c>
      <c r="L566" s="77"/>
    </row>
    <row r="567" spans="1:75" ht="27" customHeight="1">
      <c r="A567" s="1" t="s">
        <v>1116</v>
      </c>
      <c r="B567" s="2" t="s">
        <v>84</v>
      </c>
      <c r="C567" s="2" t="s">
        <v>1117</v>
      </c>
      <c r="D567" s="108" t="s">
        <v>1118</v>
      </c>
      <c r="E567" s="103"/>
      <c r="F567" s="2" t="s">
        <v>199</v>
      </c>
      <c r="G567" s="38">
        <v>1</v>
      </c>
      <c r="H567" s="70">
        <v>0</v>
      </c>
      <c r="I567" s="38">
        <f>G567*H567</f>
        <v>0</v>
      </c>
      <c r="J567" s="38">
        <v>0.04</v>
      </c>
      <c r="K567" s="38">
        <f>G567*J567</f>
        <v>0.04</v>
      </c>
      <c r="L567" s="71" t="s">
        <v>207</v>
      </c>
      <c r="Z567" s="38">
        <f>IF(AQ567="5",BJ567,0)</f>
        <v>0</v>
      </c>
      <c r="AB567" s="38">
        <f>IF(AQ567="1",BH567,0)</f>
        <v>0</v>
      </c>
      <c r="AC567" s="38">
        <f>IF(AQ567="1",BI567,0)</f>
        <v>0</v>
      </c>
      <c r="AD567" s="38">
        <f>IF(AQ567="7",BH567,0)</f>
        <v>0</v>
      </c>
      <c r="AE567" s="38">
        <f>IF(AQ567="7",BI567,0)</f>
        <v>0</v>
      </c>
      <c r="AF567" s="38">
        <f>IF(AQ567="2",BH567,0)</f>
        <v>0</v>
      </c>
      <c r="AG567" s="38">
        <f>IF(AQ567="2",BI567,0)</f>
        <v>0</v>
      </c>
      <c r="AH567" s="38">
        <f>IF(AQ567="0",BJ567,0)</f>
        <v>0</v>
      </c>
      <c r="AI567" s="50" t="s">
        <v>84</v>
      </c>
      <c r="AJ567" s="38">
        <f>IF(AN567=0,I567,0)</f>
        <v>0</v>
      </c>
      <c r="AK567" s="38">
        <f>IF(AN567=12,I567,0)</f>
        <v>0</v>
      </c>
      <c r="AL567" s="38">
        <f>IF(AN567=21,I567,0)</f>
        <v>0</v>
      </c>
      <c r="AN567" s="38">
        <v>21</v>
      </c>
      <c r="AO567" s="38">
        <f>H567*0.88150534</f>
        <v>0</v>
      </c>
      <c r="AP567" s="38">
        <f>H567*(1-0.88150534)</f>
        <v>0</v>
      </c>
      <c r="AQ567" s="72" t="s">
        <v>169</v>
      </c>
      <c r="AV567" s="38">
        <f>AW567+AX567</f>
        <v>0</v>
      </c>
      <c r="AW567" s="38">
        <f>G567*AO567</f>
        <v>0</v>
      </c>
      <c r="AX567" s="38">
        <f>G567*AP567</f>
        <v>0</v>
      </c>
      <c r="AY567" s="72" t="s">
        <v>1087</v>
      </c>
      <c r="AZ567" s="72" t="s">
        <v>990</v>
      </c>
      <c r="BA567" s="50" t="s">
        <v>139</v>
      </c>
      <c r="BB567" s="73">
        <v>100013</v>
      </c>
      <c r="BC567" s="38">
        <f>AW567+AX567</f>
        <v>0</v>
      </c>
      <c r="BD567" s="38">
        <f>H567/(100-BE567)*100</f>
        <v>0</v>
      </c>
      <c r="BE567" s="38">
        <v>0</v>
      </c>
      <c r="BF567" s="38">
        <f>K567</f>
        <v>0.04</v>
      </c>
      <c r="BH567" s="38">
        <f>G567*AO567</f>
        <v>0</v>
      </c>
      <c r="BI567" s="38">
        <f>G567*AP567</f>
        <v>0</v>
      </c>
      <c r="BJ567" s="38">
        <f>G567*H567</f>
        <v>0</v>
      </c>
      <c r="BK567" s="38"/>
      <c r="BL567" s="38">
        <v>766</v>
      </c>
      <c r="BW567" s="38">
        <v>21</v>
      </c>
    </row>
    <row r="568" spans="1:12" ht="13.5" customHeight="1">
      <c r="A568" s="74"/>
      <c r="D568" s="194" t="s">
        <v>1106</v>
      </c>
      <c r="E568" s="195"/>
      <c r="F568" s="195"/>
      <c r="G568" s="195"/>
      <c r="H568" s="196"/>
      <c r="I568" s="195"/>
      <c r="J568" s="195"/>
      <c r="K568" s="195"/>
      <c r="L568" s="197"/>
    </row>
    <row r="569" spans="1:12" ht="15">
      <c r="A569" s="74"/>
      <c r="D569" s="75" t="s">
        <v>132</v>
      </c>
      <c r="E569" s="75" t="s">
        <v>4</v>
      </c>
      <c r="G569" s="76">
        <v>1</v>
      </c>
      <c r="L569" s="77"/>
    </row>
    <row r="570" spans="1:75" ht="27" customHeight="1">
      <c r="A570" s="1" t="s">
        <v>1119</v>
      </c>
      <c r="B570" s="2" t="s">
        <v>84</v>
      </c>
      <c r="C570" s="2" t="s">
        <v>1120</v>
      </c>
      <c r="D570" s="108" t="s">
        <v>1121</v>
      </c>
      <c r="E570" s="103"/>
      <c r="F570" s="2" t="s">
        <v>199</v>
      </c>
      <c r="G570" s="38">
        <v>1</v>
      </c>
      <c r="H570" s="70">
        <v>0</v>
      </c>
      <c r="I570" s="38">
        <f>G570*H570</f>
        <v>0</v>
      </c>
      <c r="J570" s="38">
        <v>0.04</v>
      </c>
      <c r="K570" s="38">
        <f>G570*J570</f>
        <v>0.04</v>
      </c>
      <c r="L570" s="71" t="s">
        <v>207</v>
      </c>
      <c r="Z570" s="38">
        <f>IF(AQ570="5",BJ570,0)</f>
        <v>0</v>
      </c>
      <c r="AB570" s="38">
        <f>IF(AQ570="1",BH570,0)</f>
        <v>0</v>
      </c>
      <c r="AC570" s="38">
        <f>IF(AQ570="1",BI570,0)</f>
        <v>0</v>
      </c>
      <c r="AD570" s="38">
        <f>IF(AQ570="7",BH570,0)</f>
        <v>0</v>
      </c>
      <c r="AE570" s="38">
        <f>IF(AQ570="7",BI570,0)</f>
        <v>0</v>
      </c>
      <c r="AF570" s="38">
        <f>IF(AQ570="2",BH570,0)</f>
        <v>0</v>
      </c>
      <c r="AG570" s="38">
        <f>IF(AQ570="2",BI570,0)</f>
        <v>0</v>
      </c>
      <c r="AH570" s="38">
        <f>IF(AQ570="0",BJ570,0)</f>
        <v>0</v>
      </c>
      <c r="AI570" s="50" t="s">
        <v>84</v>
      </c>
      <c r="AJ570" s="38">
        <f>IF(AN570=0,I570,0)</f>
        <v>0</v>
      </c>
      <c r="AK570" s="38">
        <f>IF(AN570=12,I570,0)</f>
        <v>0</v>
      </c>
      <c r="AL570" s="38">
        <f>IF(AN570=21,I570,0)</f>
        <v>0</v>
      </c>
      <c r="AN570" s="38">
        <v>21</v>
      </c>
      <c r="AO570" s="38">
        <f>H570*0.88150534</f>
        <v>0</v>
      </c>
      <c r="AP570" s="38">
        <f>H570*(1-0.88150534)</f>
        <v>0</v>
      </c>
      <c r="AQ570" s="72" t="s">
        <v>169</v>
      </c>
      <c r="AV570" s="38">
        <f>AW570+AX570</f>
        <v>0</v>
      </c>
      <c r="AW570" s="38">
        <f>G570*AO570</f>
        <v>0</v>
      </c>
      <c r="AX570" s="38">
        <f>G570*AP570</f>
        <v>0</v>
      </c>
      <c r="AY570" s="72" t="s">
        <v>1087</v>
      </c>
      <c r="AZ570" s="72" t="s">
        <v>990</v>
      </c>
      <c r="BA570" s="50" t="s">
        <v>139</v>
      </c>
      <c r="BB570" s="73">
        <v>100013</v>
      </c>
      <c r="BC570" s="38">
        <f>AW570+AX570</f>
        <v>0</v>
      </c>
      <c r="BD570" s="38">
        <f>H570/(100-BE570)*100</f>
        <v>0</v>
      </c>
      <c r="BE570" s="38">
        <v>0</v>
      </c>
      <c r="BF570" s="38">
        <f>K570</f>
        <v>0.04</v>
      </c>
      <c r="BH570" s="38">
        <f>G570*AO570</f>
        <v>0</v>
      </c>
      <c r="BI570" s="38">
        <f>G570*AP570</f>
        <v>0</v>
      </c>
      <c r="BJ570" s="38">
        <f>G570*H570</f>
        <v>0</v>
      </c>
      <c r="BK570" s="38"/>
      <c r="BL570" s="38">
        <v>766</v>
      </c>
      <c r="BW570" s="38">
        <v>21</v>
      </c>
    </row>
    <row r="571" spans="1:12" ht="13.5" customHeight="1">
      <c r="A571" s="74"/>
      <c r="D571" s="194" t="s">
        <v>1106</v>
      </c>
      <c r="E571" s="195"/>
      <c r="F571" s="195"/>
      <c r="G571" s="195"/>
      <c r="H571" s="196"/>
      <c r="I571" s="195"/>
      <c r="J571" s="195"/>
      <c r="K571" s="195"/>
      <c r="L571" s="197"/>
    </row>
    <row r="572" spans="1:12" ht="15">
      <c r="A572" s="74"/>
      <c r="D572" s="75" t="s">
        <v>132</v>
      </c>
      <c r="E572" s="75" t="s">
        <v>4</v>
      </c>
      <c r="G572" s="76">
        <v>1</v>
      </c>
      <c r="L572" s="77"/>
    </row>
    <row r="573" spans="1:75" ht="27" customHeight="1">
      <c r="A573" s="1" t="s">
        <v>1122</v>
      </c>
      <c r="B573" s="2" t="s">
        <v>84</v>
      </c>
      <c r="C573" s="2" t="s">
        <v>1123</v>
      </c>
      <c r="D573" s="108" t="s">
        <v>1124</v>
      </c>
      <c r="E573" s="103"/>
      <c r="F573" s="2" t="s">
        <v>199</v>
      </c>
      <c r="G573" s="38">
        <v>1</v>
      </c>
      <c r="H573" s="70">
        <v>0</v>
      </c>
      <c r="I573" s="38">
        <f>G573*H573</f>
        <v>0</v>
      </c>
      <c r="J573" s="38">
        <v>0.04</v>
      </c>
      <c r="K573" s="38">
        <f>G573*J573</f>
        <v>0.04</v>
      </c>
      <c r="L573" s="71" t="s">
        <v>207</v>
      </c>
      <c r="Z573" s="38">
        <f>IF(AQ573="5",BJ573,0)</f>
        <v>0</v>
      </c>
      <c r="AB573" s="38">
        <f>IF(AQ573="1",BH573,0)</f>
        <v>0</v>
      </c>
      <c r="AC573" s="38">
        <f>IF(AQ573="1",BI573,0)</f>
        <v>0</v>
      </c>
      <c r="AD573" s="38">
        <f>IF(AQ573="7",BH573,0)</f>
        <v>0</v>
      </c>
      <c r="AE573" s="38">
        <f>IF(AQ573="7",BI573,0)</f>
        <v>0</v>
      </c>
      <c r="AF573" s="38">
        <f>IF(AQ573="2",BH573,0)</f>
        <v>0</v>
      </c>
      <c r="AG573" s="38">
        <f>IF(AQ573="2",BI573,0)</f>
        <v>0</v>
      </c>
      <c r="AH573" s="38">
        <f>IF(AQ573="0",BJ573,0)</f>
        <v>0</v>
      </c>
      <c r="AI573" s="50" t="s">
        <v>84</v>
      </c>
      <c r="AJ573" s="38">
        <f>IF(AN573=0,I573,0)</f>
        <v>0</v>
      </c>
      <c r="AK573" s="38">
        <f>IF(AN573=12,I573,0)</f>
        <v>0</v>
      </c>
      <c r="AL573" s="38">
        <f>IF(AN573=21,I573,0)</f>
        <v>0</v>
      </c>
      <c r="AN573" s="38">
        <v>21</v>
      </c>
      <c r="AO573" s="38">
        <f>H573*0.88150534</f>
        <v>0</v>
      </c>
      <c r="AP573" s="38">
        <f>H573*(1-0.88150534)</f>
        <v>0</v>
      </c>
      <c r="AQ573" s="72" t="s">
        <v>169</v>
      </c>
      <c r="AV573" s="38">
        <f>AW573+AX573</f>
        <v>0</v>
      </c>
      <c r="AW573" s="38">
        <f>G573*AO573</f>
        <v>0</v>
      </c>
      <c r="AX573" s="38">
        <f>G573*AP573</f>
        <v>0</v>
      </c>
      <c r="AY573" s="72" t="s">
        <v>1087</v>
      </c>
      <c r="AZ573" s="72" t="s">
        <v>990</v>
      </c>
      <c r="BA573" s="50" t="s">
        <v>139</v>
      </c>
      <c r="BB573" s="73">
        <v>100013</v>
      </c>
      <c r="BC573" s="38">
        <f>AW573+AX573</f>
        <v>0</v>
      </c>
      <c r="BD573" s="38">
        <f>H573/(100-BE573)*100</f>
        <v>0</v>
      </c>
      <c r="BE573" s="38">
        <v>0</v>
      </c>
      <c r="BF573" s="38">
        <f>K573</f>
        <v>0.04</v>
      </c>
      <c r="BH573" s="38">
        <f>G573*AO573</f>
        <v>0</v>
      </c>
      <c r="BI573" s="38">
        <f>G573*AP573</f>
        <v>0</v>
      </c>
      <c r="BJ573" s="38">
        <f>G573*H573</f>
        <v>0</v>
      </c>
      <c r="BK573" s="38"/>
      <c r="BL573" s="38">
        <v>766</v>
      </c>
      <c r="BW573" s="38">
        <v>21</v>
      </c>
    </row>
    <row r="574" spans="1:12" ht="13.5" customHeight="1">
      <c r="A574" s="74"/>
      <c r="D574" s="194" t="s">
        <v>1106</v>
      </c>
      <c r="E574" s="195"/>
      <c r="F574" s="195"/>
      <c r="G574" s="195"/>
      <c r="H574" s="196"/>
      <c r="I574" s="195"/>
      <c r="J574" s="195"/>
      <c r="K574" s="195"/>
      <c r="L574" s="197"/>
    </row>
    <row r="575" spans="1:12" ht="15">
      <c r="A575" s="74"/>
      <c r="D575" s="75" t="s">
        <v>132</v>
      </c>
      <c r="E575" s="75" t="s">
        <v>4</v>
      </c>
      <c r="G575" s="76">
        <v>1</v>
      </c>
      <c r="L575" s="77"/>
    </row>
    <row r="576" spans="1:75" ht="27" customHeight="1">
      <c r="A576" s="1" t="s">
        <v>1125</v>
      </c>
      <c r="B576" s="2" t="s">
        <v>84</v>
      </c>
      <c r="C576" s="2" t="s">
        <v>1126</v>
      </c>
      <c r="D576" s="108" t="s">
        <v>1127</v>
      </c>
      <c r="E576" s="103"/>
      <c r="F576" s="2" t="s">
        <v>199</v>
      </c>
      <c r="G576" s="38">
        <v>1</v>
      </c>
      <c r="H576" s="70">
        <v>0</v>
      </c>
      <c r="I576" s="38">
        <f>G576*H576</f>
        <v>0</v>
      </c>
      <c r="J576" s="38">
        <v>0.04</v>
      </c>
      <c r="K576" s="38">
        <f>G576*J576</f>
        <v>0.04</v>
      </c>
      <c r="L576" s="71" t="s">
        <v>207</v>
      </c>
      <c r="Z576" s="38">
        <f>IF(AQ576="5",BJ576,0)</f>
        <v>0</v>
      </c>
      <c r="AB576" s="38">
        <f>IF(AQ576="1",BH576,0)</f>
        <v>0</v>
      </c>
      <c r="AC576" s="38">
        <f>IF(AQ576="1",BI576,0)</f>
        <v>0</v>
      </c>
      <c r="AD576" s="38">
        <f>IF(AQ576="7",BH576,0)</f>
        <v>0</v>
      </c>
      <c r="AE576" s="38">
        <f>IF(AQ576="7",BI576,0)</f>
        <v>0</v>
      </c>
      <c r="AF576" s="38">
        <f>IF(AQ576="2",BH576,0)</f>
        <v>0</v>
      </c>
      <c r="AG576" s="38">
        <f>IF(AQ576="2",BI576,0)</f>
        <v>0</v>
      </c>
      <c r="AH576" s="38">
        <f>IF(AQ576="0",BJ576,0)</f>
        <v>0</v>
      </c>
      <c r="AI576" s="50" t="s">
        <v>84</v>
      </c>
      <c r="AJ576" s="38">
        <f>IF(AN576=0,I576,0)</f>
        <v>0</v>
      </c>
      <c r="AK576" s="38">
        <f>IF(AN576=12,I576,0)</f>
        <v>0</v>
      </c>
      <c r="AL576" s="38">
        <f>IF(AN576=21,I576,0)</f>
        <v>0</v>
      </c>
      <c r="AN576" s="38">
        <v>21</v>
      </c>
      <c r="AO576" s="38">
        <f>H576*0.80931163</f>
        <v>0</v>
      </c>
      <c r="AP576" s="38">
        <f>H576*(1-0.80931163)</f>
        <v>0</v>
      </c>
      <c r="AQ576" s="72" t="s">
        <v>169</v>
      </c>
      <c r="AV576" s="38">
        <f>AW576+AX576</f>
        <v>0</v>
      </c>
      <c r="AW576" s="38">
        <f>G576*AO576</f>
        <v>0</v>
      </c>
      <c r="AX576" s="38">
        <f>G576*AP576</f>
        <v>0</v>
      </c>
      <c r="AY576" s="72" t="s">
        <v>1087</v>
      </c>
      <c r="AZ576" s="72" t="s">
        <v>990</v>
      </c>
      <c r="BA576" s="50" t="s">
        <v>139</v>
      </c>
      <c r="BB576" s="73">
        <v>100013</v>
      </c>
      <c r="BC576" s="38">
        <f>AW576+AX576</f>
        <v>0</v>
      </c>
      <c r="BD576" s="38">
        <f>H576/(100-BE576)*100</f>
        <v>0</v>
      </c>
      <c r="BE576" s="38">
        <v>0</v>
      </c>
      <c r="BF576" s="38">
        <f>K576</f>
        <v>0.04</v>
      </c>
      <c r="BH576" s="38">
        <f>G576*AO576</f>
        <v>0</v>
      </c>
      <c r="BI576" s="38">
        <f>G576*AP576</f>
        <v>0</v>
      </c>
      <c r="BJ576" s="38">
        <f>G576*H576</f>
        <v>0</v>
      </c>
      <c r="BK576" s="38"/>
      <c r="BL576" s="38">
        <v>766</v>
      </c>
      <c r="BW576" s="38">
        <v>21</v>
      </c>
    </row>
    <row r="577" spans="1:12" ht="13.5" customHeight="1">
      <c r="A577" s="74"/>
      <c r="D577" s="194" t="s">
        <v>1106</v>
      </c>
      <c r="E577" s="195"/>
      <c r="F577" s="195"/>
      <c r="G577" s="195"/>
      <c r="H577" s="196"/>
      <c r="I577" s="195"/>
      <c r="J577" s="195"/>
      <c r="K577" s="195"/>
      <c r="L577" s="197"/>
    </row>
    <row r="578" spans="1:12" ht="15">
      <c r="A578" s="74"/>
      <c r="D578" s="75" t="s">
        <v>132</v>
      </c>
      <c r="E578" s="75" t="s">
        <v>4</v>
      </c>
      <c r="G578" s="76">
        <v>1</v>
      </c>
      <c r="L578" s="77"/>
    </row>
    <row r="579" spans="1:75" ht="27" customHeight="1">
      <c r="A579" s="1" t="s">
        <v>1128</v>
      </c>
      <c r="B579" s="2" t="s">
        <v>84</v>
      </c>
      <c r="C579" s="2" t="s">
        <v>1129</v>
      </c>
      <c r="D579" s="108" t="s">
        <v>1130</v>
      </c>
      <c r="E579" s="103"/>
      <c r="F579" s="2" t="s">
        <v>199</v>
      </c>
      <c r="G579" s="38">
        <v>1</v>
      </c>
      <c r="H579" s="70">
        <v>0</v>
      </c>
      <c r="I579" s="38">
        <f>G579*H579</f>
        <v>0</v>
      </c>
      <c r="J579" s="38">
        <v>0.04</v>
      </c>
      <c r="K579" s="38">
        <f>G579*J579</f>
        <v>0.04</v>
      </c>
      <c r="L579" s="71" t="s">
        <v>207</v>
      </c>
      <c r="Z579" s="38">
        <f>IF(AQ579="5",BJ579,0)</f>
        <v>0</v>
      </c>
      <c r="AB579" s="38">
        <f>IF(AQ579="1",BH579,0)</f>
        <v>0</v>
      </c>
      <c r="AC579" s="38">
        <f>IF(AQ579="1",BI579,0)</f>
        <v>0</v>
      </c>
      <c r="AD579" s="38">
        <f>IF(AQ579="7",BH579,0)</f>
        <v>0</v>
      </c>
      <c r="AE579" s="38">
        <f>IF(AQ579="7",BI579,0)</f>
        <v>0</v>
      </c>
      <c r="AF579" s="38">
        <f>IF(AQ579="2",BH579,0)</f>
        <v>0</v>
      </c>
      <c r="AG579" s="38">
        <f>IF(AQ579="2",BI579,0)</f>
        <v>0</v>
      </c>
      <c r="AH579" s="38">
        <f>IF(AQ579="0",BJ579,0)</f>
        <v>0</v>
      </c>
      <c r="AI579" s="50" t="s">
        <v>84</v>
      </c>
      <c r="AJ579" s="38">
        <f>IF(AN579=0,I579,0)</f>
        <v>0</v>
      </c>
      <c r="AK579" s="38">
        <f>IF(AN579=12,I579,0)</f>
        <v>0</v>
      </c>
      <c r="AL579" s="38">
        <f>IF(AN579=21,I579,0)</f>
        <v>0</v>
      </c>
      <c r="AN579" s="38">
        <v>21</v>
      </c>
      <c r="AO579" s="38">
        <f>H579*0.80931163</f>
        <v>0</v>
      </c>
      <c r="AP579" s="38">
        <f>H579*(1-0.80931163)</f>
        <v>0</v>
      </c>
      <c r="AQ579" s="72" t="s">
        <v>169</v>
      </c>
      <c r="AV579" s="38">
        <f>AW579+AX579</f>
        <v>0</v>
      </c>
      <c r="AW579" s="38">
        <f>G579*AO579</f>
        <v>0</v>
      </c>
      <c r="AX579" s="38">
        <f>G579*AP579</f>
        <v>0</v>
      </c>
      <c r="AY579" s="72" t="s">
        <v>1087</v>
      </c>
      <c r="AZ579" s="72" t="s">
        <v>990</v>
      </c>
      <c r="BA579" s="50" t="s">
        <v>139</v>
      </c>
      <c r="BB579" s="73">
        <v>100013</v>
      </c>
      <c r="BC579" s="38">
        <f>AW579+AX579</f>
        <v>0</v>
      </c>
      <c r="BD579" s="38">
        <f>H579/(100-BE579)*100</f>
        <v>0</v>
      </c>
      <c r="BE579" s="38">
        <v>0</v>
      </c>
      <c r="BF579" s="38">
        <f>K579</f>
        <v>0.04</v>
      </c>
      <c r="BH579" s="38">
        <f>G579*AO579</f>
        <v>0</v>
      </c>
      <c r="BI579" s="38">
        <f>G579*AP579</f>
        <v>0</v>
      </c>
      <c r="BJ579" s="38">
        <f>G579*H579</f>
        <v>0</v>
      </c>
      <c r="BK579" s="38"/>
      <c r="BL579" s="38">
        <v>766</v>
      </c>
      <c r="BW579" s="38">
        <v>21</v>
      </c>
    </row>
    <row r="580" spans="1:12" ht="13.5" customHeight="1">
      <c r="A580" s="74"/>
      <c r="D580" s="194" t="s">
        <v>1106</v>
      </c>
      <c r="E580" s="195"/>
      <c r="F580" s="195"/>
      <c r="G580" s="195"/>
      <c r="H580" s="196"/>
      <c r="I580" s="195"/>
      <c r="J580" s="195"/>
      <c r="K580" s="195"/>
      <c r="L580" s="197"/>
    </row>
    <row r="581" spans="1:12" ht="15">
      <c r="A581" s="74"/>
      <c r="D581" s="75" t="s">
        <v>132</v>
      </c>
      <c r="E581" s="75" t="s">
        <v>4</v>
      </c>
      <c r="G581" s="76">
        <v>1</v>
      </c>
      <c r="L581" s="77"/>
    </row>
    <row r="582" spans="1:75" ht="27" customHeight="1">
      <c r="A582" s="1" t="s">
        <v>1131</v>
      </c>
      <c r="B582" s="2" t="s">
        <v>84</v>
      </c>
      <c r="C582" s="2" t="s">
        <v>1132</v>
      </c>
      <c r="D582" s="108" t="s">
        <v>1133</v>
      </c>
      <c r="E582" s="103"/>
      <c r="F582" s="2" t="s">
        <v>199</v>
      </c>
      <c r="G582" s="38">
        <v>2</v>
      </c>
      <c r="H582" s="70">
        <v>0</v>
      </c>
      <c r="I582" s="38">
        <f>G582*H582</f>
        <v>0</v>
      </c>
      <c r="J582" s="38">
        <v>0.04</v>
      </c>
      <c r="K582" s="38">
        <f>G582*J582</f>
        <v>0.08</v>
      </c>
      <c r="L582" s="71" t="s">
        <v>207</v>
      </c>
      <c r="Z582" s="38">
        <f>IF(AQ582="5",BJ582,0)</f>
        <v>0</v>
      </c>
      <c r="AB582" s="38">
        <f>IF(AQ582="1",BH582,0)</f>
        <v>0</v>
      </c>
      <c r="AC582" s="38">
        <f>IF(AQ582="1",BI582,0)</f>
        <v>0</v>
      </c>
      <c r="AD582" s="38">
        <f>IF(AQ582="7",BH582,0)</f>
        <v>0</v>
      </c>
      <c r="AE582" s="38">
        <f>IF(AQ582="7",BI582,0)</f>
        <v>0</v>
      </c>
      <c r="AF582" s="38">
        <f>IF(AQ582="2",BH582,0)</f>
        <v>0</v>
      </c>
      <c r="AG582" s="38">
        <f>IF(AQ582="2",BI582,0)</f>
        <v>0</v>
      </c>
      <c r="AH582" s="38">
        <f>IF(AQ582="0",BJ582,0)</f>
        <v>0</v>
      </c>
      <c r="AI582" s="50" t="s">
        <v>84</v>
      </c>
      <c r="AJ582" s="38">
        <f>IF(AN582=0,I582,0)</f>
        <v>0</v>
      </c>
      <c r="AK582" s="38">
        <f>IF(AN582=12,I582,0)</f>
        <v>0</v>
      </c>
      <c r="AL582" s="38">
        <f>IF(AN582=21,I582,0)</f>
        <v>0</v>
      </c>
      <c r="AN582" s="38">
        <v>21</v>
      </c>
      <c r="AO582" s="38">
        <f>H582*0.80931163</f>
        <v>0</v>
      </c>
      <c r="AP582" s="38">
        <f>H582*(1-0.80931163)</f>
        <v>0</v>
      </c>
      <c r="AQ582" s="72" t="s">
        <v>169</v>
      </c>
      <c r="AV582" s="38">
        <f>AW582+AX582</f>
        <v>0</v>
      </c>
      <c r="AW582" s="38">
        <f>G582*AO582</f>
        <v>0</v>
      </c>
      <c r="AX582" s="38">
        <f>G582*AP582</f>
        <v>0</v>
      </c>
      <c r="AY582" s="72" t="s">
        <v>1087</v>
      </c>
      <c r="AZ582" s="72" t="s">
        <v>990</v>
      </c>
      <c r="BA582" s="50" t="s">
        <v>139</v>
      </c>
      <c r="BB582" s="73">
        <v>100013</v>
      </c>
      <c r="BC582" s="38">
        <f>AW582+AX582</f>
        <v>0</v>
      </c>
      <c r="BD582" s="38">
        <f>H582/(100-BE582)*100</f>
        <v>0</v>
      </c>
      <c r="BE582" s="38">
        <v>0</v>
      </c>
      <c r="BF582" s="38">
        <f>K582</f>
        <v>0.08</v>
      </c>
      <c r="BH582" s="38">
        <f>G582*AO582</f>
        <v>0</v>
      </c>
      <c r="BI582" s="38">
        <f>G582*AP582</f>
        <v>0</v>
      </c>
      <c r="BJ582" s="38">
        <f>G582*H582</f>
        <v>0</v>
      </c>
      <c r="BK582" s="38"/>
      <c r="BL582" s="38">
        <v>766</v>
      </c>
      <c r="BW582" s="38">
        <v>21</v>
      </c>
    </row>
    <row r="583" spans="1:12" ht="13.5" customHeight="1">
      <c r="A583" s="74"/>
      <c r="D583" s="194" t="s">
        <v>1106</v>
      </c>
      <c r="E583" s="195"/>
      <c r="F583" s="195"/>
      <c r="G583" s="195"/>
      <c r="H583" s="196"/>
      <c r="I583" s="195"/>
      <c r="J583" s="195"/>
      <c r="K583" s="195"/>
      <c r="L583" s="197"/>
    </row>
    <row r="584" spans="1:12" ht="15">
      <c r="A584" s="74"/>
      <c r="D584" s="75" t="s">
        <v>143</v>
      </c>
      <c r="E584" s="75" t="s">
        <v>4</v>
      </c>
      <c r="G584" s="76">
        <v>2</v>
      </c>
      <c r="L584" s="77"/>
    </row>
    <row r="585" spans="1:75" ht="27" customHeight="1">
      <c r="A585" s="1" t="s">
        <v>1134</v>
      </c>
      <c r="B585" s="2" t="s">
        <v>84</v>
      </c>
      <c r="C585" s="2" t="s">
        <v>1135</v>
      </c>
      <c r="D585" s="108" t="s">
        <v>1136</v>
      </c>
      <c r="E585" s="103"/>
      <c r="F585" s="2" t="s">
        <v>199</v>
      </c>
      <c r="G585" s="38">
        <v>1</v>
      </c>
      <c r="H585" s="70">
        <v>0</v>
      </c>
      <c r="I585" s="38">
        <f>G585*H585</f>
        <v>0</v>
      </c>
      <c r="J585" s="38">
        <v>0.04</v>
      </c>
      <c r="K585" s="38">
        <f>G585*J585</f>
        <v>0.04</v>
      </c>
      <c r="L585" s="71" t="s">
        <v>207</v>
      </c>
      <c r="Z585" s="38">
        <f>IF(AQ585="5",BJ585,0)</f>
        <v>0</v>
      </c>
      <c r="AB585" s="38">
        <f>IF(AQ585="1",BH585,0)</f>
        <v>0</v>
      </c>
      <c r="AC585" s="38">
        <f>IF(AQ585="1",BI585,0)</f>
        <v>0</v>
      </c>
      <c r="AD585" s="38">
        <f>IF(AQ585="7",BH585,0)</f>
        <v>0</v>
      </c>
      <c r="AE585" s="38">
        <f>IF(AQ585="7",BI585,0)</f>
        <v>0</v>
      </c>
      <c r="AF585" s="38">
        <f>IF(AQ585="2",BH585,0)</f>
        <v>0</v>
      </c>
      <c r="AG585" s="38">
        <f>IF(AQ585="2",BI585,0)</f>
        <v>0</v>
      </c>
      <c r="AH585" s="38">
        <f>IF(AQ585="0",BJ585,0)</f>
        <v>0</v>
      </c>
      <c r="AI585" s="50" t="s">
        <v>84</v>
      </c>
      <c r="AJ585" s="38">
        <f>IF(AN585=0,I585,0)</f>
        <v>0</v>
      </c>
      <c r="AK585" s="38">
        <f>IF(AN585=12,I585,0)</f>
        <v>0</v>
      </c>
      <c r="AL585" s="38">
        <f>IF(AN585=21,I585,0)</f>
        <v>0</v>
      </c>
      <c r="AN585" s="38">
        <v>21</v>
      </c>
      <c r="AO585" s="38">
        <f>H585*0.88150534</f>
        <v>0</v>
      </c>
      <c r="AP585" s="38">
        <f>H585*(1-0.88150534)</f>
        <v>0</v>
      </c>
      <c r="AQ585" s="72" t="s">
        <v>169</v>
      </c>
      <c r="AV585" s="38">
        <f>AW585+AX585</f>
        <v>0</v>
      </c>
      <c r="AW585" s="38">
        <f>G585*AO585</f>
        <v>0</v>
      </c>
      <c r="AX585" s="38">
        <f>G585*AP585</f>
        <v>0</v>
      </c>
      <c r="AY585" s="72" t="s">
        <v>1087</v>
      </c>
      <c r="AZ585" s="72" t="s">
        <v>990</v>
      </c>
      <c r="BA585" s="50" t="s">
        <v>139</v>
      </c>
      <c r="BB585" s="73">
        <v>100013</v>
      </c>
      <c r="BC585" s="38">
        <f>AW585+AX585</f>
        <v>0</v>
      </c>
      <c r="BD585" s="38">
        <f>H585/(100-BE585)*100</f>
        <v>0</v>
      </c>
      <c r="BE585" s="38">
        <v>0</v>
      </c>
      <c r="BF585" s="38">
        <f>K585</f>
        <v>0.04</v>
      </c>
      <c r="BH585" s="38">
        <f>G585*AO585</f>
        <v>0</v>
      </c>
      <c r="BI585" s="38">
        <f>G585*AP585</f>
        <v>0</v>
      </c>
      <c r="BJ585" s="38">
        <f>G585*H585</f>
        <v>0</v>
      </c>
      <c r="BK585" s="38"/>
      <c r="BL585" s="38">
        <v>766</v>
      </c>
      <c r="BW585" s="38">
        <v>21</v>
      </c>
    </row>
    <row r="586" spans="1:12" ht="13.5" customHeight="1">
      <c r="A586" s="74"/>
      <c r="D586" s="194" t="s">
        <v>1106</v>
      </c>
      <c r="E586" s="195"/>
      <c r="F586" s="195"/>
      <c r="G586" s="195"/>
      <c r="H586" s="196"/>
      <c r="I586" s="195"/>
      <c r="J586" s="195"/>
      <c r="K586" s="195"/>
      <c r="L586" s="197"/>
    </row>
    <row r="587" spans="1:12" ht="15">
      <c r="A587" s="74"/>
      <c r="D587" s="75" t="s">
        <v>132</v>
      </c>
      <c r="E587" s="75" t="s">
        <v>4</v>
      </c>
      <c r="G587" s="76">
        <v>1</v>
      </c>
      <c r="L587" s="77"/>
    </row>
    <row r="588" spans="1:75" ht="27" customHeight="1">
      <c r="A588" s="1" t="s">
        <v>1137</v>
      </c>
      <c r="B588" s="2" t="s">
        <v>84</v>
      </c>
      <c r="C588" s="2" t="s">
        <v>1138</v>
      </c>
      <c r="D588" s="108" t="s">
        <v>1139</v>
      </c>
      <c r="E588" s="103"/>
      <c r="F588" s="2" t="s">
        <v>199</v>
      </c>
      <c r="G588" s="38">
        <v>1</v>
      </c>
      <c r="H588" s="70">
        <v>0</v>
      </c>
      <c r="I588" s="38">
        <f>G588*H588</f>
        <v>0</v>
      </c>
      <c r="J588" s="38">
        <v>0.04</v>
      </c>
      <c r="K588" s="38">
        <f>G588*J588</f>
        <v>0.04</v>
      </c>
      <c r="L588" s="71" t="s">
        <v>207</v>
      </c>
      <c r="Z588" s="38">
        <f>IF(AQ588="5",BJ588,0)</f>
        <v>0</v>
      </c>
      <c r="AB588" s="38">
        <f>IF(AQ588="1",BH588,0)</f>
        <v>0</v>
      </c>
      <c r="AC588" s="38">
        <f>IF(AQ588="1",BI588,0)</f>
        <v>0</v>
      </c>
      <c r="AD588" s="38">
        <f>IF(AQ588="7",BH588,0)</f>
        <v>0</v>
      </c>
      <c r="AE588" s="38">
        <f>IF(AQ588="7",BI588,0)</f>
        <v>0</v>
      </c>
      <c r="AF588" s="38">
        <f>IF(AQ588="2",BH588,0)</f>
        <v>0</v>
      </c>
      <c r="AG588" s="38">
        <f>IF(AQ588="2",BI588,0)</f>
        <v>0</v>
      </c>
      <c r="AH588" s="38">
        <f>IF(AQ588="0",BJ588,0)</f>
        <v>0</v>
      </c>
      <c r="AI588" s="50" t="s">
        <v>84</v>
      </c>
      <c r="AJ588" s="38">
        <f>IF(AN588=0,I588,0)</f>
        <v>0</v>
      </c>
      <c r="AK588" s="38">
        <f>IF(AN588=12,I588,0)</f>
        <v>0</v>
      </c>
      <c r="AL588" s="38">
        <f>IF(AN588=21,I588,0)</f>
        <v>0</v>
      </c>
      <c r="AN588" s="38">
        <v>21</v>
      </c>
      <c r="AO588" s="38">
        <f>H588*0.88150534</f>
        <v>0</v>
      </c>
      <c r="AP588" s="38">
        <f>H588*(1-0.88150534)</f>
        <v>0</v>
      </c>
      <c r="AQ588" s="72" t="s">
        <v>169</v>
      </c>
      <c r="AV588" s="38">
        <f>AW588+AX588</f>
        <v>0</v>
      </c>
      <c r="AW588" s="38">
        <f>G588*AO588</f>
        <v>0</v>
      </c>
      <c r="AX588" s="38">
        <f>G588*AP588</f>
        <v>0</v>
      </c>
      <c r="AY588" s="72" t="s">
        <v>1087</v>
      </c>
      <c r="AZ588" s="72" t="s">
        <v>990</v>
      </c>
      <c r="BA588" s="50" t="s">
        <v>139</v>
      </c>
      <c r="BB588" s="73">
        <v>100013</v>
      </c>
      <c r="BC588" s="38">
        <f>AW588+AX588</f>
        <v>0</v>
      </c>
      <c r="BD588" s="38">
        <f>H588/(100-BE588)*100</f>
        <v>0</v>
      </c>
      <c r="BE588" s="38">
        <v>0</v>
      </c>
      <c r="BF588" s="38">
        <f>K588</f>
        <v>0.04</v>
      </c>
      <c r="BH588" s="38">
        <f>G588*AO588</f>
        <v>0</v>
      </c>
      <c r="BI588" s="38">
        <f>G588*AP588</f>
        <v>0</v>
      </c>
      <c r="BJ588" s="38">
        <f>G588*H588</f>
        <v>0</v>
      </c>
      <c r="BK588" s="38"/>
      <c r="BL588" s="38">
        <v>766</v>
      </c>
      <c r="BW588" s="38">
        <v>21</v>
      </c>
    </row>
    <row r="589" spans="1:12" ht="13.5" customHeight="1">
      <c r="A589" s="74"/>
      <c r="D589" s="194" t="s">
        <v>1106</v>
      </c>
      <c r="E589" s="195"/>
      <c r="F589" s="195"/>
      <c r="G589" s="195"/>
      <c r="H589" s="196"/>
      <c r="I589" s="195"/>
      <c r="J589" s="195"/>
      <c r="K589" s="195"/>
      <c r="L589" s="197"/>
    </row>
    <row r="590" spans="1:12" ht="15">
      <c r="A590" s="74"/>
      <c r="D590" s="75" t="s">
        <v>132</v>
      </c>
      <c r="E590" s="75" t="s">
        <v>4</v>
      </c>
      <c r="G590" s="76">
        <v>1</v>
      </c>
      <c r="L590" s="77"/>
    </row>
    <row r="591" spans="1:75" ht="27" customHeight="1">
      <c r="A591" s="1" t="s">
        <v>1140</v>
      </c>
      <c r="B591" s="2" t="s">
        <v>84</v>
      </c>
      <c r="C591" s="2" t="s">
        <v>1141</v>
      </c>
      <c r="D591" s="108" t="s">
        <v>1142</v>
      </c>
      <c r="E591" s="103"/>
      <c r="F591" s="2" t="s">
        <v>199</v>
      </c>
      <c r="G591" s="38">
        <v>1</v>
      </c>
      <c r="H591" s="70">
        <v>0</v>
      </c>
      <c r="I591" s="38">
        <f>G591*H591</f>
        <v>0</v>
      </c>
      <c r="J591" s="38">
        <v>0.04</v>
      </c>
      <c r="K591" s="38">
        <f>G591*J591</f>
        <v>0.04</v>
      </c>
      <c r="L591" s="71" t="s">
        <v>207</v>
      </c>
      <c r="Z591" s="38">
        <f>IF(AQ591="5",BJ591,0)</f>
        <v>0</v>
      </c>
      <c r="AB591" s="38">
        <f>IF(AQ591="1",BH591,0)</f>
        <v>0</v>
      </c>
      <c r="AC591" s="38">
        <f>IF(AQ591="1",BI591,0)</f>
        <v>0</v>
      </c>
      <c r="AD591" s="38">
        <f>IF(AQ591="7",BH591,0)</f>
        <v>0</v>
      </c>
      <c r="AE591" s="38">
        <f>IF(AQ591="7",BI591,0)</f>
        <v>0</v>
      </c>
      <c r="AF591" s="38">
        <f>IF(AQ591="2",BH591,0)</f>
        <v>0</v>
      </c>
      <c r="AG591" s="38">
        <f>IF(AQ591="2",BI591,0)</f>
        <v>0</v>
      </c>
      <c r="AH591" s="38">
        <f>IF(AQ591="0",BJ591,0)</f>
        <v>0</v>
      </c>
      <c r="AI591" s="50" t="s">
        <v>84</v>
      </c>
      <c r="AJ591" s="38">
        <f>IF(AN591=0,I591,0)</f>
        <v>0</v>
      </c>
      <c r="AK591" s="38">
        <f>IF(AN591=12,I591,0)</f>
        <v>0</v>
      </c>
      <c r="AL591" s="38">
        <f>IF(AN591=21,I591,0)</f>
        <v>0</v>
      </c>
      <c r="AN591" s="38">
        <v>21</v>
      </c>
      <c r="AO591" s="38">
        <f>H591*0.823737077</f>
        <v>0</v>
      </c>
      <c r="AP591" s="38">
        <f>H591*(1-0.823737077)</f>
        <v>0</v>
      </c>
      <c r="AQ591" s="72" t="s">
        <v>169</v>
      </c>
      <c r="AV591" s="38">
        <f>AW591+AX591</f>
        <v>0</v>
      </c>
      <c r="AW591" s="38">
        <f>G591*AO591</f>
        <v>0</v>
      </c>
      <c r="AX591" s="38">
        <f>G591*AP591</f>
        <v>0</v>
      </c>
      <c r="AY591" s="72" t="s">
        <v>1087</v>
      </c>
      <c r="AZ591" s="72" t="s">
        <v>990</v>
      </c>
      <c r="BA591" s="50" t="s">
        <v>139</v>
      </c>
      <c r="BB591" s="73">
        <v>100013</v>
      </c>
      <c r="BC591" s="38">
        <f>AW591+AX591</f>
        <v>0</v>
      </c>
      <c r="BD591" s="38">
        <f>H591/(100-BE591)*100</f>
        <v>0</v>
      </c>
      <c r="BE591" s="38">
        <v>0</v>
      </c>
      <c r="BF591" s="38">
        <f>K591</f>
        <v>0.04</v>
      </c>
      <c r="BH591" s="38">
        <f>G591*AO591</f>
        <v>0</v>
      </c>
      <c r="BI591" s="38">
        <f>G591*AP591</f>
        <v>0</v>
      </c>
      <c r="BJ591" s="38">
        <f>G591*H591</f>
        <v>0</v>
      </c>
      <c r="BK591" s="38"/>
      <c r="BL591" s="38">
        <v>766</v>
      </c>
      <c r="BW591" s="38">
        <v>21</v>
      </c>
    </row>
    <row r="592" spans="1:12" ht="13.5" customHeight="1">
      <c r="A592" s="74"/>
      <c r="D592" s="194" t="s">
        <v>1106</v>
      </c>
      <c r="E592" s="195"/>
      <c r="F592" s="195"/>
      <c r="G592" s="195"/>
      <c r="H592" s="196"/>
      <c r="I592" s="195"/>
      <c r="J592" s="195"/>
      <c r="K592" s="195"/>
      <c r="L592" s="197"/>
    </row>
    <row r="593" spans="1:12" ht="15">
      <c r="A593" s="74"/>
      <c r="D593" s="75" t="s">
        <v>132</v>
      </c>
      <c r="E593" s="75" t="s">
        <v>4</v>
      </c>
      <c r="G593" s="76">
        <v>1</v>
      </c>
      <c r="L593" s="77"/>
    </row>
    <row r="594" spans="1:75" ht="27" customHeight="1">
      <c r="A594" s="1" t="s">
        <v>1143</v>
      </c>
      <c r="B594" s="2" t="s">
        <v>84</v>
      </c>
      <c r="C594" s="2" t="s">
        <v>1144</v>
      </c>
      <c r="D594" s="108" t="s">
        <v>1145</v>
      </c>
      <c r="E594" s="103"/>
      <c r="F594" s="2" t="s">
        <v>199</v>
      </c>
      <c r="G594" s="38">
        <v>1</v>
      </c>
      <c r="H594" s="70">
        <v>0</v>
      </c>
      <c r="I594" s="38">
        <f>G594*H594</f>
        <v>0</v>
      </c>
      <c r="J594" s="38">
        <v>0.04</v>
      </c>
      <c r="K594" s="38">
        <f>G594*J594</f>
        <v>0.04</v>
      </c>
      <c r="L594" s="71" t="s">
        <v>207</v>
      </c>
      <c r="Z594" s="38">
        <f>IF(AQ594="5",BJ594,0)</f>
        <v>0</v>
      </c>
      <c r="AB594" s="38">
        <f>IF(AQ594="1",BH594,0)</f>
        <v>0</v>
      </c>
      <c r="AC594" s="38">
        <f>IF(AQ594="1",BI594,0)</f>
        <v>0</v>
      </c>
      <c r="AD594" s="38">
        <f>IF(AQ594="7",BH594,0)</f>
        <v>0</v>
      </c>
      <c r="AE594" s="38">
        <f>IF(AQ594="7",BI594,0)</f>
        <v>0</v>
      </c>
      <c r="AF594" s="38">
        <f>IF(AQ594="2",BH594,0)</f>
        <v>0</v>
      </c>
      <c r="AG594" s="38">
        <f>IF(AQ594="2",BI594,0)</f>
        <v>0</v>
      </c>
      <c r="AH594" s="38">
        <f>IF(AQ594="0",BJ594,0)</f>
        <v>0</v>
      </c>
      <c r="AI594" s="50" t="s">
        <v>84</v>
      </c>
      <c r="AJ594" s="38">
        <f>IF(AN594=0,I594,0)</f>
        <v>0</v>
      </c>
      <c r="AK594" s="38">
        <f>IF(AN594=12,I594,0)</f>
        <v>0</v>
      </c>
      <c r="AL594" s="38">
        <f>IF(AN594=21,I594,0)</f>
        <v>0</v>
      </c>
      <c r="AN594" s="38">
        <v>21</v>
      </c>
      <c r="AO594" s="38">
        <f>H594*0.88150534</f>
        <v>0</v>
      </c>
      <c r="AP594" s="38">
        <f>H594*(1-0.88150534)</f>
        <v>0</v>
      </c>
      <c r="AQ594" s="72" t="s">
        <v>169</v>
      </c>
      <c r="AV594" s="38">
        <f>AW594+AX594</f>
        <v>0</v>
      </c>
      <c r="AW594" s="38">
        <f>G594*AO594</f>
        <v>0</v>
      </c>
      <c r="AX594" s="38">
        <f>G594*AP594</f>
        <v>0</v>
      </c>
      <c r="AY594" s="72" t="s">
        <v>1087</v>
      </c>
      <c r="AZ594" s="72" t="s">
        <v>990</v>
      </c>
      <c r="BA594" s="50" t="s">
        <v>139</v>
      </c>
      <c r="BB594" s="73">
        <v>100013</v>
      </c>
      <c r="BC594" s="38">
        <f>AW594+AX594</f>
        <v>0</v>
      </c>
      <c r="BD594" s="38">
        <f>H594/(100-BE594)*100</f>
        <v>0</v>
      </c>
      <c r="BE594" s="38">
        <v>0</v>
      </c>
      <c r="BF594" s="38">
        <f>K594</f>
        <v>0.04</v>
      </c>
      <c r="BH594" s="38">
        <f>G594*AO594</f>
        <v>0</v>
      </c>
      <c r="BI594" s="38">
        <f>G594*AP594</f>
        <v>0</v>
      </c>
      <c r="BJ594" s="38">
        <f>G594*H594</f>
        <v>0</v>
      </c>
      <c r="BK594" s="38"/>
      <c r="BL594" s="38">
        <v>766</v>
      </c>
      <c r="BW594" s="38">
        <v>21</v>
      </c>
    </row>
    <row r="595" spans="1:12" ht="13.5" customHeight="1">
      <c r="A595" s="74"/>
      <c r="D595" s="194" t="s">
        <v>1106</v>
      </c>
      <c r="E595" s="195"/>
      <c r="F595" s="195"/>
      <c r="G595" s="195"/>
      <c r="H595" s="196"/>
      <c r="I595" s="195"/>
      <c r="J595" s="195"/>
      <c r="K595" s="195"/>
      <c r="L595" s="197"/>
    </row>
    <row r="596" spans="1:12" ht="15">
      <c r="A596" s="74"/>
      <c r="D596" s="75" t="s">
        <v>132</v>
      </c>
      <c r="E596" s="75" t="s">
        <v>4</v>
      </c>
      <c r="G596" s="76">
        <v>1</v>
      </c>
      <c r="L596" s="77"/>
    </row>
    <row r="597" spans="1:75" ht="27" customHeight="1">
      <c r="A597" s="1" t="s">
        <v>1146</v>
      </c>
      <c r="B597" s="2" t="s">
        <v>84</v>
      </c>
      <c r="C597" s="2" t="s">
        <v>1147</v>
      </c>
      <c r="D597" s="108" t="s">
        <v>1148</v>
      </c>
      <c r="E597" s="103"/>
      <c r="F597" s="2" t="s">
        <v>199</v>
      </c>
      <c r="G597" s="38">
        <v>1</v>
      </c>
      <c r="H597" s="70">
        <v>0</v>
      </c>
      <c r="I597" s="38">
        <f>G597*H597</f>
        <v>0</v>
      </c>
      <c r="J597" s="38">
        <v>0.04</v>
      </c>
      <c r="K597" s="38">
        <f>G597*J597</f>
        <v>0.04</v>
      </c>
      <c r="L597" s="71" t="s">
        <v>207</v>
      </c>
      <c r="Z597" s="38">
        <f>IF(AQ597="5",BJ597,0)</f>
        <v>0</v>
      </c>
      <c r="AB597" s="38">
        <f>IF(AQ597="1",BH597,0)</f>
        <v>0</v>
      </c>
      <c r="AC597" s="38">
        <f>IF(AQ597="1",BI597,0)</f>
        <v>0</v>
      </c>
      <c r="AD597" s="38">
        <f>IF(AQ597="7",BH597,0)</f>
        <v>0</v>
      </c>
      <c r="AE597" s="38">
        <f>IF(AQ597="7",BI597,0)</f>
        <v>0</v>
      </c>
      <c r="AF597" s="38">
        <f>IF(AQ597="2",BH597,0)</f>
        <v>0</v>
      </c>
      <c r="AG597" s="38">
        <f>IF(AQ597="2",BI597,0)</f>
        <v>0</v>
      </c>
      <c r="AH597" s="38">
        <f>IF(AQ597="0",BJ597,0)</f>
        <v>0</v>
      </c>
      <c r="AI597" s="50" t="s">
        <v>84</v>
      </c>
      <c r="AJ597" s="38">
        <f>IF(AN597=0,I597,0)</f>
        <v>0</v>
      </c>
      <c r="AK597" s="38">
        <f>IF(AN597=12,I597,0)</f>
        <v>0</v>
      </c>
      <c r="AL597" s="38">
        <f>IF(AN597=21,I597,0)</f>
        <v>0</v>
      </c>
      <c r="AN597" s="38">
        <v>21</v>
      </c>
      <c r="AO597" s="38">
        <f>H597*0.88150534</f>
        <v>0</v>
      </c>
      <c r="AP597" s="38">
        <f>H597*(1-0.88150534)</f>
        <v>0</v>
      </c>
      <c r="AQ597" s="72" t="s">
        <v>169</v>
      </c>
      <c r="AV597" s="38">
        <f>AW597+AX597</f>
        <v>0</v>
      </c>
      <c r="AW597" s="38">
        <f>G597*AO597</f>
        <v>0</v>
      </c>
      <c r="AX597" s="38">
        <f>G597*AP597</f>
        <v>0</v>
      </c>
      <c r="AY597" s="72" t="s">
        <v>1087</v>
      </c>
      <c r="AZ597" s="72" t="s">
        <v>990</v>
      </c>
      <c r="BA597" s="50" t="s">
        <v>139</v>
      </c>
      <c r="BB597" s="73">
        <v>100013</v>
      </c>
      <c r="BC597" s="38">
        <f>AW597+AX597</f>
        <v>0</v>
      </c>
      <c r="BD597" s="38">
        <f>H597/(100-BE597)*100</f>
        <v>0</v>
      </c>
      <c r="BE597" s="38">
        <v>0</v>
      </c>
      <c r="BF597" s="38">
        <f>K597</f>
        <v>0.04</v>
      </c>
      <c r="BH597" s="38">
        <f>G597*AO597</f>
        <v>0</v>
      </c>
      <c r="BI597" s="38">
        <f>G597*AP597</f>
        <v>0</v>
      </c>
      <c r="BJ597" s="38">
        <f>G597*H597</f>
        <v>0</v>
      </c>
      <c r="BK597" s="38"/>
      <c r="BL597" s="38">
        <v>766</v>
      </c>
      <c r="BW597" s="38">
        <v>21</v>
      </c>
    </row>
    <row r="598" spans="1:12" ht="13.5" customHeight="1">
      <c r="A598" s="74"/>
      <c r="D598" s="194" t="s">
        <v>1106</v>
      </c>
      <c r="E598" s="195"/>
      <c r="F598" s="195"/>
      <c r="G598" s="195"/>
      <c r="H598" s="196"/>
      <c r="I598" s="195"/>
      <c r="J598" s="195"/>
      <c r="K598" s="195"/>
      <c r="L598" s="197"/>
    </row>
    <row r="599" spans="1:12" ht="15">
      <c r="A599" s="74"/>
      <c r="D599" s="75" t="s">
        <v>132</v>
      </c>
      <c r="E599" s="75" t="s">
        <v>4</v>
      </c>
      <c r="G599" s="76">
        <v>1</v>
      </c>
      <c r="L599" s="77"/>
    </row>
    <row r="600" spans="1:75" ht="27" customHeight="1">
      <c r="A600" s="1" t="s">
        <v>1149</v>
      </c>
      <c r="B600" s="2" t="s">
        <v>84</v>
      </c>
      <c r="C600" s="2" t="s">
        <v>1150</v>
      </c>
      <c r="D600" s="108" t="s">
        <v>1151</v>
      </c>
      <c r="E600" s="103"/>
      <c r="F600" s="2" t="s">
        <v>199</v>
      </c>
      <c r="G600" s="38">
        <v>1</v>
      </c>
      <c r="H600" s="70">
        <v>0</v>
      </c>
      <c r="I600" s="38">
        <f>G600*H600</f>
        <v>0</v>
      </c>
      <c r="J600" s="38">
        <v>0.04</v>
      </c>
      <c r="K600" s="38">
        <f>G600*J600</f>
        <v>0.04</v>
      </c>
      <c r="L600" s="71" t="s">
        <v>207</v>
      </c>
      <c r="Z600" s="38">
        <f>IF(AQ600="5",BJ600,0)</f>
        <v>0</v>
      </c>
      <c r="AB600" s="38">
        <f>IF(AQ600="1",BH600,0)</f>
        <v>0</v>
      </c>
      <c r="AC600" s="38">
        <f>IF(AQ600="1",BI600,0)</f>
        <v>0</v>
      </c>
      <c r="AD600" s="38">
        <f>IF(AQ600="7",BH600,0)</f>
        <v>0</v>
      </c>
      <c r="AE600" s="38">
        <f>IF(AQ600="7",BI600,0)</f>
        <v>0</v>
      </c>
      <c r="AF600" s="38">
        <f>IF(AQ600="2",BH600,0)</f>
        <v>0</v>
      </c>
      <c r="AG600" s="38">
        <f>IF(AQ600="2",BI600,0)</f>
        <v>0</v>
      </c>
      <c r="AH600" s="38">
        <f>IF(AQ600="0",BJ600,0)</f>
        <v>0</v>
      </c>
      <c r="AI600" s="50" t="s">
        <v>84</v>
      </c>
      <c r="AJ600" s="38">
        <f>IF(AN600=0,I600,0)</f>
        <v>0</v>
      </c>
      <c r="AK600" s="38">
        <f>IF(AN600=12,I600,0)</f>
        <v>0</v>
      </c>
      <c r="AL600" s="38">
        <f>IF(AN600=21,I600,0)</f>
        <v>0</v>
      </c>
      <c r="AN600" s="38">
        <v>21</v>
      </c>
      <c r="AO600" s="38">
        <f>H600*0.823737077</f>
        <v>0</v>
      </c>
      <c r="AP600" s="38">
        <f>H600*(1-0.823737077)</f>
        <v>0</v>
      </c>
      <c r="AQ600" s="72" t="s">
        <v>169</v>
      </c>
      <c r="AV600" s="38">
        <f>AW600+AX600</f>
        <v>0</v>
      </c>
      <c r="AW600" s="38">
        <f>G600*AO600</f>
        <v>0</v>
      </c>
      <c r="AX600" s="38">
        <f>G600*AP600</f>
        <v>0</v>
      </c>
      <c r="AY600" s="72" t="s">
        <v>1087</v>
      </c>
      <c r="AZ600" s="72" t="s">
        <v>990</v>
      </c>
      <c r="BA600" s="50" t="s">
        <v>139</v>
      </c>
      <c r="BB600" s="73">
        <v>100013</v>
      </c>
      <c r="BC600" s="38">
        <f>AW600+AX600</f>
        <v>0</v>
      </c>
      <c r="BD600" s="38">
        <f>H600/(100-BE600)*100</f>
        <v>0</v>
      </c>
      <c r="BE600" s="38">
        <v>0</v>
      </c>
      <c r="BF600" s="38">
        <f>K600</f>
        <v>0.04</v>
      </c>
      <c r="BH600" s="38">
        <f>G600*AO600</f>
        <v>0</v>
      </c>
      <c r="BI600" s="38">
        <f>G600*AP600</f>
        <v>0</v>
      </c>
      <c r="BJ600" s="38">
        <f>G600*H600</f>
        <v>0</v>
      </c>
      <c r="BK600" s="38"/>
      <c r="BL600" s="38">
        <v>766</v>
      </c>
      <c r="BW600" s="38">
        <v>21</v>
      </c>
    </row>
    <row r="601" spans="1:12" ht="13.5" customHeight="1">
      <c r="A601" s="74"/>
      <c r="D601" s="194" t="s">
        <v>1106</v>
      </c>
      <c r="E601" s="195"/>
      <c r="F601" s="195"/>
      <c r="G601" s="195"/>
      <c r="H601" s="196"/>
      <c r="I601" s="195"/>
      <c r="J601" s="195"/>
      <c r="K601" s="195"/>
      <c r="L601" s="197"/>
    </row>
    <row r="602" spans="1:12" ht="15">
      <c r="A602" s="74"/>
      <c r="D602" s="75" t="s">
        <v>132</v>
      </c>
      <c r="E602" s="75" t="s">
        <v>4</v>
      </c>
      <c r="G602" s="76">
        <v>1</v>
      </c>
      <c r="L602" s="77"/>
    </row>
    <row r="603" spans="1:75" ht="27" customHeight="1">
      <c r="A603" s="1" t="s">
        <v>1152</v>
      </c>
      <c r="B603" s="2" t="s">
        <v>84</v>
      </c>
      <c r="C603" s="2" t="s">
        <v>1153</v>
      </c>
      <c r="D603" s="108" t="s">
        <v>1154</v>
      </c>
      <c r="E603" s="103"/>
      <c r="F603" s="2" t="s">
        <v>199</v>
      </c>
      <c r="G603" s="38">
        <v>1</v>
      </c>
      <c r="H603" s="70">
        <v>0</v>
      </c>
      <c r="I603" s="38">
        <f>G603*H603</f>
        <v>0</v>
      </c>
      <c r="J603" s="38">
        <v>0.04</v>
      </c>
      <c r="K603" s="38">
        <f>G603*J603</f>
        <v>0.04</v>
      </c>
      <c r="L603" s="71" t="s">
        <v>207</v>
      </c>
      <c r="Z603" s="38">
        <f>IF(AQ603="5",BJ603,0)</f>
        <v>0</v>
      </c>
      <c r="AB603" s="38">
        <f>IF(AQ603="1",BH603,0)</f>
        <v>0</v>
      </c>
      <c r="AC603" s="38">
        <f>IF(AQ603="1",BI603,0)</f>
        <v>0</v>
      </c>
      <c r="AD603" s="38">
        <f>IF(AQ603="7",BH603,0)</f>
        <v>0</v>
      </c>
      <c r="AE603" s="38">
        <f>IF(AQ603="7",BI603,0)</f>
        <v>0</v>
      </c>
      <c r="AF603" s="38">
        <f>IF(AQ603="2",BH603,0)</f>
        <v>0</v>
      </c>
      <c r="AG603" s="38">
        <f>IF(AQ603="2",BI603,0)</f>
        <v>0</v>
      </c>
      <c r="AH603" s="38">
        <f>IF(AQ603="0",BJ603,0)</f>
        <v>0</v>
      </c>
      <c r="AI603" s="50" t="s">
        <v>84</v>
      </c>
      <c r="AJ603" s="38">
        <f>IF(AN603=0,I603,0)</f>
        <v>0</v>
      </c>
      <c r="AK603" s="38">
        <f>IF(AN603=12,I603,0)</f>
        <v>0</v>
      </c>
      <c r="AL603" s="38">
        <f>IF(AN603=21,I603,0)</f>
        <v>0</v>
      </c>
      <c r="AN603" s="38">
        <v>21</v>
      </c>
      <c r="AO603" s="38">
        <f>H603*0.830846172</f>
        <v>0</v>
      </c>
      <c r="AP603" s="38">
        <f>H603*(1-0.830846172)</f>
        <v>0</v>
      </c>
      <c r="AQ603" s="72" t="s">
        <v>169</v>
      </c>
      <c r="AV603" s="38">
        <f>AW603+AX603</f>
        <v>0</v>
      </c>
      <c r="AW603" s="38">
        <f>G603*AO603</f>
        <v>0</v>
      </c>
      <c r="AX603" s="38">
        <f>G603*AP603</f>
        <v>0</v>
      </c>
      <c r="AY603" s="72" t="s">
        <v>1087</v>
      </c>
      <c r="AZ603" s="72" t="s">
        <v>990</v>
      </c>
      <c r="BA603" s="50" t="s">
        <v>139</v>
      </c>
      <c r="BB603" s="73">
        <v>100013</v>
      </c>
      <c r="BC603" s="38">
        <f>AW603+AX603</f>
        <v>0</v>
      </c>
      <c r="BD603" s="38">
        <f>H603/(100-BE603)*100</f>
        <v>0</v>
      </c>
      <c r="BE603" s="38">
        <v>0</v>
      </c>
      <c r="BF603" s="38">
        <f>K603</f>
        <v>0.04</v>
      </c>
      <c r="BH603" s="38">
        <f>G603*AO603</f>
        <v>0</v>
      </c>
      <c r="BI603" s="38">
        <f>G603*AP603</f>
        <v>0</v>
      </c>
      <c r="BJ603" s="38">
        <f>G603*H603</f>
        <v>0</v>
      </c>
      <c r="BK603" s="38"/>
      <c r="BL603" s="38">
        <v>766</v>
      </c>
      <c r="BW603" s="38">
        <v>21</v>
      </c>
    </row>
    <row r="604" spans="1:12" ht="13.5" customHeight="1">
      <c r="A604" s="74"/>
      <c r="D604" s="194" t="s">
        <v>1106</v>
      </c>
      <c r="E604" s="195"/>
      <c r="F604" s="195"/>
      <c r="G604" s="195"/>
      <c r="H604" s="196"/>
      <c r="I604" s="195"/>
      <c r="J604" s="195"/>
      <c r="K604" s="195"/>
      <c r="L604" s="197"/>
    </row>
    <row r="605" spans="1:12" ht="15">
      <c r="A605" s="74"/>
      <c r="D605" s="75" t="s">
        <v>132</v>
      </c>
      <c r="E605" s="75" t="s">
        <v>4</v>
      </c>
      <c r="G605" s="76">
        <v>1</v>
      </c>
      <c r="L605" s="77"/>
    </row>
    <row r="606" spans="1:75" ht="27" customHeight="1">
      <c r="A606" s="1" t="s">
        <v>1155</v>
      </c>
      <c r="B606" s="2" t="s">
        <v>84</v>
      </c>
      <c r="C606" s="2" t="s">
        <v>1156</v>
      </c>
      <c r="D606" s="108" t="s">
        <v>1157</v>
      </c>
      <c r="E606" s="103"/>
      <c r="F606" s="2" t="s">
        <v>199</v>
      </c>
      <c r="G606" s="38">
        <v>1</v>
      </c>
      <c r="H606" s="70">
        <v>0</v>
      </c>
      <c r="I606" s="38">
        <f>G606*H606</f>
        <v>0</v>
      </c>
      <c r="J606" s="38">
        <v>0.04</v>
      </c>
      <c r="K606" s="38">
        <f>G606*J606</f>
        <v>0.04</v>
      </c>
      <c r="L606" s="71" t="s">
        <v>207</v>
      </c>
      <c r="Z606" s="38">
        <f>IF(AQ606="5",BJ606,0)</f>
        <v>0</v>
      </c>
      <c r="AB606" s="38">
        <f>IF(AQ606="1",BH606,0)</f>
        <v>0</v>
      </c>
      <c r="AC606" s="38">
        <f>IF(AQ606="1",BI606,0)</f>
        <v>0</v>
      </c>
      <c r="AD606" s="38">
        <f>IF(AQ606="7",BH606,0)</f>
        <v>0</v>
      </c>
      <c r="AE606" s="38">
        <f>IF(AQ606="7",BI606,0)</f>
        <v>0</v>
      </c>
      <c r="AF606" s="38">
        <f>IF(AQ606="2",BH606,0)</f>
        <v>0</v>
      </c>
      <c r="AG606" s="38">
        <f>IF(AQ606="2",BI606,0)</f>
        <v>0</v>
      </c>
      <c r="AH606" s="38">
        <f>IF(AQ606="0",BJ606,0)</f>
        <v>0</v>
      </c>
      <c r="AI606" s="50" t="s">
        <v>84</v>
      </c>
      <c r="AJ606" s="38">
        <f>IF(AN606=0,I606,0)</f>
        <v>0</v>
      </c>
      <c r="AK606" s="38">
        <f>IF(AN606=12,I606,0)</f>
        <v>0</v>
      </c>
      <c r="AL606" s="38">
        <f>IF(AN606=21,I606,0)</f>
        <v>0</v>
      </c>
      <c r="AN606" s="38">
        <v>21</v>
      </c>
      <c r="AO606" s="38">
        <f>H606*0.830846172</f>
        <v>0</v>
      </c>
      <c r="AP606" s="38">
        <f>H606*(1-0.830846172)</f>
        <v>0</v>
      </c>
      <c r="AQ606" s="72" t="s">
        <v>169</v>
      </c>
      <c r="AV606" s="38">
        <f>AW606+AX606</f>
        <v>0</v>
      </c>
      <c r="AW606" s="38">
        <f>G606*AO606</f>
        <v>0</v>
      </c>
      <c r="AX606" s="38">
        <f>G606*AP606</f>
        <v>0</v>
      </c>
      <c r="AY606" s="72" t="s">
        <v>1087</v>
      </c>
      <c r="AZ606" s="72" t="s">
        <v>990</v>
      </c>
      <c r="BA606" s="50" t="s">
        <v>139</v>
      </c>
      <c r="BB606" s="73">
        <v>100013</v>
      </c>
      <c r="BC606" s="38">
        <f>AW606+AX606</f>
        <v>0</v>
      </c>
      <c r="BD606" s="38">
        <f>H606/(100-BE606)*100</f>
        <v>0</v>
      </c>
      <c r="BE606" s="38">
        <v>0</v>
      </c>
      <c r="BF606" s="38">
        <f>K606</f>
        <v>0.04</v>
      </c>
      <c r="BH606" s="38">
        <f>G606*AO606</f>
        <v>0</v>
      </c>
      <c r="BI606" s="38">
        <f>G606*AP606</f>
        <v>0</v>
      </c>
      <c r="BJ606" s="38">
        <f>G606*H606</f>
        <v>0</v>
      </c>
      <c r="BK606" s="38"/>
      <c r="BL606" s="38">
        <v>766</v>
      </c>
      <c r="BW606" s="38">
        <v>21</v>
      </c>
    </row>
    <row r="607" spans="1:12" ht="13.5" customHeight="1">
      <c r="A607" s="74"/>
      <c r="D607" s="194" t="s">
        <v>1106</v>
      </c>
      <c r="E607" s="195"/>
      <c r="F607" s="195"/>
      <c r="G607" s="195"/>
      <c r="H607" s="196"/>
      <c r="I607" s="195"/>
      <c r="J607" s="195"/>
      <c r="K607" s="195"/>
      <c r="L607" s="197"/>
    </row>
    <row r="608" spans="1:12" ht="15">
      <c r="A608" s="74"/>
      <c r="D608" s="75" t="s">
        <v>132</v>
      </c>
      <c r="E608" s="75" t="s">
        <v>4</v>
      </c>
      <c r="G608" s="76">
        <v>1</v>
      </c>
      <c r="L608" s="77"/>
    </row>
    <row r="609" spans="1:75" ht="27" customHeight="1">
      <c r="A609" s="1" t="s">
        <v>1158</v>
      </c>
      <c r="B609" s="2" t="s">
        <v>84</v>
      </c>
      <c r="C609" s="2" t="s">
        <v>1159</v>
      </c>
      <c r="D609" s="108" t="s">
        <v>1160</v>
      </c>
      <c r="E609" s="103"/>
      <c r="F609" s="2" t="s">
        <v>199</v>
      </c>
      <c r="G609" s="38">
        <v>1</v>
      </c>
      <c r="H609" s="70">
        <v>0</v>
      </c>
      <c r="I609" s="38">
        <f>G609*H609</f>
        <v>0</v>
      </c>
      <c r="J609" s="38">
        <v>0.04</v>
      </c>
      <c r="K609" s="38">
        <f>G609*J609</f>
        <v>0.04</v>
      </c>
      <c r="L609" s="71" t="s">
        <v>207</v>
      </c>
      <c r="Z609" s="38">
        <f>IF(AQ609="5",BJ609,0)</f>
        <v>0</v>
      </c>
      <c r="AB609" s="38">
        <f>IF(AQ609="1",BH609,0)</f>
        <v>0</v>
      </c>
      <c r="AC609" s="38">
        <f>IF(AQ609="1",BI609,0)</f>
        <v>0</v>
      </c>
      <c r="AD609" s="38">
        <f>IF(AQ609="7",BH609,0)</f>
        <v>0</v>
      </c>
      <c r="AE609" s="38">
        <f>IF(AQ609="7",BI609,0)</f>
        <v>0</v>
      </c>
      <c r="AF609" s="38">
        <f>IF(AQ609="2",BH609,0)</f>
        <v>0</v>
      </c>
      <c r="AG609" s="38">
        <f>IF(AQ609="2",BI609,0)</f>
        <v>0</v>
      </c>
      <c r="AH609" s="38">
        <f>IF(AQ609="0",BJ609,0)</f>
        <v>0</v>
      </c>
      <c r="AI609" s="50" t="s">
        <v>84</v>
      </c>
      <c r="AJ609" s="38">
        <f>IF(AN609=0,I609,0)</f>
        <v>0</v>
      </c>
      <c r="AK609" s="38">
        <f>IF(AN609=12,I609,0)</f>
        <v>0</v>
      </c>
      <c r="AL609" s="38">
        <f>IF(AN609=21,I609,0)</f>
        <v>0</v>
      </c>
      <c r="AN609" s="38">
        <v>21</v>
      </c>
      <c r="AO609" s="38">
        <f>H609*0.830846172</f>
        <v>0</v>
      </c>
      <c r="AP609" s="38">
        <f>H609*(1-0.830846172)</f>
        <v>0</v>
      </c>
      <c r="AQ609" s="72" t="s">
        <v>169</v>
      </c>
      <c r="AV609" s="38">
        <f>AW609+AX609</f>
        <v>0</v>
      </c>
      <c r="AW609" s="38">
        <f>G609*AO609</f>
        <v>0</v>
      </c>
      <c r="AX609" s="38">
        <f>G609*AP609</f>
        <v>0</v>
      </c>
      <c r="AY609" s="72" t="s">
        <v>1087</v>
      </c>
      <c r="AZ609" s="72" t="s">
        <v>990</v>
      </c>
      <c r="BA609" s="50" t="s">
        <v>139</v>
      </c>
      <c r="BB609" s="73">
        <v>100013</v>
      </c>
      <c r="BC609" s="38">
        <f>AW609+AX609</f>
        <v>0</v>
      </c>
      <c r="BD609" s="38">
        <f>H609/(100-BE609)*100</f>
        <v>0</v>
      </c>
      <c r="BE609" s="38">
        <v>0</v>
      </c>
      <c r="BF609" s="38">
        <f>K609</f>
        <v>0.04</v>
      </c>
      <c r="BH609" s="38">
        <f>G609*AO609</f>
        <v>0</v>
      </c>
      <c r="BI609" s="38">
        <f>G609*AP609</f>
        <v>0</v>
      </c>
      <c r="BJ609" s="38">
        <f>G609*H609</f>
        <v>0</v>
      </c>
      <c r="BK609" s="38"/>
      <c r="BL609" s="38">
        <v>766</v>
      </c>
      <c r="BW609" s="38">
        <v>21</v>
      </c>
    </row>
    <row r="610" spans="1:12" ht="13.5" customHeight="1">
      <c r="A610" s="74"/>
      <c r="D610" s="194" t="s">
        <v>1106</v>
      </c>
      <c r="E610" s="195"/>
      <c r="F610" s="195"/>
      <c r="G610" s="195"/>
      <c r="H610" s="196"/>
      <c r="I610" s="195"/>
      <c r="J610" s="195"/>
      <c r="K610" s="195"/>
      <c r="L610" s="197"/>
    </row>
    <row r="611" spans="1:12" ht="15">
      <c r="A611" s="74"/>
      <c r="D611" s="75" t="s">
        <v>132</v>
      </c>
      <c r="E611" s="75" t="s">
        <v>4</v>
      </c>
      <c r="G611" s="76">
        <v>1</v>
      </c>
      <c r="L611" s="77"/>
    </row>
    <row r="612" spans="1:75" ht="27" customHeight="1">
      <c r="A612" s="1" t="s">
        <v>1161</v>
      </c>
      <c r="B612" s="2" t="s">
        <v>84</v>
      </c>
      <c r="C612" s="2" t="s">
        <v>1162</v>
      </c>
      <c r="D612" s="108" t="s">
        <v>1163</v>
      </c>
      <c r="E612" s="103"/>
      <c r="F612" s="2" t="s">
        <v>199</v>
      </c>
      <c r="G612" s="38">
        <v>1</v>
      </c>
      <c r="H612" s="70">
        <v>0</v>
      </c>
      <c r="I612" s="38">
        <f>G612*H612</f>
        <v>0</v>
      </c>
      <c r="J612" s="38">
        <v>0.04</v>
      </c>
      <c r="K612" s="38">
        <f>G612*J612</f>
        <v>0.04</v>
      </c>
      <c r="L612" s="71" t="s">
        <v>207</v>
      </c>
      <c r="Z612" s="38">
        <f>IF(AQ612="5",BJ612,0)</f>
        <v>0</v>
      </c>
      <c r="AB612" s="38">
        <f>IF(AQ612="1",BH612,0)</f>
        <v>0</v>
      </c>
      <c r="AC612" s="38">
        <f>IF(AQ612="1",BI612,0)</f>
        <v>0</v>
      </c>
      <c r="AD612" s="38">
        <f>IF(AQ612="7",BH612,0)</f>
        <v>0</v>
      </c>
      <c r="AE612" s="38">
        <f>IF(AQ612="7",BI612,0)</f>
        <v>0</v>
      </c>
      <c r="AF612" s="38">
        <f>IF(AQ612="2",BH612,0)</f>
        <v>0</v>
      </c>
      <c r="AG612" s="38">
        <f>IF(AQ612="2",BI612,0)</f>
        <v>0</v>
      </c>
      <c r="AH612" s="38">
        <f>IF(AQ612="0",BJ612,0)</f>
        <v>0</v>
      </c>
      <c r="AI612" s="50" t="s">
        <v>84</v>
      </c>
      <c r="AJ612" s="38">
        <f>IF(AN612=0,I612,0)</f>
        <v>0</v>
      </c>
      <c r="AK612" s="38">
        <f>IF(AN612=12,I612,0)</f>
        <v>0</v>
      </c>
      <c r="AL612" s="38">
        <f>IF(AN612=21,I612,0)</f>
        <v>0</v>
      </c>
      <c r="AN612" s="38">
        <v>21</v>
      </c>
      <c r="AO612" s="38">
        <f>H612*0.80931163</f>
        <v>0</v>
      </c>
      <c r="AP612" s="38">
        <f>H612*(1-0.80931163)</f>
        <v>0</v>
      </c>
      <c r="AQ612" s="72" t="s">
        <v>169</v>
      </c>
      <c r="AV612" s="38">
        <f>AW612+AX612</f>
        <v>0</v>
      </c>
      <c r="AW612" s="38">
        <f>G612*AO612</f>
        <v>0</v>
      </c>
      <c r="AX612" s="38">
        <f>G612*AP612</f>
        <v>0</v>
      </c>
      <c r="AY612" s="72" t="s">
        <v>1087</v>
      </c>
      <c r="AZ612" s="72" t="s">
        <v>990</v>
      </c>
      <c r="BA612" s="50" t="s">
        <v>139</v>
      </c>
      <c r="BB612" s="73">
        <v>100013</v>
      </c>
      <c r="BC612" s="38">
        <f>AW612+AX612</f>
        <v>0</v>
      </c>
      <c r="BD612" s="38">
        <f>H612/(100-BE612)*100</f>
        <v>0</v>
      </c>
      <c r="BE612" s="38">
        <v>0</v>
      </c>
      <c r="BF612" s="38">
        <f>K612</f>
        <v>0.04</v>
      </c>
      <c r="BH612" s="38">
        <f>G612*AO612</f>
        <v>0</v>
      </c>
      <c r="BI612" s="38">
        <f>G612*AP612</f>
        <v>0</v>
      </c>
      <c r="BJ612" s="38">
        <f>G612*H612</f>
        <v>0</v>
      </c>
      <c r="BK612" s="38"/>
      <c r="BL612" s="38">
        <v>766</v>
      </c>
      <c r="BW612" s="38">
        <v>21</v>
      </c>
    </row>
    <row r="613" spans="1:12" ht="13.5" customHeight="1">
      <c r="A613" s="74"/>
      <c r="D613" s="194" t="s">
        <v>1106</v>
      </c>
      <c r="E613" s="195"/>
      <c r="F613" s="195"/>
      <c r="G613" s="195"/>
      <c r="H613" s="196"/>
      <c r="I613" s="195"/>
      <c r="J613" s="195"/>
      <c r="K613" s="195"/>
      <c r="L613" s="197"/>
    </row>
    <row r="614" spans="1:12" ht="15">
      <c r="A614" s="74"/>
      <c r="D614" s="75" t="s">
        <v>132</v>
      </c>
      <c r="E614" s="75" t="s">
        <v>4</v>
      </c>
      <c r="G614" s="76">
        <v>1</v>
      </c>
      <c r="L614" s="77"/>
    </row>
    <row r="615" spans="1:75" ht="13.5" customHeight="1">
      <c r="A615" s="1" t="s">
        <v>1164</v>
      </c>
      <c r="B615" s="2" t="s">
        <v>84</v>
      </c>
      <c r="C615" s="2" t="s">
        <v>1165</v>
      </c>
      <c r="D615" s="108" t="s">
        <v>1166</v>
      </c>
      <c r="E615" s="103"/>
      <c r="F615" s="2" t="s">
        <v>263</v>
      </c>
      <c r="G615" s="38">
        <v>22.5</v>
      </c>
      <c r="H615" s="70">
        <v>0</v>
      </c>
      <c r="I615" s="38">
        <f>G615*H615</f>
        <v>0</v>
      </c>
      <c r="J615" s="38">
        <v>0.0003</v>
      </c>
      <c r="K615" s="38">
        <f>G615*J615</f>
        <v>0.006749999999999999</v>
      </c>
      <c r="L615" s="71" t="s">
        <v>136</v>
      </c>
      <c r="Z615" s="38">
        <f>IF(AQ615="5",BJ615,0)</f>
        <v>0</v>
      </c>
      <c r="AB615" s="38">
        <f>IF(AQ615="1",BH615,0)</f>
        <v>0</v>
      </c>
      <c r="AC615" s="38">
        <f>IF(AQ615="1",BI615,0)</f>
        <v>0</v>
      </c>
      <c r="AD615" s="38">
        <f>IF(AQ615="7",BH615,0)</f>
        <v>0</v>
      </c>
      <c r="AE615" s="38">
        <f>IF(AQ615="7",BI615,0)</f>
        <v>0</v>
      </c>
      <c r="AF615" s="38">
        <f>IF(AQ615="2",BH615,0)</f>
        <v>0</v>
      </c>
      <c r="AG615" s="38">
        <f>IF(AQ615="2",BI615,0)</f>
        <v>0</v>
      </c>
      <c r="AH615" s="38">
        <f>IF(AQ615="0",BJ615,0)</f>
        <v>0</v>
      </c>
      <c r="AI615" s="50" t="s">
        <v>84</v>
      </c>
      <c r="AJ615" s="38">
        <f>IF(AN615=0,I615,0)</f>
        <v>0</v>
      </c>
      <c r="AK615" s="38">
        <f>IF(AN615=12,I615,0)</f>
        <v>0</v>
      </c>
      <c r="AL615" s="38">
        <f>IF(AN615=21,I615,0)</f>
        <v>0</v>
      </c>
      <c r="AN615" s="38">
        <v>21</v>
      </c>
      <c r="AO615" s="38">
        <f>H615*0.037238795</f>
        <v>0</v>
      </c>
      <c r="AP615" s="38">
        <f>H615*(1-0.037238795)</f>
        <v>0</v>
      </c>
      <c r="AQ615" s="72" t="s">
        <v>169</v>
      </c>
      <c r="AV615" s="38">
        <f>AW615+AX615</f>
        <v>0</v>
      </c>
      <c r="AW615" s="38">
        <f>G615*AO615</f>
        <v>0</v>
      </c>
      <c r="AX615" s="38">
        <f>G615*AP615</f>
        <v>0</v>
      </c>
      <c r="AY615" s="72" t="s">
        <v>1087</v>
      </c>
      <c r="AZ615" s="72" t="s">
        <v>990</v>
      </c>
      <c r="BA615" s="50" t="s">
        <v>139</v>
      </c>
      <c r="BB615" s="73">
        <v>100013</v>
      </c>
      <c r="BC615" s="38">
        <f>AW615+AX615</f>
        <v>0</v>
      </c>
      <c r="BD615" s="38">
        <f>H615/(100-BE615)*100</f>
        <v>0</v>
      </c>
      <c r="BE615" s="38">
        <v>0</v>
      </c>
      <c r="BF615" s="38">
        <f>K615</f>
        <v>0.006749999999999999</v>
      </c>
      <c r="BH615" s="38">
        <f>G615*AO615</f>
        <v>0</v>
      </c>
      <c r="BI615" s="38">
        <f>G615*AP615</f>
        <v>0</v>
      </c>
      <c r="BJ615" s="38">
        <f>G615*H615</f>
        <v>0</v>
      </c>
      <c r="BK615" s="38"/>
      <c r="BL615" s="38">
        <v>766</v>
      </c>
      <c r="BW615" s="38">
        <v>21</v>
      </c>
    </row>
    <row r="616" spans="1:12" ht="15">
      <c r="A616" s="74"/>
      <c r="D616" s="75" t="s">
        <v>1167</v>
      </c>
      <c r="E616" s="75" t="s">
        <v>266</v>
      </c>
      <c r="G616" s="76">
        <v>22.5</v>
      </c>
      <c r="L616" s="77"/>
    </row>
    <row r="617" spans="1:75" ht="13.5" customHeight="1">
      <c r="A617" s="78" t="s">
        <v>1168</v>
      </c>
      <c r="B617" s="79" t="s">
        <v>84</v>
      </c>
      <c r="C617" s="79" t="s">
        <v>1169</v>
      </c>
      <c r="D617" s="198" t="s">
        <v>1170</v>
      </c>
      <c r="E617" s="199"/>
      <c r="F617" s="79" t="s">
        <v>263</v>
      </c>
      <c r="G617" s="80">
        <v>27.21</v>
      </c>
      <c r="H617" s="81">
        <v>0</v>
      </c>
      <c r="I617" s="80">
        <f>G617*H617</f>
        <v>0</v>
      </c>
      <c r="J617" s="80">
        <v>0.0098</v>
      </c>
      <c r="K617" s="80">
        <f>G617*J617</f>
        <v>0.266658</v>
      </c>
      <c r="L617" s="82" t="s">
        <v>136</v>
      </c>
      <c r="Z617" s="38">
        <f>IF(AQ617="5",BJ617,0)</f>
        <v>0</v>
      </c>
      <c r="AB617" s="38">
        <f>IF(AQ617="1",BH617,0)</f>
        <v>0</v>
      </c>
      <c r="AC617" s="38">
        <f>IF(AQ617="1",BI617,0)</f>
        <v>0</v>
      </c>
      <c r="AD617" s="38">
        <f>IF(AQ617="7",BH617,0)</f>
        <v>0</v>
      </c>
      <c r="AE617" s="38">
        <f>IF(AQ617="7",BI617,0)</f>
        <v>0</v>
      </c>
      <c r="AF617" s="38">
        <f>IF(AQ617="2",BH617,0)</f>
        <v>0</v>
      </c>
      <c r="AG617" s="38">
        <f>IF(AQ617="2",BI617,0)</f>
        <v>0</v>
      </c>
      <c r="AH617" s="38">
        <f>IF(AQ617="0",BJ617,0)</f>
        <v>0</v>
      </c>
      <c r="AI617" s="50" t="s">
        <v>84</v>
      </c>
      <c r="AJ617" s="80">
        <f>IF(AN617=0,I617,0)</f>
        <v>0</v>
      </c>
      <c r="AK617" s="80">
        <f>IF(AN617=12,I617,0)</f>
        <v>0</v>
      </c>
      <c r="AL617" s="80">
        <f>IF(AN617=21,I617,0)</f>
        <v>0</v>
      </c>
      <c r="AN617" s="38">
        <v>21</v>
      </c>
      <c r="AO617" s="38">
        <f>H617*1</f>
        <v>0</v>
      </c>
      <c r="AP617" s="38">
        <f>H617*(1-1)</f>
        <v>0</v>
      </c>
      <c r="AQ617" s="83" t="s">
        <v>169</v>
      </c>
      <c r="AV617" s="38">
        <f>AW617+AX617</f>
        <v>0</v>
      </c>
      <c r="AW617" s="38">
        <f>G617*AO617</f>
        <v>0</v>
      </c>
      <c r="AX617" s="38">
        <f>G617*AP617</f>
        <v>0</v>
      </c>
      <c r="AY617" s="72" t="s">
        <v>1087</v>
      </c>
      <c r="AZ617" s="72" t="s">
        <v>990</v>
      </c>
      <c r="BA617" s="50" t="s">
        <v>139</v>
      </c>
      <c r="BC617" s="38">
        <f>AW617+AX617</f>
        <v>0</v>
      </c>
      <c r="BD617" s="38">
        <f>H617/(100-BE617)*100</f>
        <v>0</v>
      </c>
      <c r="BE617" s="38">
        <v>0</v>
      </c>
      <c r="BF617" s="38">
        <f>K617</f>
        <v>0.266658</v>
      </c>
      <c r="BH617" s="80">
        <f>G617*AO617</f>
        <v>0</v>
      </c>
      <c r="BI617" s="80">
        <f>G617*AP617</f>
        <v>0</v>
      </c>
      <c r="BJ617" s="80">
        <f>G617*H617</f>
        <v>0</v>
      </c>
      <c r="BK617" s="80"/>
      <c r="BL617" s="38">
        <v>766</v>
      </c>
      <c r="BW617" s="38">
        <v>21</v>
      </c>
    </row>
    <row r="618" spans="1:12" ht="15">
      <c r="A618" s="74"/>
      <c r="D618" s="75" t="s">
        <v>1171</v>
      </c>
      <c r="E618" s="75" t="s">
        <v>4</v>
      </c>
      <c r="G618" s="76">
        <v>24.74</v>
      </c>
      <c r="L618" s="77"/>
    </row>
    <row r="619" spans="1:12" ht="15">
      <c r="A619" s="74"/>
      <c r="D619" s="75" t="s">
        <v>1172</v>
      </c>
      <c r="E619" s="75" t="s">
        <v>4</v>
      </c>
      <c r="G619" s="76">
        <v>2.47</v>
      </c>
      <c r="L619" s="77"/>
    </row>
    <row r="620" spans="1:75" ht="13.5" customHeight="1">
      <c r="A620" s="1" t="s">
        <v>1173</v>
      </c>
      <c r="B620" s="2" t="s">
        <v>84</v>
      </c>
      <c r="C620" s="2" t="s">
        <v>1174</v>
      </c>
      <c r="D620" s="108" t="s">
        <v>1175</v>
      </c>
      <c r="E620" s="103"/>
      <c r="F620" s="2" t="s">
        <v>214</v>
      </c>
      <c r="G620" s="38">
        <v>45</v>
      </c>
      <c r="H620" s="70">
        <v>0</v>
      </c>
      <c r="I620" s="38">
        <f>G620*H620</f>
        <v>0</v>
      </c>
      <c r="J620" s="38">
        <v>0.00028</v>
      </c>
      <c r="K620" s="38">
        <f>G620*J620</f>
        <v>0.012599999999999998</v>
      </c>
      <c r="L620" s="71" t="s">
        <v>207</v>
      </c>
      <c r="Z620" s="38">
        <f>IF(AQ620="5",BJ620,0)</f>
        <v>0</v>
      </c>
      <c r="AB620" s="38">
        <f>IF(AQ620="1",BH620,0)</f>
        <v>0</v>
      </c>
      <c r="AC620" s="38">
        <f>IF(AQ620="1",BI620,0)</f>
        <v>0</v>
      </c>
      <c r="AD620" s="38">
        <f>IF(AQ620="7",BH620,0)</f>
        <v>0</v>
      </c>
      <c r="AE620" s="38">
        <f>IF(AQ620="7",BI620,0)</f>
        <v>0</v>
      </c>
      <c r="AF620" s="38">
        <f>IF(AQ620="2",BH620,0)</f>
        <v>0</v>
      </c>
      <c r="AG620" s="38">
        <f>IF(AQ620="2",BI620,0)</f>
        <v>0</v>
      </c>
      <c r="AH620" s="38">
        <f>IF(AQ620="0",BJ620,0)</f>
        <v>0</v>
      </c>
      <c r="AI620" s="50" t="s">
        <v>84</v>
      </c>
      <c r="AJ620" s="38">
        <f>IF(AN620=0,I620,0)</f>
        <v>0</v>
      </c>
      <c r="AK620" s="38">
        <f>IF(AN620=12,I620,0)</f>
        <v>0</v>
      </c>
      <c r="AL620" s="38">
        <f>IF(AN620=21,I620,0)</f>
        <v>0</v>
      </c>
      <c r="AN620" s="38">
        <v>21</v>
      </c>
      <c r="AO620" s="38">
        <f>H620*0.320387905</f>
        <v>0</v>
      </c>
      <c r="AP620" s="38">
        <f>H620*(1-0.320387905)</f>
        <v>0</v>
      </c>
      <c r="AQ620" s="72" t="s">
        <v>169</v>
      </c>
      <c r="AV620" s="38">
        <f>AW620+AX620</f>
        <v>0</v>
      </c>
      <c r="AW620" s="38">
        <f>G620*AO620</f>
        <v>0</v>
      </c>
      <c r="AX620" s="38">
        <f>G620*AP620</f>
        <v>0</v>
      </c>
      <c r="AY620" s="72" t="s">
        <v>1087</v>
      </c>
      <c r="AZ620" s="72" t="s">
        <v>990</v>
      </c>
      <c r="BA620" s="50" t="s">
        <v>139</v>
      </c>
      <c r="BB620" s="73">
        <v>100013</v>
      </c>
      <c r="BC620" s="38">
        <f>AW620+AX620</f>
        <v>0</v>
      </c>
      <c r="BD620" s="38">
        <f>H620/(100-BE620)*100</f>
        <v>0</v>
      </c>
      <c r="BE620" s="38">
        <v>0</v>
      </c>
      <c r="BF620" s="38">
        <f>K620</f>
        <v>0.012599999999999998</v>
      </c>
      <c r="BH620" s="38">
        <f>G620*AO620</f>
        <v>0</v>
      </c>
      <c r="BI620" s="38">
        <f>G620*AP620</f>
        <v>0</v>
      </c>
      <c r="BJ620" s="38">
        <f>G620*H620</f>
        <v>0</v>
      </c>
      <c r="BK620" s="38"/>
      <c r="BL620" s="38">
        <v>766</v>
      </c>
      <c r="BW620" s="38">
        <v>21</v>
      </c>
    </row>
    <row r="621" spans="1:12" ht="13.5" customHeight="1">
      <c r="A621" s="74"/>
      <c r="D621" s="194" t="s">
        <v>1176</v>
      </c>
      <c r="E621" s="195"/>
      <c r="F621" s="195"/>
      <c r="G621" s="195"/>
      <c r="H621" s="196"/>
      <c r="I621" s="195"/>
      <c r="J621" s="195"/>
      <c r="K621" s="195"/>
      <c r="L621" s="197"/>
    </row>
    <row r="622" spans="1:12" ht="15">
      <c r="A622" s="74"/>
      <c r="D622" s="75" t="s">
        <v>1177</v>
      </c>
      <c r="E622" s="75" t="s">
        <v>4</v>
      </c>
      <c r="G622" s="76">
        <v>45</v>
      </c>
      <c r="L622" s="77"/>
    </row>
    <row r="623" spans="1:75" ht="13.5" customHeight="1">
      <c r="A623" s="1" t="s">
        <v>1178</v>
      </c>
      <c r="B623" s="2" t="s">
        <v>84</v>
      </c>
      <c r="C623" s="2" t="s">
        <v>1179</v>
      </c>
      <c r="D623" s="108" t="s">
        <v>1180</v>
      </c>
      <c r="E623" s="103"/>
      <c r="F623" s="2" t="s">
        <v>199</v>
      </c>
      <c r="G623" s="38">
        <v>1</v>
      </c>
      <c r="H623" s="70">
        <v>0</v>
      </c>
      <c r="I623" s="38">
        <f>G623*H623</f>
        <v>0</v>
      </c>
      <c r="J623" s="38">
        <v>0.00019</v>
      </c>
      <c r="K623" s="38">
        <f>G623*J623</f>
        <v>0.00019</v>
      </c>
      <c r="L623" s="71" t="s">
        <v>207</v>
      </c>
      <c r="Z623" s="38">
        <f>IF(AQ623="5",BJ623,0)</f>
        <v>0</v>
      </c>
      <c r="AB623" s="38">
        <f>IF(AQ623="1",BH623,0)</f>
        <v>0</v>
      </c>
      <c r="AC623" s="38">
        <f>IF(AQ623="1",BI623,0)</f>
        <v>0</v>
      </c>
      <c r="AD623" s="38">
        <f>IF(AQ623="7",BH623,0)</f>
        <v>0</v>
      </c>
      <c r="AE623" s="38">
        <f>IF(AQ623="7",BI623,0)</f>
        <v>0</v>
      </c>
      <c r="AF623" s="38">
        <f>IF(AQ623="2",BH623,0)</f>
        <v>0</v>
      </c>
      <c r="AG623" s="38">
        <f>IF(AQ623="2",BI623,0)</f>
        <v>0</v>
      </c>
      <c r="AH623" s="38">
        <f>IF(AQ623="0",BJ623,0)</f>
        <v>0</v>
      </c>
      <c r="AI623" s="50" t="s">
        <v>84</v>
      </c>
      <c r="AJ623" s="38">
        <f>IF(AN623=0,I623,0)</f>
        <v>0</v>
      </c>
      <c r="AK623" s="38">
        <f>IF(AN623=12,I623,0)</f>
        <v>0</v>
      </c>
      <c r="AL623" s="38">
        <f>IF(AN623=21,I623,0)</f>
        <v>0</v>
      </c>
      <c r="AN623" s="38">
        <v>21</v>
      </c>
      <c r="AO623" s="38">
        <f>H623*0.923076923</f>
        <v>0</v>
      </c>
      <c r="AP623" s="38">
        <f>H623*(1-0.923076923)</f>
        <v>0</v>
      </c>
      <c r="AQ623" s="72" t="s">
        <v>169</v>
      </c>
      <c r="AV623" s="38">
        <f>AW623+AX623</f>
        <v>0</v>
      </c>
      <c r="AW623" s="38">
        <f>G623*AO623</f>
        <v>0</v>
      </c>
      <c r="AX623" s="38">
        <f>G623*AP623</f>
        <v>0</v>
      </c>
      <c r="AY623" s="72" t="s">
        <v>1087</v>
      </c>
      <c r="AZ623" s="72" t="s">
        <v>990</v>
      </c>
      <c r="BA623" s="50" t="s">
        <v>139</v>
      </c>
      <c r="BB623" s="73">
        <v>100013</v>
      </c>
      <c r="BC623" s="38">
        <f>AW623+AX623</f>
        <v>0</v>
      </c>
      <c r="BD623" s="38">
        <f>H623/(100-BE623)*100</f>
        <v>0</v>
      </c>
      <c r="BE623" s="38">
        <v>0</v>
      </c>
      <c r="BF623" s="38">
        <f>K623</f>
        <v>0.00019</v>
      </c>
      <c r="BH623" s="38">
        <f>G623*AO623</f>
        <v>0</v>
      </c>
      <c r="BI623" s="38">
        <f>G623*AP623</f>
        <v>0</v>
      </c>
      <c r="BJ623" s="38">
        <f>G623*H623</f>
        <v>0</v>
      </c>
      <c r="BK623" s="38"/>
      <c r="BL623" s="38">
        <v>766</v>
      </c>
      <c r="BW623" s="38">
        <v>21</v>
      </c>
    </row>
    <row r="624" spans="1:12" ht="13.5" customHeight="1">
      <c r="A624" s="74"/>
      <c r="D624" s="194" t="s">
        <v>1181</v>
      </c>
      <c r="E624" s="195"/>
      <c r="F624" s="195"/>
      <c r="G624" s="195"/>
      <c r="H624" s="196"/>
      <c r="I624" s="195"/>
      <c r="J624" s="195"/>
      <c r="K624" s="195"/>
      <c r="L624" s="197"/>
    </row>
    <row r="625" spans="1:12" ht="15">
      <c r="A625" s="74"/>
      <c r="D625" s="75" t="s">
        <v>132</v>
      </c>
      <c r="E625" s="75" t="s">
        <v>4</v>
      </c>
      <c r="G625" s="76">
        <v>1</v>
      </c>
      <c r="L625" s="77"/>
    </row>
    <row r="626" spans="1:75" ht="13.5" customHeight="1">
      <c r="A626" s="1" t="s">
        <v>1182</v>
      </c>
      <c r="B626" s="2" t="s">
        <v>84</v>
      </c>
      <c r="C626" s="2" t="s">
        <v>1183</v>
      </c>
      <c r="D626" s="108" t="s">
        <v>1184</v>
      </c>
      <c r="E626" s="103"/>
      <c r="F626" s="2" t="s">
        <v>199</v>
      </c>
      <c r="G626" s="38">
        <v>1</v>
      </c>
      <c r="H626" s="70">
        <v>0</v>
      </c>
      <c r="I626" s="38">
        <f>G626*H626</f>
        <v>0</v>
      </c>
      <c r="J626" s="38">
        <v>0</v>
      </c>
      <c r="K626" s="38">
        <f>G626*J626</f>
        <v>0</v>
      </c>
      <c r="L626" s="71" t="s">
        <v>207</v>
      </c>
      <c r="Z626" s="38">
        <f>IF(AQ626="5",BJ626,0)</f>
        <v>0</v>
      </c>
      <c r="AB626" s="38">
        <f>IF(AQ626="1",BH626,0)</f>
        <v>0</v>
      </c>
      <c r="AC626" s="38">
        <f>IF(AQ626="1",BI626,0)</f>
        <v>0</v>
      </c>
      <c r="AD626" s="38">
        <f>IF(AQ626="7",BH626,0)</f>
        <v>0</v>
      </c>
      <c r="AE626" s="38">
        <f>IF(AQ626="7",BI626,0)</f>
        <v>0</v>
      </c>
      <c r="AF626" s="38">
        <f>IF(AQ626="2",BH626,0)</f>
        <v>0</v>
      </c>
      <c r="AG626" s="38">
        <f>IF(AQ626="2",BI626,0)</f>
        <v>0</v>
      </c>
      <c r="AH626" s="38">
        <f>IF(AQ626="0",BJ626,0)</f>
        <v>0</v>
      </c>
      <c r="AI626" s="50" t="s">
        <v>84</v>
      </c>
      <c r="AJ626" s="38">
        <f>IF(AN626=0,I626,0)</f>
        <v>0</v>
      </c>
      <c r="AK626" s="38">
        <f>IF(AN626=12,I626,0)</f>
        <v>0</v>
      </c>
      <c r="AL626" s="38">
        <f>IF(AN626=21,I626,0)</f>
        <v>0</v>
      </c>
      <c r="AN626" s="38">
        <v>21</v>
      </c>
      <c r="AO626" s="38">
        <f>H626*0.900131406</f>
        <v>0</v>
      </c>
      <c r="AP626" s="38">
        <f>H626*(1-0.900131406)</f>
        <v>0</v>
      </c>
      <c r="AQ626" s="72" t="s">
        <v>169</v>
      </c>
      <c r="AV626" s="38">
        <f>AW626+AX626</f>
        <v>0</v>
      </c>
      <c r="AW626" s="38">
        <f>G626*AO626</f>
        <v>0</v>
      </c>
      <c r="AX626" s="38">
        <f>G626*AP626</f>
        <v>0</v>
      </c>
      <c r="AY626" s="72" t="s">
        <v>1087</v>
      </c>
      <c r="AZ626" s="72" t="s">
        <v>990</v>
      </c>
      <c r="BA626" s="50" t="s">
        <v>139</v>
      </c>
      <c r="BB626" s="73">
        <v>100013</v>
      </c>
      <c r="BC626" s="38">
        <f>AW626+AX626</f>
        <v>0</v>
      </c>
      <c r="BD626" s="38">
        <f>H626/(100-BE626)*100</f>
        <v>0</v>
      </c>
      <c r="BE626" s="38">
        <v>0</v>
      </c>
      <c r="BF626" s="38">
        <f>K626</f>
        <v>0</v>
      </c>
      <c r="BH626" s="38">
        <f>G626*AO626</f>
        <v>0</v>
      </c>
      <c r="BI626" s="38">
        <f>G626*AP626</f>
        <v>0</v>
      </c>
      <c r="BJ626" s="38">
        <f>G626*H626</f>
        <v>0</v>
      </c>
      <c r="BK626" s="38"/>
      <c r="BL626" s="38">
        <v>766</v>
      </c>
      <c r="BW626" s="38">
        <v>21</v>
      </c>
    </row>
    <row r="627" spans="1:12" ht="13.5" customHeight="1">
      <c r="A627" s="74"/>
      <c r="D627" s="194" t="s">
        <v>1181</v>
      </c>
      <c r="E627" s="195"/>
      <c r="F627" s="195"/>
      <c r="G627" s="195"/>
      <c r="H627" s="196"/>
      <c r="I627" s="195"/>
      <c r="J627" s="195"/>
      <c r="K627" s="195"/>
      <c r="L627" s="197"/>
    </row>
    <row r="628" spans="1:12" ht="15">
      <c r="A628" s="74"/>
      <c r="D628" s="75" t="s">
        <v>132</v>
      </c>
      <c r="E628" s="75" t="s">
        <v>4</v>
      </c>
      <c r="G628" s="76">
        <v>1</v>
      </c>
      <c r="L628" s="77"/>
    </row>
    <row r="629" spans="1:75" ht="13.5" customHeight="1">
      <c r="A629" s="1" t="s">
        <v>1185</v>
      </c>
      <c r="B629" s="2" t="s">
        <v>84</v>
      </c>
      <c r="C629" s="2" t="s">
        <v>1186</v>
      </c>
      <c r="D629" s="108" t="s">
        <v>1187</v>
      </c>
      <c r="E629" s="103"/>
      <c r="F629" s="2" t="s">
        <v>214</v>
      </c>
      <c r="G629" s="38">
        <v>3.25</v>
      </c>
      <c r="H629" s="70">
        <v>0</v>
      </c>
      <c r="I629" s="38">
        <f>G629*H629</f>
        <v>0</v>
      </c>
      <c r="J629" s="38">
        <v>0</v>
      </c>
      <c r="K629" s="38">
        <f>G629*J629</f>
        <v>0</v>
      </c>
      <c r="L629" s="71" t="s">
        <v>207</v>
      </c>
      <c r="Z629" s="38">
        <f>IF(AQ629="5",BJ629,0)</f>
        <v>0</v>
      </c>
      <c r="AB629" s="38">
        <f>IF(AQ629="1",BH629,0)</f>
        <v>0</v>
      </c>
      <c r="AC629" s="38">
        <f>IF(AQ629="1",BI629,0)</f>
        <v>0</v>
      </c>
      <c r="AD629" s="38">
        <f>IF(AQ629="7",BH629,0)</f>
        <v>0</v>
      </c>
      <c r="AE629" s="38">
        <f>IF(AQ629="7",BI629,0)</f>
        <v>0</v>
      </c>
      <c r="AF629" s="38">
        <f>IF(AQ629="2",BH629,0)</f>
        <v>0</v>
      </c>
      <c r="AG629" s="38">
        <f>IF(AQ629="2",BI629,0)</f>
        <v>0</v>
      </c>
      <c r="AH629" s="38">
        <f>IF(AQ629="0",BJ629,0)</f>
        <v>0</v>
      </c>
      <c r="AI629" s="50" t="s">
        <v>84</v>
      </c>
      <c r="AJ629" s="38">
        <f>IF(AN629=0,I629,0)</f>
        <v>0</v>
      </c>
      <c r="AK629" s="38">
        <f>IF(AN629=12,I629,0)</f>
        <v>0</v>
      </c>
      <c r="AL629" s="38">
        <f>IF(AN629=21,I629,0)</f>
        <v>0</v>
      </c>
      <c r="AN629" s="38">
        <v>21</v>
      </c>
      <c r="AO629" s="38">
        <f>H629*0.763157895</f>
        <v>0</v>
      </c>
      <c r="AP629" s="38">
        <f>H629*(1-0.763157895)</f>
        <v>0</v>
      </c>
      <c r="AQ629" s="72" t="s">
        <v>169</v>
      </c>
      <c r="AV629" s="38">
        <f>AW629+AX629</f>
        <v>0</v>
      </c>
      <c r="AW629" s="38">
        <f>G629*AO629</f>
        <v>0</v>
      </c>
      <c r="AX629" s="38">
        <f>G629*AP629</f>
        <v>0</v>
      </c>
      <c r="AY629" s="72" t="s">
        <v>1087</v>
      </c>
      <c r="AZ629" s="72" t="s">
        <v>990</v>
      </c>
      <c r="BA629" s="50" t="s">
        <v>139</v>
      </c>
      <c r="BB629" s="73">
        <v>100013</v>
      </c>
      <c r="BC629" s="38">
        <f>AW629+AX629</f>
        <v>0</v>
      </c>
      <c r="BD629" s="38">
        <f>H629/(100-BE629)*100</f>
        <v>0</v>
      </c>
      <c r="BE629" s="38">
        <v>0</v>
      </c>
      <c r="BF629" s="38">
        <f>K629</f>
        <v>0</v>
      </c>
      <c r="BH629" s="38">
        <f>G629*AO629</f>
        <v>0</v>
      </c>
      <c r="BI629" s="38">
        <f>G629*AP629</f>
        <v>0</v>
      </c>
      <c r="BJ629" s="38">
        <f>G629*H629</f>
        <v>0</v>
      </c>
      <c r="BK629" s="38"/>
      <c r="BL629" s="38">
        <v>766</v>
      </c>
      <c r="BW629" s="38">
        <v>21</v>
      </c>
    </row>
    <row r="630" spans="1:12" ht="13.5" customHeight="1">
      <c r="A630" s="74"/>
      <c r="D630" s="194" t="s">
        <v>1181</v>
      </c>
      <c r="E630" s="195"/>
      <c r="F630" s="195"/>
      <c r="G630" s="195"/>
      <c r="H630" s="196"/>
      <c r="I630" s="195"/>
      <c r="J630" s="195"/>
      <c r="K630" s="195"/>
      <c r="L630" s="197"/>
    </row>
    <row r="631" spans="1:12" ht="15">
      <c r="A631" s="74"/>
      <c r="D631" s="75" t="s">
        <v>1188</v>
      </c>
      <c r="E631" s="75" t="s">
        <v>1189</v>
      </c>
      <c r="G631" s="76">
        <v>3.25</v>
      </c>
      <c r="L631" s="77"/>
    </row>
    <row r="632" spans="1:75" ht="13.5" customHeight="1">
      <c r="A632" s="1" t="s">
        <v>1190</v>
      </c>
      <c r="B632" s="2" t="s">
        <v>84</v>
      </c>
      <c r="C632" s="2" t="s">
        <v>1191</v>
      </c>
      <c r="D632" s="108" t="s">
        <v>1192</v>
      </c>
      <c r="E632" s="103"/>
      <c r="F632" s="2" t="s">
        <v>189</v>
      </c>
      <c r="G632" s="38">
        <v>1.42</v>
      </c>
      <c r="H632" s="70">
        <v>0</v>
      </c>
      <c r="I632" s="38">
        <f>G632*H632</f>
        <v>0</v>
      </c>
      <c r="J632" s="38">
        <v>0</v>
      </c>
      <c r="K632" s="38">
        <f>G632*J632</f>
        <v>0</v>
      </c>
      <c r="L632" s="71" t="s">
        <v>136</v>
      </c>
      <c r="Z632" s="38">
        <f>IF(AQ632="5",BJ632,0)</f>
        <v>0</v>
      </c>
      <c r="AB632" s="38">
        <f>IF(AQ632="1",BH632,0)</f>
        <v>0</v>
      </c>
      <c r="AC632" s="38">
        <f>IF(AQ632="1",BI632,0)</f>
        <v>0</v>
      </c>
      <c r="AD632" s="38">
        <f>IF(AQ632="7",BH632,0)</f>
        <v>0</v>
      </c>
      <c r="AE632" s="38">
        <f>IF(AQ632="7",BI632,0)</f>
        <v>0</v>
      </c>
      <c r="AF632" s="38">
        <f>IF(AQ632="2",BH632,0)</f>
        <v>0</v>
      </c>
      <c r="AG632" s="38">
        <f>IF(AQ632="2",BI632,0)</f>
        <v>0</v>
      </c>
      <c r="AH632" s="38">
        <f>IF(AQ632="0",BJ632,0)</f>
        <v>0</v>
      </c>
      <c r="AI632" s="50" t="s">
        <v>84</v>
      </c>
      <c r="AJ632" s="38">
        <f>IF(AN632=0,I632,0)</f>
        <v>0</v>
      </c>
      <c r="AK632" s="38">
        <f>IF(AN632=12,I632,0)</f>
        <v>0</v>
      </c>
      <c r="AL632" s="38">
        <f>IF(AN632=21,I632,0)</f>
        <v>0</v>
      </c>
      <c r="AN632" s="38">
        <v>21</v>
      </c>
      <c r="AO632" s="38">
        <f>H632*0</f>
        <v>0</v>
      </c>
      <c r="AP632" s="38">
        <f>H632*(1-0)</f>
        <v>0</v>
      </c>
      <c r="AQ632" s="72" t="s">
        <v>162</v>
      </c>
      <c r="AV632" s="38">
        <f>AW632+AX632</f>
        <v>0</v>
      </c>
      <c r="AW632" s="38">
        <f>G632*AO632</f>
        <v>0</v>
      </c>
      <c r="AX632" s="38">
        <f>G632*AP632</f>
        <v>0</v>
      </c>
      <c r="AY632" s="72" t="s">
        <v>1087</v>
      </c>
      <c r="AZ632" s="72" t="s">
        <v>990</v>
      </c>
      <c r="BA632" s="50" t="s">
        <v>139</v>
      </c>
      <c r="BC632" s="38">
        <f>AW632+AX632</f>
        <v>0</v>
      </c>
      <c r="BD632" s="38">
        <f>H632/(100-BE632)*100</f>
        <v>0</v>
      </c>
      <c r="BE632" s="38">
        <v>0</v>
      </c>
      <c r="BF632" s="38">
        <f>K632</f>
        <v>0</v>
      </c>
      <c r="BH632" s="38">
        <f>G632*AO632</f>
        <v>0</v>
      </c>
      <c r="BI632" s="38">
        <f>G632*AP632</f>
        <v>0</v>
      </c>
      <c r="BJ632" s="38">
        <f>G632*H632</f>
        <v>0</v>
      </c>
      <c r="BK632" s="38"/>
      <c r="BL632" s="38">
        <v>766</v>
      </c>
      <c r="BW632" s="38">
        <v>21</v>
      </c>
    </row>
    <row r="633" spans="1:12" ht="15">
      <c r="A633" s="74"/>
      <c r="D633" s="75" t="s">
        <v>1193</v>
      </c>
      <c r="E633" s="75" t="s">
        <v>4</v>
      </c>
      <c r="G633" s="76">
        <v>1.42</v>
      </c>
      <c r="L633" s="77"/>
    </row>
    <row r="634" spans="1:47" ht="15">
      <c r="A634" s="65" t="s">
        <v>4</v>
      </c>
      <c r="B634" s="66" t="s">
        <v>84</v>
      </c>
      <c r="C634" s="66" t="s">
        <v>1194</v>
      </c>
      <c r="D634" s="192" t="s">
        <v>1195</v>
      </c>
      <c r="E634" s="193"/>
      <c r="F634" s="67" t="s">
        <v>78</v>
      </c>
      <c r="G634" s="67" t="s">
        <v>78</v>
      </c>
      <c r="H634" s="68" t="s">
        <v>78</v>
      </c>
      <c r="I634" s="44">
        <f>SUM(I635:I687)</f>
        <v>0</v>
      </c>
      <c r="J634" s="50" t="s">
        <v>4</v>
      </c>
      <c r="K634" s="44">
        <f>SUM(K635:K687)</f>
        <v>0.6346464</v>
      </c>
      <c r="L634" s="69" t="s">
        <v>4</v>
      </c>
      <c r="AI634" s="50" t="s">
        <v>84</v>
      </c>
      <c r="AS634" s="44">
        <f>SUM(AJ635:AJ687)</f>
        <v>0</v>
      </c>
      <c r="AT634" s="44">
        <f>SUM(AK635:AK687)</f>
        <v>0</v>
      </c>
      <c r="AU634" s="44">
        <f>SUM(AL635:AL687)</f>
        <v>0</v>
      </c>
    </row>
    <row r="635" spans="1:75" ht="13.5" customHeight="1">
      <c r="A635" s="1" t="s">
        <v>1196</v>
      </c>
      <c r="B635" s="2" t="s">
        <v>84</v>
      </c>
      <c r="C635" s="2" t="s">
        <v>1197</v>
      </c>
      <c r="D635" s="108" t="s">
        <v>1198</v>
      </c>
      <c r="E635" s="103"/>
      <c r="F635" s="2" t="s">
        <v>1199</v>
      </c>
      <c r="G635" s="38">
        <v>13.08</v>
      </c>
      <c r="H635" s="70">
        <v>0</v>
      </c>
      <c r="I635" s="38">
        <f>G635*H635</f>
        <v>0</v>
      </c>
      <c r="J635" s="38">
        <v>6E-05</v>
      </c>
      <c r="K635" s="38">
        <f>G635*J635</f>
        <v>0.0007848</v>
      </c>
      <c r="L635" s="71" t="s">
        <v>207</v>
      </c>
      <c r="Z635" s="38">
        <f>IF(AQ635="5",BJ635,0)</f>
        <v>0</v>
      </c>
      <c r="AB635" s="38">
        <f>IF(AQ635="1",BH635,0)</f>
        <v>0</v>
      </c>
      <c r="AC635" s="38">
        <f>IF(AQ635="1",BI635,0)</f>
        <v>0</v>
      </c>
      <c r="AD635" s="38">
        <f>IF(AQ635="7",BH635,0)</f>
        <v>0</v>
      </c>
      <c r="AE635" s="38">
        <f>IF(AQ635="7",BI635,0)</f>
        <v>0</v>
      </c>
      <c r="AF635" s="38">
        <f>IF(AQ635="2",BH635,0)</f>
        <v>0</v>
      </c>
      <c r="AG635" s="38">
        <f>IF(AQ635="2",BI635,0)</f>
        <v>0</v>
      </c>
      <c r="AH635" s="38">
        <f>IF(AQ635="0",BJ635,0)</f>
        <v>0</v>
      </c>
      <c r="AI635" s="50" t="s">
        <v>84</v>
      </c>
      <c r="AJ635" s="38">
        <f>IF(AN635=0,I635,0)</f>
        <v>0</v>
      </c>
      <c r="AK635" s="38">
        <f>IF(AN635=12,I635,0)</f>
        <v>0</v>
      </c>
      <c r="AL635" s="38">
        <f>IF(AN635=21,I635,0)</f>
        <v>0</v>
      </c>
      <c r="AN635" s="38">
        <v>21</v>
      </c>
      <c r="AO635" s="38">
        <f>H635*0.21623806</f>
        <v>0</v>
      </c>
      <c r="AP635" s="38">
        <f>H635*(1-0.21623806)</f>
        <v>0</v>
      </c>
      <c r="AQ635" s="72" t="s">
        <v>169</v>
      </c>
      <c r="AV635" s="38">
        <f>AW635+AX635</f>
        <v>0</v>
      </c>
      <c r="AW635" s="38">
        <f>G635*AO635</f>
        <v>0</v>
      </c>
      <c r="AX635" s="38">
        <f>G635*AP635</f>
        <v>0</v>
      </c>
      <c r="AY635" s="72" t="s">
        <v>1200</v>
      </c>
      <c r="AZ635" s="72" t="s">
        <v>990</v>
      </c>
      <c r="BA635" s="50" t="s">
        <v>139</v>
      </c>
      <c r="BB635" s="73">
        <v>100018</v>
      </c>
      <c r="BC635" s="38">
        <f>AW635+AX635</f>
        <v>0</v>
      </c>
      <c r="BD635" s="38">
        <f>H635/(100-BE635)*100</f>
        <v>0</v>
      </c>
      <c r="BE635" s="38">
        <v>0</v>
      </c>
      <c r="BF635" s="38">
        <f>K635</f>
        <v>0.0007848</v>
      </c>
      <c r="BH635" s="38">
        <f>G635*AO635</f>
        <v>0</v>
      </c>
      <c r="BI635" s="38">
        <f>G635*AP635</f>
        <v>0</v>
      </c>
      <c r="BJ635" s="38">
        <f>G635*H635</f>
        <v>0</v>
      </c>
      <c r="BK635" s="38"/>
      <c r="BL635" s="38">
        <v>767</v>
      </c>
      <c r="BW635" s="38">
        <v>21</v>
      </c>
    </row>
    <row r="636" spans="1:12" ht="15">
      <c r="A636" s="74"/>
      <c r="D636" s="75" t="s">
        <v>1201</v>
      </c>
      <c r="E636" s="75" t="s">
        <v>1202</v>
      </c>
      <c r="G636" s="76">
        <v>13.08</v>
      </c>
      <c r="L636" s="77"/>
    </row>
    <row r="637" spans="1:75" ht="13.5" customHeight="1">
      <c r="A637" s="1" t="s">
        <v>1203</v>
      </c>
      <c r="B637" s="2" t="s">
        <v>84</v>
      </c>
      <c r="C637" s="2" t="s">
        <v>1204</v>
      </c>
      <c r="D637" s="108" t="s">
        <v>1205</v>
      </c>
      <c r="E637" s="103"/>
      <c r="F637" s="2" t="s">
        <v>1199</v>
      </c>
      <c r="G637" s="38">
        <v>26.16</v>
      </c>
      <c r="H637" s="70">
        <v>0</v>
      </c>
      <c r="I637" s="38">
        <f>G637*H637</f>
        <v>0</v>
      </c>
      <c r="J637" s="38">
        <v>6E-05</v>
      </c>
      <c r="K637" s="38">
        <f>G637*J637</f>
        <v>0.0015696</v>
      </c>
      <c r="L637" s="71" t="s">
        <v>207</v>
      </c>
      <c r="Z637" s="38">
        <f>IF(AQ637="5",BJ637,0)</f>
        <v>0</v>
      </c>
      <c r="AB637" s="38">
        <f>IF(AQ637="1",BH637,0)</f>
        <v>0</v>
      </c>
      <c r="AC637" s="38">
        <f>IF(AQ637="1",BI637,0)</f>
        <v>0</v>
      </c>
      <c r="AD637" s="38">
        <f>IF(AQ637="7",BH637,0)</f>
        <v>0</v>
      </c>
      <c r="AE637" s="38">
        <f>IF(AQ637="7",BI637,0)</f>
        <v>0</v>
      </c>
      <c r="AF637" s="38">
        <f>IF(AQ637="2",BH637,0)</f>
        <v>0</v>
      </c>
      <c r="AG637" s="38">
        <f>IF(AQ637="2",BI637,0)</f>
        <v>0</v>
      </c>
      <c r="AH637" s="38">
        <f>IF(AQ637="0",BJ637,0)</f>
        <v>0</v>
      </c>
      <c r="AI637" s="50" t="s">
        <v>84</v>
      </c>
      <c r="AJ637" s="38">
        <f>IF(AN637=0,I637,0)</f>
        <v>0</v>
      </c>
      <c r="AK637" s="38">
        <f>IF(AN637=12,I637,0)</f>
        <v>0</v>
      </c>
      <c r="AL637" s="38">
        <f>IF(AN637=21,I637,0)</f>
        <v>0</v>
      </c>
      <c r="AN637" s="38">
        <v>21</v>
      </c>
      <c r="AO637" s="38">
        <f>H637*0.276402911</f>
        <v>0</v>
      </c>
      <c r="AP637" s="38">
        <f>H637*(1-0.276402911)</f>
        <v>0</v>
      </c>
      <c r="AQ637" s="72" t="s">
        <v>169</v>
      </c>
      <c r="AV637" s="38">
        <f>AW637+AX637</f>
        <v>0</v>
      </c>
      <c r="AW637" s="38">
        <f>G637*AO637</f>
        <v>0</v>
      </c>
      <c r="AX637" s="38">
        <f>G637*AP637</f>
        <v>0</v>
      </c>
      <c r="AY637" s="72" t="s">
        <v>1200</v>
      </c>
      <c r="AZ637" s="72" t="s">
        <v>990</v>
      </c>
      <c r="BA637" s="50" t="s">
        <v>139</v>
      </c>
      <c r="BB637" s="73">
        <v>100018</v>
      </c>
      <c r="BC637" s="38">
        <f>AW637+AX637</f>
        <v>0</v>
      </c>
      <c r="BD637" s="38">
        <f>H637/(100-BE637)*100</f>
        <v>0</v>
      </c>
      <c r="BE637" s="38">
        <v>0</v>
      </c>
      <c r="BF637" s="38">
        <f>K637</f>
        <v>0.0015696</v>
      </c>
      <c r="BH637" s="38">
        <f>G637*AO637</f>
        <v>0</v>
      </c>
      <c r="BI637" s="38">
        <f>G637*AP637</f>
        <v>0</v>
      </c>
      <c r="BJ637" s="38">
        <f>G637*H637</f>
        <v>0</v>
      </c>
      <c r="BK637" s="38"/>
      <c r="BL637" s="38">
        <v>767</v>
      </c>
      <c r="BW637" s="38">
        <v>21</v>
      </c>
    </row>
    <row r="638" spans="1:12" ht="15">
      <c r="A638" s="74"/>
      <c r="D638" s="75" t="s">
        <v>1206</v>
      </c>
      <c r="E638" s="75" t="s">
        <v>1207</v>
      </c>
      <c r="G638" s="76">
        <v>26.16</v>
      </c>
      <c r="L638" s="77"/>
    </row>
    <row r="639" spans="1:75" ht="27" customHeight="1">
      <c r="A639" s="1" t="s">
        <v>1208</v>
      </c>
      <c r="B639" s="2" t="s">
        <v>84</v>
      </c>
      <c r="C639" s="2" t="s">
        <v>1209</v>
      </c>
      <c r="D639" s="108" t="s">
        <v>1210</v>
      </c>
      <c r="E639" s="103"/>
      <c r="F639" s="2" t="s">
        <v>1097</v>
      </c>
      <c r="G639" s="38">
        <v>1</v>
      </c>
      <c r="H639" s="70">
        <v>0</v>
      </c>
      <c r="I639" s="38">
        <f>G639*H639</f>
        <v>0</v>
      </c>
      <c r="J639" s="38">
        <v>0.067</v>
      </c>
      <c r="K639" s="38">
        <f>G639*J639</f>
        <v>0.067</v>
      </c>
      <c r="L639" s="71" t="s">
        <v>207</v>
      </c>
      <c r="Z639" s="38">
        <f>IF(AQ639="5",BJ639,0)</f>
        <v>0</v>
      </c>
      <c r="AB639" s="38">
        <f>IF(AQ639="1",BH639,0)</f>
        <v>0</v>
      </c>
      <c r="AC639" s="38">
        <f>IF(AQ639="1",BI639,0)</f>
        <v>0</v>
      </c>
      <c r="AD639" s="38">
        <f>IF(AQ639="7",BH639,0)</f>
        <v>0</v>
      </c>
      <c r="AE639" s="38">
        <f>IF(AQ639="7",BI639,0)</f>
        <v>0</v>
      </c>
      <c r="AF639" s="38">
        <f>IF(AQ639="2",BH639,0)</f>
        <v>0</v>
      </c>
      <c r="AG639" s="38">
        <f>IF(AQ639="2",BI639,0)</f>
        <v>0</v>
      </c>
      <c r="AH639" s="38">
        <f>IF(AQ639="0",BJ639,0)</f>
        <v>0</v>
      </c>
      <c r="AI639" s="50" t="s">
        <v>84</v>
      </c>
      <c r="AJ639" s="38">
        <f>IF(AN639=0,I639,0)</f>
        <v>0</v>
      </c>
      <c r="AK639" s="38">
        <f>IF(AN639=12,I639,0)</f>
        <v>0</v>
      </c>
      <c r="AL639" s="38">
        <f>IF(AN639=21,I639,0)</f>
        <v>0</v>
      </c>
      <c r="AN639" s="38">
        <v>21</v>
      </c>
      <c r="AO639" s="38">
        <f>H639*0.9</f>
        <v>0</v>
      </c>
      <c r="AP639" s="38">
        <f>H639*(1-0.9)</f>
        <v>0</v>
      </c>
      <c r="AQ639" s="72" t="s">
        <v>169</v>
      </c>
      <c r="AV639" s="38">
        <f>AW639+AX639</f>
        <v>0</v>
      </c>
      <c r="AW639" s="38">
        <f>G639*AO639</f>
        <v>0</v>
      </c>
      <c r="AX639" s="38">
        <f>G639*AP639</f>
        <v>0</v>
      </c>
      <c r="AY639" s="72" t="s">
        <v>1200</v>
      </c>
      <c r="AZ639" s="72" t="s">
        <v>990</v>
      </c>
      <c r="BA639" s="50" t="s">
        <v>139</v>
      </c>
      <c r="BB639" s="73">
        <v>100018</v>
      </c>
      <c r="BC639" s="38">
        <f>AW639+AX639</f>
        <v>0</v>
      </c>
      <c r="BD639" s="38">
        <f>H639/(100-BE639)*100</f>
        <v>0</v>
      </c>
      <c r="BE639" s="38">
        <v>0</v>
      </c>
      <c r="BF639" s="38">
        <f>K639</f>
        <v>0.067</v>
      </c>
      <c r="BH639" s="38">
        <f>G639*AO639</f>
        <v>0</v>
      </c>
      <c r="BI639" s="38">
        <f>G639*AP639</f>
        <v>0</v>
      </c>
      <c r="BJ639" s="38">
        <f>G639*H639</f>
        <v>0</v>
      </c>
      <c r="BK639" s="38"/>
      <c r="BL639" s="38">
        <v>767</v>
      </c>
      <c r="BW639" s="38">
        <v>21</v>
      </c>
    </row>
    <row r="640" spans="1:12" ht="13.5" customHeight="1">
      <c r="A640" s="74"/>
      <c r="D640" s="194" t="s">
        <v>1211</v>
      </c>
      <c r="E640" s="195"/>
      <c r="F640" s="195"/>
      <c r="G640" s="195"/>
      <c r="H640" s="196"/>
      <c r="I640" s="195"/>
      <c r="J640" s="195"/>
      <c r="K640" s="195"/>
      <c r="L640" s="197"/>
    </row>
    <row r="641" spans="1:12" ht="15">
      <c r="A641" s="74"/>
      <c r="D641" s="75" t="s">
        <v>132</v>
      </c>
      <c r="E641" s="75" t="s">
        <v>4</v>
      </c>
      <c r="G641" s="76">
        <v>1</v>
      </c>
      <c r="L641" s="77"/>
    </row>
    <row r="642" spans="1:75" ht="27" customHeight="1">
      <c r="A642" s="1" t="s">
        <v>1212</v>
      </c>
      <c r="B642" s="2" t="s">
        <v>84</v>
      </c>
      <c r="C642" s="2" t="s">
        <v>1213</v>
      </c>
      <c r="D642" s="108" t="s">
        <v>1214</v>
      </c>
      <c r="E642" s="103"/>
      <c r="F642" s="2" t="s">
        <v>1097</v>
      </c>
      <c r="G642" s="38">
        <v>2</v>
      </c>
      <c r="H642" s="70">
        <v>0</v>
      </c>
      <c r="I642" s="38">
        <f>G642*H642</f>
        <v>0</v>
      </c>
      <c r="J642" s="38">
        <v>0.067</v>
      </c>
      <c r="K642" s="38">
        <f>G642*J642</f>
        <v>0.134</v>
      </c>
      <c r="L642" s="71" t="s">
        <v>207</v>
      </c>
      <c r="Z642" s="38">
        <f>IF(AQ642="5",BJ642,0)</f>
        <v>0</v>
      </c>
      <c r="AB642" s="38">
        <f>IF(AQ642="1",BH642,0)</f>
        <v>0</v>
      </c>
      <c r="AC642" s="38">
        <f>IF(AQ642="1",BI642,0)</f>
        <v>0</v>
      </c>
      <c r="AD642" s="38">
        <f>IF(AQ642="7",BH642,0)</f>
        <v>0</v>
      </c>
      <c r="AE642" s="38">
        <f>IF(AQ642="7",BI642,0)</f>
        <v>0</v>
      </c>
      <c r="AF642" s="38">
        <f>IF(AQ642="2",BH642,0)</f>
        <v>0</v>
      </c>
      <c r="AG642" s="38">
        <f>IF(AQ642="2",BI642,0)</f>
        <v>0</v>
      </c>
      <c r="AH642" s="38">
        <f>IF(AQ642="0",BJ642,0)</f>
        <v>0</v>
      </c>
      <c r="AI642" s="50" t="s">
        <v>84</v>
      </c>
      <c r="AJ642" s="38">
        <f>IF(AN642=0,I642,0)</f>
        <v>0</v>
      </c>
      <c r="AK642" s="38">
        <f>IF(AN642=12,I642,0)</f>
        <v>0</v>
      </c>
      <c r="AL642" s="38">
        <f>IF(AN642=21,I642,0)</f>
        <v>0</v>
      </c>
      <c r="AN642" s="38">
        <v>21</v>
      </c>
      <c r="AO642" s="38">
        <f>H642*0.899484536</f>
        <v>0</v>
      </c>
      <c r="AP642" s="38">
        <f>H642*(1-0.899484536)</f>
        <v>0</v>
      </c>
      <c r="AQ642" s="72" t="s">
        <v>169</v>
      </c>
      <c r="AV642" s="38">
        <f>AW642+AX642</f>
        <v>0</v>
      </c>
      <c r="AW642" s="38">
        <f>G642*AO642</f>
        <v>0</v>
      </c>
      <c r="AX642" s="38">
        <f>G642*AP642</f>
        <v>0</v>
      </c>
      <c r="AY642" s="72" t="s">
        <v>1200</v>
      </c>
      <c r="AZ642" s="72" t="s">
        <v>990</v>
      </c>
      <c r="BA642" s="50" t="s">
        <v>139</v>
      </c>
      <c r="BB642" s="73">
        <v>100018</v>
      </c>
      <c r="BC642" s="38">
        <f>AW642+AX642</f>
        <v>0</v>
      </c>
      <c r="BD642" s="38">
        <f>H642/(100-BE642)*100</f>
        <v>0</v>
      </c>
      <c r="BE642" s="38">
        <v>0</v>
      </c>
      <c r="BF642" s="38">
        <f>K642</f>
        <v>0.134</v>
      </c>
      <c r="BH642" s="38">
        <f>G642*AO642</f>
        <v>0</v>
      </c>
      <c r="BI642" s="38">
        <f>G642*AP642</f>
        <v>0</v>
      </c>
      <c r="BJ642" s="38">
        <f>G642*H642</f>
        <v>0</v>
      </c>
      <c r="BK642" s="38"/>
      <c r="BL642" s="38">
        <v>767</v>
      </c>
      <c r="BW642" s="38">
        <v>21</v>
      </c>
    </row>
    <row r="643" spans="1:12" ht="13.5" customHeight="1">
      <c r="A643" s="74"/>
      <c r="D643" s="194" t="s">
        <v>1211</v>
      </c>
      <c r="E643" s="195"/>
      <c r="F643" s="195"/>
      <c r="G643" s="195"/>
      <c r="H643" s="196"/>
      <c r="I643" s="195"/>
      <c r="J643" s="195"/>
      <c r="K643" s="195"/>
      <c r="L643" s="197"/>
    </row>
    <row r="644" spans="1:12" ht="15">
      <c r="A644" s="74"/>
      <c r="D644" s="75" t="s">
        <v>143</v>
      </c>
      <c r="E644" s="75" t="s">
        <v>4</v>
      </c>
      <c r="G644" s="76">
        <v>2</v>
      </c>
      <c r="L644" s="77"/>
    </row>
    <row r="645" spans="1:75" ht="27" customHeight="1">
      <c r="A645" s="1" t="s">
        <v>1215</v>
      </c>
      <c r="B645" s="2" t="s">
        <v>84</v>
      </c>
      <c r="C645" s="2" t="s">
        <v>1216</v>
      </c>
      <c r="D645" s="108" t="s">
        <v>1217</v>
      </c>
      <c r="E645" s="103"/>
      <c r="F645" s="2" t="s">
        <v>1097</v>
      </c>
      <c r="G645" s="38">
        <v>2</v>
      </c>
      <c r="H645" s="70">
        <v>0</v>
      </c>
      <c r="I645" s="38">
        <f>G645*H645</f>
        <v>0</v>
      </c>
      <c r="J645" s="38">
        <v>0.067</v>
      </c>
      <c r="K645" s="38">
        <f>G645*J645</f>
        <v>0.134</v>
      </c>
      <c r="L645" s="71" t="s">
        <v>207</v>
      </c>
      <c r="Z645" s="38">
        <f>IF(AQ645="5",BJ645,0)</f>
        <v>0</v>
      </c>
      <c r="AB645" s="38">
        <f>IF(AQ645="1",BH645,0)</f>
        <v>0</v>
      </c>
      <c r="AC645" s="38">
        <f>IF(AQ645="1",BI645,0)</f>
        <v>0</v>
      </c>
      <c r="AD645" s="38">
        <f>IF(AQ645="7",BH645,0)</f>
        <v>0</v>
      </c>
      <c r="AE645" s="38">
        <f>IF(AQ645="7",BI645,0)</f>
        <v>0</v>
      </c>
      <c r="AF645" s="38">
        <f>IF(AQ645="2",BH645,0)</f>
        <v>0</v>
      </c>
      <c r="AG645" s="38">
        <f>IF(AQ645="2",BI645,0)</f>
        <v>0</v>
      </c>
      <c r="AH645" s="38">
        <f>IF(AQ645="0",BJ645,0)</f>
        <v>0</v>
      </c>
      <c r="AI645" s="50" t="s">
        <v>84</v>
      </c>
      <c r="AJ645" s="38">
        <f>IF(AN645=0,I645,0)</f>
        <v>0</v>
      </c>
      <c r="AK645" s="38">
        <f>IF(AN645=12,I645,0)</f>
        <v>0</v>
      </c>
      <c r="AL645" s="38">
        <f>IF(AN645=21,I645,0)</f>
        <v>0</v>
      </c>
      <c r="AN645" s="38">
        <v>21</v>
      </c>
      <c r="AO645" s="38">
        <f>H645*0.881091618</f>
        <v>0</v>
      </c>
      <c r="AP645" s="38">
        <f>H645*(1-0.881091618)</f>
        <v>0</v>
      </c>
      <c r="AQ645" s="72" t="s">
        <v>169</v>
      </c>
      <c r="AV645" s="38">
        <f>AW645+AX645</f>
        <v>0</v>
      </c>
      <c r="AW645" s="38">
        <f>G645*AO645</f>
        <v>0</v>
      </c>
      <c r="AX645" s="38">
        <f>G645*AP645</f>
        <v>0</v>
      </c>
      <c r="AY645" s="72" t="s">
        <v>1200</v>
      </c>
      <c r="AZ645" s="72" t="s">
        <v>990</v>
      </c>
      <c r="BA645" s="50" t="s">
        <v>139</v>
      </c>
      <c r="BB645" s="73">
        <v>100018</v>
      </c>
      <c r="BC645" s="38">
        <f>AW645+AX645</f>
        <v>0</v>
      </c>
      <c r="BD645" s="38">
        <f>H645/(100-BE645)*100</f>
        <v>0</v>
      </c>
      <c r="BE645" s="38">
        <v>0</v>
      </c>
      <c r="BF645" s="38">
        <f>K645</f>
        <v>0.134</v>
      </c>
      <c r="BH645" s="38">
        <f>G645*AO645</f>
        <v>0</v>
      </c>
      <c r="BI645" s="38">
        <f>G645*AP645</f>
        <v>0</v>
      </c>
      <c r="BJ645" s="38">
        <f>G645*H645</f>
        <v>0</v>
      </c>
      <c r="BK645" s="38"/>
      <c r="BL645" s="38">
        <v>767</v>
      </c>
      <c r="BW645" s="38">
        <v>21</v>
      </c>
    </row>
    <row r="646" spans="1:12" ht="13.5" customHeight="1">
      <c r="A646" s="74"/>
      <c r="D646" s="194" t="s">
        <v>1211</v>
      </c>
      <c r="E646" s="195"/>
      <c r="F646" s="195"/>
      <c r="G646" s="195"/>
      <c r="H646" s="196"/>
      <c r="I646" s="195"/>
      <c r="J646" s="195"/>
      <c r="K646" s="195"/>
      <c r="L646" s="197"/>
    </row>
    <row r="647" spans="1:12" ht="15">
      <c r="A647" s="74"/>
      <c r="D647" s="75" t="s">
        <v>143</v>
      </c>
      <c r="E647" s="75" t="s">
        <v>4</v>
      </c>
      <c r="G647" s="76">
        <v>2</v>
      </c>
      <c r="L647" s="77"/>
    </row>
    <row r="648" spans="1:75" ht="27" customHeight="1">
      <c r="A648" s="1" t="s">
        <v>1218</v>
      </c>
      <c r="B648" s="2" t="s">
        <v>84</v>
      </c>
      <c r="C648" s="2" t="s">
        <v>1219</v>
      </c>
      <c r="D648" s="108" t="s">
        <v>1220</v>
      </c>
      <c r="E648" s="103"/>
      <c r="F648" s="2" t="s">
        <v>1097</v>
      </c>
      <c r="G648" s="38">
        <v>1</v>
      </c>
      <c r="H648" s="70">
        <v>0</v>
      </c>
      <c r="I648" s="38">
        <f>G648*H648</f>
        <v>0</v>
      </c>
      <c r="J648" s="38">
        <v>0.067</v>
      </c>
      <c r="K648" s="38">
        <f>G648*J648</f>
        <v>0.067</v>
      </c>
      <c r="L648" s="71" t="s">
        <v>207</v>
      </c>
      <c r="Z648" s="38">
        <f>IF(AQ648="5",BJ648,0)</f>
        <v>0</v>
      </c>
      <c r="AB648" s="38">
        <f>IF(AQ648="1",BH648,0)</f>
        <v>0</v>
      </c>
      <c r="AC648" s="38">
        <f>IF(AQ648="1",BI648,0)</f>
        <v>0</v>
      </c>
      <c r="AD648" s="38">
        <f>IF(AQ648="7",BH648,0)</f>
        <v>0</v>
      </c>
      <c r="AE648" s="38">
        <f>IF(AQ648="7",BI648,0)</f>
        <v>0</v>
      </c>
      <c r="AF648" s="38">
        <f>IF(AQ648="2",BH648,0)</f>
        <v>0</v>
      </c>
      <c r="AG648" s="38">
        <f>IF(AQ648="2",BI648,0)</f>
        <v>0</v>
      </c>
      <c r="AH648" s="38">
        <f>IF(AQ648="0",BJ648,0)</f>
        <v>0</v>
      </c>
      <c r="AI648" s="50" t="s">
        <v>84</v>
      </c>
      <c r="AJ648" s="38">
        <f>IF(AN648=0,I648,0)</f>
        <v>0</v>
      </c>
      <c r="AK648" s="38">
        <f>IF(AN648=12,I648,0)</f>
        <v>0</v>
      </c>
      <c r="AL648" s="38">
        <f>IF(AN648=21,I648,0)</f>
        <v>0</v>
      </c>
      <c r="AN648" s="38">
        <v>21</v>
      </c>
      <c r="AO648" s="38">
        <f>H648*0.877846791</f>
        <v>0</v>
      </c>
      <c r="AP648" s="38">
        <f>H648*(1-0.877846791)</f>
        <v>0</v>
      </c>
      <c r="AQ648" s="72" t="s">
        <v>169</v>
      </c>
      <c r="AV648" s="38">
        <f>AW648+AX648</f>
        <v>0</v>
      </c>
      <c r="AW648" s="38">
        <f>G648*AO648</f>
        <v>0</v>
      </c>
      <c r="AX648" s="38">
        <f>G648*AP648</f>
        <v>0</v>
      </c>
      <c r="AY648" s="72" t="s">
        <v>1200</v>
      </c>
      <c r="AZ648" s="72" t="s">
        <v>990</v>
      </c>
      <c r="BA648" s="50" t="s">
        <v>139</v>
      </c>
      <c r="BB648" s="73">
        <v>100018</v>
      </c>
      <c r="BC648" s="38">
        <f>AW648+AX648</f>
        <v>0</v>
      </c>
      <c r="BD648" s="38">
        <f>H648/(100-BE648)*100</f>
        <v>0</v>
      </c>
      <c r="BE648" s="38">
        <v>0</v>
      </c>
      <c r="BF648" s="38">
        <f>K648</f>
        <v>0.067</v>
      </c>
      <c r="BH648" s="38">
        <f>G648*AO648</f>
        <v>0</v>
      </c>
      <c r="BI648" s="38">
        <f>G648*AP648</f>
        <v>0</v>
      </c>
      <c r="BJ648" s="38">
        <f>G648*H648</f>
        <v>0</v>
      </c>
      <c r="BK648" s="38"/>
      <c r="BL648" s="38">
        <v>767</v>
      </c>
      <c r="BW648" s="38">
        <v>21</v>
      </c>
    </row>
    <row r="649" spans="1:12" ht="13.5" customHeight="1">
      <c r="A649" s="74"/>
      <c r="D649" s="194" t="s">
        <v>1211</v>
      </c>
      <c r="E649" s="195"/>
      <c r="F649" s="195"/>
      <c r="G649" s="195"/>
      <c r="H649" s="196"/>
      <c r="I649" s="195"/>
      <c r="J649" s="195"/>
      <c r="K649" s="195"/>
      <c r="L649" s="197"/>
    </row>
    <row r="650" spans="1:12" ht="15">
      <c r="A650" s="74"/>
      <c r="D650" s="75" t="s">
        <v>132</v>
      </c>
      <c r="E650" s="75" t="s">
        <v>4</v>
      </c>
      <c r="G650" s="76">
        <v>1</v>
      </c>
      <c r="L650" s="77"/>
    </row>
    <row r="651" spans="1:75" ht="27" customHeight="1">
      <c r="A651" s="1" t="s">
        <v>1221</v>
      </c>
      <c r="B651" s="2" t="s">
        <v>84</v>
      </c>
      <c r="C651" s="2" t="s">
        <v>1222</v>
      </c>
      <c r="D651" s="108" t="s">
        <v>1223</v>
      </c>
      <c r="E651" s="103"/>
      <c r="F651" s="2" t="s">
        <v>199</v>
      </c>
      <c r="G651" s="38">
        <v>1</v>
      </c>
      <c r="H651" s="70">
        <v>0</v>
      </c>
      <c r="I651" s="38">
        <f>G651*H651</f>
        <v>0</v>
      </c>
      <c r="J651" s="38">
        <v>0.00074</v>
      </c>
      <c r="K651" s="38">
        <f>G651*J651</f>
        <v>0.00074</v>
      </c>
      <c r="L651" s="71" t="s">
        <v>207</v>
      </c>
      <c r="Z651" s="38">
        <f>IF(AQ651="5",BJ651,0)</f>
        <v>0</v>
      </c>
      <c r="AB651" s="38">
        <f>IF(AQ651="1",BH651,0)</f>
        <v>0</v>
      </c>
      <c r="AC651" s="38">
        <f>IF(AQ651="1",BI651,0)</f>
        <v>0</v>
      </c>
      <c r="AD651" s="38">
        <f>IF(AQ651="7",BH651,0)</f>
        <v>0</v>
      </c>
      <c r="AE651" s="38">
        <f>IF(AQ651="7",BI651,0)</f>
        <v>0</v>
      </c>
      <c r="AF651" s="38">
        <f>IF(AQ651="2",BH651,0)</f>
        <v>0</v>
      </c>
      <c r="AG651" s="38">
        <f>IF(AQ651="2",BI651,0)</f>
        <v>0</v>
      </c>
      <c r="AH651" s="38">
        <f>IF(AQ651="0",BJ651,0)</f>
        <v>0</v>
      </c>
      <c r="AI651" s="50" t="s">
        <v>84</v>
      </c>
      <c r="AJ651" s="38">
        <f>IF(AN651=0,I651,0)</f>
        <v>0</v>
      </c>
      <c r="AK651" s="38">
        <f>IF(AN651=12,I651,0)</f>
        <v>0</v>
      </c>
      <c r="AL651" s="38">
        <f>IF(AN651=21,I651,0)</f>
        <v>0</v>
      </c>
      <c r="AN651" s="38">
        <v>21</v>
      </c>
      <c r="AO651" s="38">
        <f>H651*0.936300175</f>
        <v>0</v>
      </c>
      <c r="AP651" s="38">
        <f>H651*(1-0.936300175)</f>
        <v>0</v>
      </c>
      <c r="AQ651" s="72" t="s">
        <v>169</v>
      </c>
      <c r="AV651" s="38">
        <f>AW651+AX651</f>
        <v>0</v>
      </c>
      <c r="AW651" s="38">
        <f>G651*AO651</f>
        <v>0</v>
      </c>
      <c r="AX651" s="38">
        <f>G651*AP651</f>
        <v>0</v>
      </c>
      <c r="AY651" s="72" t="s">
        <v>1200</v>
      </c>
      <c r="AZ651" s="72" t="s">
        <v>990</v>
      </c>
      <c r="BA651" s="50" t="s">
        <v>139</v>
      </c>
      <c r="BB651" s="73">
        <v>100018</v>
      </c>
      <c r="BC651" s="38">
        <f>AW651+AX651</f>
        <v>0</v>
      </c>
      <c r="BD651" s="38">
        <f>H651/(100-BE651)*100</f>
        <v>0</v>
      </c>
      <c r="BE651" s="38">
        <v>0</v>
      </c>
      <c r="BF651" s="38">
        <f>K651</f>
        <v>0.00074</v>
      </c>
      <c r="BH651" s="38">
        <f>G651*AO651</f>
        <v>0</v>
      </c>
      <c r="BI651" s="38">
        <f>G651*AP651</f>
        <v>0</v>
      </c>
      <c r="BJ651" s="38">
        <f>G651*H651</f>
        <v>0</v>
      </c>
      <c r="BK651" s="38"/>
      <c r="BL651" s="38">
        <v>767</v>
      </c>
      <c r="BW651" s="38">
        <v>21</v>
      </c>
    </row>
    <row r="652" spans="1:12" ht="13.5" customHeight="1">
      <c r="A652" s="74"/>
      <c r="D652" s="194" t="s">
        <v>1224</v>
      </c>
      <c r="E652" s="195"/>
      <c r="F652" s="195"/>
      <c r="G652" s="195"/>
      <c r="H652" s="196"/>
      <c r="I652" s="195"/>
      <c r="J652" s="195"/>
      <c r="K652" s="195"/>
      <c r="L652" s="197"/>
    </row>
    <row r="653" spans="1:12" ht="15">
      <c r="A653" s="74"/>
      <c r="D653" s="75" t="s">
        <v>132</v>
      </c>
      <c r="E653" s="75" t="s">
        <v>4</v>
      </c>
      <c r="G653" s="76">
        <v>1</v>
      </c>
      <c r="L653" s="77"/>
    </row>
    <row r="654" spans="1:75" ht="27" customHeight="1">
      <c r="A654" s="1" t="s">
        <v>1225</v>
      </c>
      <c r="B654" s="2" t="s">
        <v>84</v>
      </c>
      <c r="C654" s="2" t="s">
        <v>1226</v>
      </c>
      <c r="D654" s="108" t="s">
        <v>1227</v>
      </c>
      <c r="E654" s="103"/>
      <c r="F654" s="2" t="s">
        <v>199</v>
      </c>
      <c r="G654" s="38">
        <v>1</v>
      </c>
      <c r="H654" s="70">
        <v>0</v>
      </c>
      <c r="I654" s="38">
        <f>G654*H654</f>
        <v>0</v>
      </c>
      <c r="J654" s="38">
        <v>0.00074</v>
      </c>
      <c r="K654" s="38">
        <f>G654*J654</f>
        <v>0.00074</v>
      </c>
      <c r="L654" s="71" t="s">
        <v>207</v>
      </c>
      <c r="Z654" s="38">
        <f>IF(AQ654="5",BJ654,0)</f>
        <v>0</v>
      </c>
      <c r="AB654" s="38">
        <f>IF(AQ654="1",BH654,0)</f>
        <v>0</v>
      </c>
      <c r="AC654" s="38">
        <f>IF(AQ654="1",BI654,0)</f>
        <v>0</v>
      </c>
      <c r="AD654" s="38">
        <f>IF(AQ654="7",BH654,0)</f>
        <v>0</v>
      </c>
      <c r="AE654" s="38">
        <f>IF(AQ654="7",BI654,0)</f>
        <v>0</v>
      </c>
      <c r="AF654" s="38">
        <f>IF(AQ654="2",BH654,0)</f>
        <v>0</v>
      </c>
      <c r="AG654" s="38">
        <f>IF(AQ654="2",BI654,0)</f>
        <v>0</v>
      </c>
      <c r="AH654" s="38">
        <f>IF(AQ654="0",BJ654,0)</f>
        <v>0</v>
      </c>
      <c r="AI654" s="50" t="s">
        <v>84</v>
      </c>
      <c r="AJ654" s="38">
        <f>IF(AN654=0,I654,0)</f>
        <v>0</v>
      </c>
      <c r="AK654" s="38">
        <f>IF(AN654=12,I654,0)</f>
        <v>0</v>
      </c>
      <c r="AL654" s="38">
        <f>IF(AN654=21,I654,0)</f>
        <v>0</v>
      </c>
      <c r="AN654" s="38">
        <v>21</v>
      </c>
      <c r="AO654" s="38">
        <f>H654*0.921679909</f>
        <v>0</v>
      </c>
      <c r="AP654" s="38">
        <f>H654*(1-0.921679909)</f>
        <v>0</v>
      </c>
      <c r="AQ654" s="72" t="s">
        <v>169</v>
      </c>
      <c r="AV654" s="38">
        <f>AW654+AX654</f>
        <v>0</v>
      </c>
      <c r="AW654" s="38">
        <f>G654*AO654</f>
        <v>0</v>
      </c>
      <c r="AX654" s="38">
        <f>G654*AP654</f>
        <v>0</v>
      </c>
      <c r="AY654" s="72" t="s">
        <v>1200</v>
      </c>
      <c r="AZ654" s="72" t="s">
        <v>990</v>
      </c>
      <c r="BA654" s="50" t="s">
        <v>139</v>
      </c>
      <c r="BB654" s="73">
        <v>100018</v>
      </c>
      <c r="BC654" s="38">
        <f>AW654+AX654</f>
        <v>0</v>
      </c>
      <c r="BD654" s="38">
        <f>H654/(100-BE654)*100</f>
        <v>0</v>
      </c>
      <c r="BE654" s="38">
        <v>0</v>
      </c>
      <c r="BF654" s="38">
        <f>K654</f>
        <v>0.00074</v>
      </c>
      <c r="BH654" s="38">
        <f>G654*AO654</f>
        <v>0</v>
      </c>
      <c r="BI654" s="38">
        <f>G654*AP654</f>
        <v>0</v>
      </c>
      <c r="BJ654" s="38">
        <f>G654*H654</f>
        <v>0</v>
      </c>
      <c r="BK654" s="38"/>
      <c r="BL654" s="38">
        <v>767</v>
      </c>
      <c r="BW654" s="38">
        <v>21</v>
      </c>
    </row>
    <row r="655" spans="1:12" ht="13.5" customHeight="1">
      <c r="A655" s="74"/>
      <c r="D655" s="194" t="s">
        <v>1224</v>
      </c>
      <c r="E655" s="195"/>
      <c r="F655" s="195"/>
      <c r="G655" s="195"/>
      <c r="H655" s="196"/>
      <c r="I655" s="195"/>
      <c r="J655" s="195"/>
      <c r="K655" s="195"/>
      <c r="L655" s="197"/>
    </row>
    <row r="656" spans="1:12" ht="15">
      <c r="A656" s="74"/>
      <c r="D656" s="75" t="s">
        <v>132</v>
      </c>
      <c r="E656" s="75" t="s">
        <v>4</v>
      </c>
      <c r="G656" s="76">
        <v>1</v>
      </c>
      <c r="L656" s="77"/>
    </row>
    <row r="657" spans="1:75" ht="27" customHeight="1">
      <c r="A657" s="1" t="s">
        <v>1228</v>
      </c>
      <c r="B657" s="2" t="s">
        <v>84</v>
      </c>
      <c r="C657" s="2" t="s">
        <v>1229</v>
      </c>
      <c r="D657" s="108" t="s">
        <v>1230</v>
      </c>
      <c r="E657" s="103"/>
      <c r="F657" s="2" t="s">
        <v>199</v>
      </c>
      <c r="G657" s="38">
        <v>1</v>
      </c>
      <c r="H657" s="70">
        <v>0</v>
      </c>
      <c r="I657" s="38">
        <f>G657*H657</f>
        <v>0</v>
      </c>
      <c r="J657" s="38">
        <v>0.00043</v>
      </c>
      <c r="K657" s="38">
        <f>G657*J657</f>
        <v>0.00043</v>
      </c>
      <c r="L657" s="71" t="s">
        <v>136</v>
      </c>
      <c r="Z657" s="38">
        <f>IF(AQ657="5",BJ657,0)</f>
        <v>0</v>
      </c>
      <c r="AB657" s="38">
        <f>IF(AQ657="1",BH657,0)</f>
        <v>0</v>
      </c>
      <c r="AC657" s="38">
        <f>IF(AQ657="1",BI657,0)</f>
        <v>0</v>
      </c>
      <c r="AD657" s="38">
        <f>IF(AQ657="7",BH657,0)</f>
        <v>0</v>
      </c>
      <c r="AE657" s="38">
        <f>IF(AQ657="7",BI657,0)</f>
        <v>0</v>
      </c>
      <c r="AF657" s="38">
        <f>IF(AQ657="2",BH657,0)</f>
        <v>0</v>
      </c>
      <c r="AG657" s="38">
        <f>IF(AQ657="2",BI657,0)</f>
        <v>0</v>
      </c>
      <c r="AH657" s="38">
        <f>IF(AQ657="0",BJ657,0)</f>
        <v>0</v>
      </c>
      <c r="AI657" s="50" t="s">
        <v>84</v>
      </c>
      <c r="AJ657" s="38">
        <f>IF(AN657=0,I657,0)</f>
        <v>0</v>
      </c>
      <c r="AK657" s="38">
        <f>IF(AN657=12,I657,0)</f>
        <v>0</v>
      </c>
      <c r="AL657" s="38">
        <f>IF(AN657=21,I657,0)</f>
        <v>0</v>
      </c>
      <c r="AN657" s="38">
        <v>21</v>
      </c>
      <c r="AO657" s="38">
        <f>H657*0.974358974</f>
        <v>0</v>
      </c>
      <c r="AP657" s="38">
        <f>H657*(1-0.974358974)</f>
        <v>0</v>
      </c>
      <c r="AQ657" s="72" t="s">
        <v>169</v>
      </c>
      <c r="AV657" s="38">
        <f>AW657+AX657</f>
        <v>0</v>
      </c>
      <c r="AW657" s="38">
        <f>G657*AO657</f>
        <v>0</v>
      </c>
      <c r="AX657" s="38">
        <f>G657*AP657</f>
        <v>0</v>
      </c>
      <c r="AY657" s="72" t="s">
        <v>1200</v>
      </c>
      <c r="AZ657" s="72" t="s">
        <v>990</v>
      </c>
      <c r="BA657" s="50" t="s">
        <v>139</v>
      </c>
      <c r="BB657" s="73">
        <v>100018</v>
      </c>
      <c r="BC657" s="38">
        <f>AW657+AX657</f>
        <v>0</v>
      </c>
      <c r="BD657" s="38">
        <f>H657/(100-BE657)*100</f>
        <v>0</v>
      </c>
      <c r="BE657" s="38">
        <v>0</v>
      </c>
      <c r="BF657" s="38">
        <f>K657</f>
        <v>0.00043</v>
      </c>
      <c r="BH657" s="38">
        <f>G657*AO657</f>
        <v>0</v>
      </c>
      <c r="BI657" s="38">
        <f>G657*AP657</f>
        <v>0</v>
      </c>
      <c r="BJ657" s="38">
        <f>G657*H657</f>
        <v>0</v>
      </c>
      <c r="BK657" s="38"/>
      <c r="BL657" s="38">
        <v>767</v>
      </c>
      <c r="BW657" s="38">
        <v>21</v>
      </c>
    </row>
    <row r="658" spans="1:12" ht="13.5" customHeight="1">
      <c r="A658" s="74"/>
      <c r="D658" s="194" t="s">
        <v>1224</v>
      </c>
      <c r="E658" s="195"/>
      <c r="F658" s="195"/>
      <c r="G658" s="195"/>
      <c r="H658" s="196"/>
      <c r="I658" s="195"/>
      <c r="J658" s="195"/>
      <c r="K658" s="195"/>
      <c r="L658" s="197"/>
    </row>
    <row r="659" spans="1:12" ht="15">
      <c r="A659" s="74"/>
      <c r="D659" s="75" t="s">
        <v>132</v>
      </c>
      <c r="E659" s="75" t="s">
        <v>4</v>
      </c>
      <c r="G659" s="76">
        <v>1</v>
      </c>
      <c r="L659" s="77"/>
    </row>
    <row r="660" spans="1:75" ht="13.5" customHeight="1">
      <c r="A660" s="1" t="s">
        <v>1231</v>
      </c>
      <c r="B660" s="2" t="s">
        <v>84</v>
      </c>
      <c r="C660" s="2" t="s">
        <v>1232</v>
      </c>
      <c r="D660" s="108" t="s">
        <v>1233</v>
      </c>
      <c r="E660" s="103"/>
      <c r="F660" s="2" t="s">
        <v>263</v>
      </c>
      <c r="G660" s="38">
        <v>18.93</v>
      </c>
      <c r="H660" s="70">
        <v>0</v>
      </c>
      <c r="I660" s="38">
        <f>G660*H660</f>
        <v>0</v>
      </c>
      <c r="J660" s="38">
        <v>0</v>
      </c>
      <c r="K660" s="38">
        <f>G660*J660</f>
        <v>0</v>
      </c>
      <c r="L660" s="71" t="s">
        <v>136</v>
      </c>
      <c r="Z660" s="38">
        <f>IF(AQ660="5",BJ660,0)</f>
        <v>0</v>
      </c>
      <c r="AB660" s="38">
        <f>IF(AQ660="1",BH660,0)</f>
        <v>0</v>
      </c>
      <c r="AC660" s="38">
        <f>IF(AQ660="1",BI660,0)</f>
        <v>0</v>
      </c>
      <c r="AD660" s="38">
        <f>IF(AQ660="7",BH660,0)</f>
        <v>0</v>
      </c>
      <c r="AE660" s="38">
        <f>IF(AQ660="7",BI660,0)</f>
        <v>0</v>
      </c>
      <c r="AF660" s="38">
        <f>IF(AQ660="2",BH660,0)</f>
        <v>0</v>
      </c>
      <c r="AG660" s="38">
        <f>IF(AQ660="2",BI660,0)</f>
        <v>0</v>
      </c>
      <c r="AH660" s="38">
        <f>IF(AQ660="0",BJ660,0)</f>
        <v>0</v>
      </c>
      <c r="AI660" s="50" t="s">
        <v>84</v>
      </c>
      <c r="AJ660" s="38">
        <f>IF(AN660=0,I660,0)</f>
        <v>0</v>
      </c>
      <c r="AK660" s="38">
        <f>IF(AN660=12,I660,0)</f>
        <v>0</v>
      </c>
      <c r="AL660" s="38">
        <f>IF(AN660=21,I660,0)</f>
        <v>0</v>
      </c>
      <c r="AN660" s="38">
        <v>21</v>
      </c>
      <c r="AO660" s="38">
        <f>H660*0.649119245</f>
        <v>0</v>
      </c>
      <c r="AP660" s="38">
        <f>H660*(1-0.649119245)</f>
        <v>0</v>
      </c>
      <c r="AQ660" s="72" t="s">
        <v>169</v>
      </c>
      <c r="AV660" s="38">
        <f>AW660+AX660</f>
        <v>0</v>
      </c>
      <c r="AW660" s="38">
        <f>G660*AO660</f>
        <v>0</v>
      </c>
      <c r="AX660" s="38">
        <f>G660*AP660</f>
        <v>0</v>
      </c>
      <c r="AY660" s="72" t="s">
        <v>1200</v>
      </c>
      <c r="AZ660" s="72" t="s">
        <v>990</v>
      </c>
      <c r="BA660" s="50" t="s">
        <v>139</v>
      </c>
      <c r="BB660" s="73">
        <v>100018</v>
      </c>
      <c r="BC660" s="38">
        <f>AW660+AX660</f>
        <v>0</v>
      </c>
      <c r="BD660" s="38">
        <f>H660/(100-BE660)*100</f>
        <v>0</v>
      </c>
      <c r="BE660" s="38">
        <v>0</v>
      </c>
      <c r="BF660" s="38">
        <f>K660</f>
        <v>0</v>
      </c>
      <c r="BH660" s="38">
        <f>G660*AO660</f>
        <v>0</v>
      </c>
      <c r="BI660" s="38">
        <f>G660*AP660</f>
        <v>0</v>
      </c>
      <c r="BJ660" s="38">
        <f>G660*H660</f>
        <v>0</v>
      </c>
      <c r="BK660" s="38"/>
      <c r="BL660" s="38">
        <v>767</v>
      </c>
      <c r="BW660" s="38">
        <v>21</v>
      </c>
    </row>
    <row r="661" spans="1:12" ht="13.5" customHeight="1">
      <c r="A661" s="74"/>
      <c r="D661" s="194" t="s">
        <v>1234</v>
      </c>
      <c r="E661" s="195"/>
      <c r="F661" s="195"/>
      <c r="G661" s="195"/>
      <c r="H661" s="196"/>
      <c r="I661" s="195"/>
      <c r="J661" s="195"/>
      <c r="K661" s="195"/>
      <c r="L661" s="197"/>
    </row>
    <row r="662" spans="1:12" ht="15">
      <c r="A662" s="74"/>
      <c r="D662" s="75" t="s">
        <v>1235</v>
      </c>
      <c r="E662" s="75" t="s">
        <v>1236</v>
      </c>
      <c r="G662" s="76">
        <v>14.2</v>
      </c>
      <c r="L662" s="77"/>
    </row>
    <row r="663" spans="1:12" ht="15">
      <c r="A663" s="74"/>
      <c r="D663" s="75" t="s">
        <v>1237</v>
      </c>
      <c r="E663" s="75" t="s">
        <v>1238</v>
      </c>
      <c r="G663" s="76">
        <v>4.73</v>
      </c>
      <c r="L663" s="77"/>
    </row>
    <row r="664" spans="1:12" ht="15">
      <c r="A664" s="74"/>
      <c r="D664" s="75" t="s">
        <v>1239</v>
      </c>
      <c r="E664" s="75" t="s">
        <v>4</v>
      </c>
      <c r="G664" s="76">
        <v>0</v>
      </c>
      <c r="L664" s="77"/>
    </row>
    <row r="665" spans="1:75" ht="13.5" customHeight="1">
      <c r="A665" s="1" t="s">
        <v>1240</v>
      </c>
      <c r="B665" s="2" t="s">
        <v>84</v>
      </c>
      <c r="C665" s="2" t="s">
        <v>1241</v>
      </c>
      <c r="D665" s="108" t="s">
        <v>1242</v>
      </c>
      <c r="E665" s="103"/>
      <c r="F665" s="2" t="s">
        <v>263</v>
      </c>
      <c r="G665" s="38">
        <v>41.38</v>
      </c>
      <c r="H665" s="70">
        <v>0</v>
      </c>
      <c r="I665" s="38">
        <f>G665*H665</f>
        <v>0</v>
      </c>
      <c r="J665" s="38">
        <v>0.004</v>
      </c>
      <c r="K665" s="38">
        <f>G665*J665</f>
        <v>0.16552</v>
      </c>
      <c r="L665" s="71" t="s">
        <v>207</v>
      </c>
      <c r="Z665" s="38">
        <f>IF(AQ665="5",BJ665,0)</f>
        <v>0</v>
      </c>
      <c r="AB665" s="38">
        <f>IF(AQ665="1",BH665,0)</f>
        <v>0</v>
      </c>
      <c r="AC665" s="38">
        <f>IF(AQ665="1",BI665,0)</f>
        <v>0</v>
      </c>
      <c r="AD665" s="38">
        <f>IF(AQ665="7",BH665,0)</f>
        <v>0</v>
      </c>
      <c r="AE665" s="38">
        <f>IF(AQ665="7",BI665,0)</f>
        <v>0</v>
      </c>
      <c r="AF665" s="38">
        <f>IF(AQ665="2",BH665,0)</f>
        <v>0</v>
      </c>
      <c r="AG665" s="38">
        <f>IF(AQ665="2",BI665,0)</f>
        <v>0</v>
      </c>
      <c r="AH665" s="38">
        <f>IF(AQ665="0",BJ665,0)</f>
        <v>0</v>
      </c>
      <c r="AI665" s="50" t="s">
        <v>84</v>
      </c>
      <c r="AJ665" s="38">
        <f>IF(AN665=0,I665,0)</f>
        <v>0</v>
      </c>
      <c r="AK665" s="38">
        <f>IF(AN665=12,I665,0)</f>
        <v>0</v>
      </c>
      <c r="AL665" s="38">
        <f>IF(AN665=21,I665,0)</f>
        <v>0</v>
      </c>
      <c r="AN665" s="38">
        <v>21</v>
      </c>
      <c r="AO665" s="38">
        <f>H665*0</f>
        <v>0</v>
      </c>
      <c r="AP665" s="38">
        <f>H665*(1-0)</f>
        <v>0</v>
      </c>
      <c r="AQ665" s="72" t="s">
        <v>169</v>
      </c>
      <c r="AV665" s="38">
        <f>AW665+AX665</f>
        <v>0</v>
      </c>
      <c r="AW665" s="38">
        <f>G665*AO665</f>
        <v>0</v>
      </c>
      <c r="AX665" s="38">
        <f>G665*AP665</f>
        <v>0</v>
      </c>
      <c r="AY665" s="72" t="s">
        <v>1200</v>
      </c>
      <c r="AZ665" s="72" t="s">
        <v>990</v>
      </c>
      <c r="BA665" s="50" t="s">
        <v>139</v>
      </c>
      <c r="BB665" s="73">
        <v>100018</v>
      </c>
      <c r="BC665" s="38">
        <f>AW665+AX665</f>
        <v>0</v>
      </c>
      <c r="BD665" s="38">
        <f>H665/(100-BE665)*100</f>
        <v>0</v>
      </c>
      <c r="BE665" s="38">
        <v>0</v>
      </c>
      <c r="BF665" s="38">
        <f>K665</f>
        <v>0.16552</v>
      </c>
      <c r="BH665" s="38">
        <f>G665*AO665</f>
        <v>0</v>
      </c>
      <c r="BI665" s="38">
        <f>G665*AP665</f>
        <v>0</v>
      </c>
      <c r="BJ665" s="38">
        <f>G665*H665</f>
        <v>0</v>
      </c>
      <c r="BK665" s="38"/>
      <c r="BL665" s="38">
        <v>767</v>
      </c>
      <c r="BW665" s="38">
        <v>21</v>
      </c>
    </row>
    <row r="666" spans="1:12" ht="15">
      <c r="A666" s="74"/>
      <c r="D666" s="75" t="s">
        <v>1243</v>
      </c>
      <c r="E666" s="75" t="s">
        <v>974</v>
      </c>
      <c r="G666" s="76">
        <v>19.7</v>
      </c>
      <c r="L666" s="77"/>
    </row>
    <row r="667" spans="1:12" ht="15">
      <c r="A667" s="74"/>
      <c r="D667" s="75" t="s">
        <v>399</v>
      </c>
      <c r="E667" s="75" t="s">
        <v>1244</v>
      </c>
      <c r="G667" s="76">
        <v>16.95</v>
      </c>
      <c r="L667" s="77"/>
    </row>
    <row r="668" spans="1:12" ht="15">
      <c r="A668" s="74"/>
      <c r="D668" s="75" t="s">
        <v>1237</v>
      </c>
      <c r="E668" s="75" t="s">
        <v>1245</v>
      </c>
      <c r="G668" s="76">
        <v>4.73</v>
      </c>
      <c r="L668" s="77"/>
    </row>
    <row r="669" spans="1:75" ht="13.5" customHeight="1">
      <c r="A669" s="1" t="s">
        <v>1246</v>
      </c>
      <c r="B669" s="2" t="s">
        <v>84</v>
      </c>
      <c r="C669" s="2" t="s">
        <v>1247</v>
      </c>
      <c r="D669" s="108" t="s">
        <v>1248</v>
      </c>
      <c r="E669" s="103"/>
      <c r="F669" s="2" t="s">
        <v>1199</v>
      </c>
      <c r="G669" s="38">
        <v>889.14</v>
      </c>
      <c r="H669" s="70">
        <v>0</v>
      </c>
      <c r="I669" s="38">
        <f>G669*H669</f>
        <v>0</v>
      </c>
      <c r="J669" s="38">
        <v>5E-05</v>
      </c>
      <c r="K669" s="38">
        <f>G669*J669</f>
        <v>0.044457</v>
      </c>
      <c r="L669" s="71" t="s">
        <v>136</v>
      </c>
      <c r="Z669" s="38">
        <f>IF(AQ669="5",BJ669,0)</f>
        <v>0</v>
      </c>
      <c r="AB669" s="38">
        <f>IF(AQ669="1",BH669,0)</f>
        <v>0</v>
      </c>
      <c r="AC669" s="38">
        <f>IF(AQ669="1",BI669,0)</f>
        <v>0</v>
      </c>
      <c r="AD669" s="38">
        <f>IF(AQ669="7",BH669,0)</f>
        <v>0</v>
      </c>
      <c r="AE669" s="38">
        <f>IF(AQ669="7",BI669,0)</f>
        <v>0</v>
      </c>
      <c r="AF669" s="38">
        <f>IF(AQ669="2",BH669,0)</f>
        <v>0</v>
      </c>
      <c r="AG669" s="38">
        <f>IF(AQ669="2",BI669,0)</f>
        <v>0</v>
      </c>
      <c r="AH669" s="38">
        <f>IF(AQ669="0",BJ669,0)</f>
        <v>0</v>
      </c>
      <c r="AI669" s="50" t="s">
        <v>84</v>
      </c>
      <c r="AJ669" s="38">
        <f>IF(AN669=0,I669,0)</f>
        <v>0</v>
      </c>
      <c r="AK669" s="38">
        <f>IF(AN669=12,I669,0)</f>
        <v>0</v>
      </c>
      <c r="AL669" s="38">
        <f>IF(AN669=21,I669,0)</f>
        <v>0</v>
      </c>
      <c r="AN669" s="38">
        <v>21</v>
      </c>
      <c r="AO669" s="38">
        <f>H669*0.471061608</f>
        <v>0</v>
      </c>
      <c r="AP669" s="38">
        <f>H669*(1-0.471061608)</f>
        <v>0</v>
      </c>
      <c r="AQ669" s="72" t="s">
        <v>169</v>
      </c>
      <c r="AV669" s="38">
        <f>AW669+AX669</f>
        <v>0</v>
      </c>
      <c r="AW669" s="38">
        <f>G669*AO669</f>
        <v>0</v>
      </c>
      <c r="AX669" s="38">
        <f>G669*AP669</f>
        <v>0</v>
      </c>
      <c r="AY669" s="72" t="s">
        <v>1200</v>
      </c>
      <c r="AZ669" s="72" t="s">
        <v>990</v>
      </c>
      <c r="BA669" s="50" t="s">
        <v>139</v>
      </c>
      <c r="BB669" s="73">
        <v>100018</v>
      </c>
      <c r="BC669" s="38">
        <f>AW669+AX669</f>
        <v>0</v>
      </c>
      <c r="BD669" s="38">
        <f>H669/(100-BE669)*100</f>
        <v>0</v>
      </c>
      <c r="BE669" s="38">
        <v>0</v>
      </c>
      <c r="BF669" s="38">
        <f>K669</f>
        <v>0.044457</v>
      </c>
      <c r="BH669" s="38">
        <f>G669*AO669</f>
        <v>0</v>
      </c>
      <c r="BI669" s="38">
        <f>G669*AP669</f>
        <v>0</v>
      </c>
      <c r="BJ669" s="38">
        <f>G669*H669</f>
        <v>0</v>
      </c>
      <c r="BK669" s="38"/>
      <c r="BL669" s="38">
        <v>767</v>
      </c>
      <c r="BW669" s="38">
        <v>21</v>
      </c>
    </row>
    <row r="670" spans="1:12" ht="13.5" customHeight="1">
      <c r="A670" s="74"/>
      <c r="D670" s="194" t="s">
        <v>1058</v>
      </c>
      <c r="E670" s="195"/>
      <c r="F670" s="195"/>
      <c r="G670" s="195"/>
      <c r="H670" s="196"/>
      <c r="I670" s="195"/>
      <c r="J670" s="195"/>
      <c r="K670" s="195"/>
      <c r="L670" s="197"/>
    </row>
    <row r="671" spans="1:12" ht="15">
      <c r="A671" s="74"/>
      <c r="D671" s="75" t="s">
        <v>1249</v>
      </c>
      <c r="E671" s="75" t="s">
        <v>1250</v>
      </c>
      <c r="G671" s="76">
        <v>889.14</v>
      </c>
      <c r="L671" s="77"/>
    </row>
    <row r="672" spans="1:75" ht="13.5" customHeight="1">
      <c r="A672" s="1" t="s">
        <v>1251</v>
      </c>
      <c r="B672" s="2" t="s">
        <v>84</v>
      </c>
      <c r="C672" s="2" t="s">
        <v>1252</v>
      </c>
      <c r="D672" s="108" t="s">
        <v>1253</v>
      </c>
      <c r="E672" s="103"/>
      <c r="F672" s="2" t="s">
        <v>263</v>
      </c>
      <c r="G672" s="38">
        <v>1.5</v>
      </c>
      <c r="H672" s="70">
        <v>0</v>
      </c>
      <c r="I672" s="38">
        <f>G672*H672</f>
        <v>0</v>
      </c>
      <c r="J672" s="38">
        <v>0</v>
      </c>
      <c r="K672" s="38">
        <f>G672*J672</f>
        <v>0</v>
      </c>
      <c r="L672" s="71" t="s">
        <v>207</v>
      </c>
      <c r="Z672" s="38">
        <f>IF(AQ672="5",BJ672,0)</f>
        <v>0</v>
      </c>
      <c r="AB672" s="38">
        <f>IF(AQ672="1",BH672,0)</f>
        <v>0</v>
      </c>
      <c r="AC672" s="38">
        <f>IF(AQ672="1",BI672,0)</f>
        <v>0</v>
      </c>
      <c r="AD672" s="38">
        <f>IF(AQ672="7",BH672,0)</f>
        <v>0</v>
      </c>
      <c r="AE672" s="38">
        <f>IF(AQ672="7",BI672,0)</f>
        <v>0</v>
      </c>
      <c r="AF672" s="38">
        <f>IF(AQ672="2",BH672,0)</f>
        <v>0</v>
      </c>
      <c r="AG672" s="38">
        <f>IF(AQ672="2",BI672,0)</f>
        <v>0</v>
      </c>
      <c r="AH672" s="38">
        <f>IF(AQ672="0",BJ672,0)</f>
        <v>0</v>
      </c>
      <c r="AI672" s="50" t="s">
        <v>84</v>
      </c>
      <c r="AJ672" s="38">
        <f>IF(AN672=0,I672,0)</f>
        <v>0</v>
      </c>
      <c r="AK672" s="38">
        <f>IF(AN672=12,I672,0)</f>
        <v>0</v>
      </c>
      <c r="AL672" s="38">
        <f>IF(AN672=21,I672,0)</f>
        <v>0</v>
      </c>
      <c r="AN672" s="38">
        <v>21</v>
      </c>
      <c r="AO672" s="38">
        <f>H672*0.928943937</f>
        <v>0</v>
      </c>
      <c r="AP672" s="38">
        <f>H672*(1-0.928943937)</f>
        <v>0</v>
      </c>
      <c r="AQ672" s="72" t="s">
        <v>169</v>
      </c>
      <c r="AV672" s="38">
        <f>AW672+AX672</f>
        <v>0</v>
      </c>
      <c r="AW672" s="38">
        <f>G672*AO672</f>
        <v>0</v>
      </c>
      <c r="AX672" s="38">
        <f>G672*AP672</f>
        <v>0</v>
      </c>
      <c r="AY672" s="72" t="s">
        <v>1200</v>
      </c>
      <c r="AZ672" s="72" t="s">
        <v>990</v>
      </c>
      <c r="BA672" s="50" t="s">
        <v>139</v>
      </c>
      <c r="BB672" s="73">
        <v>100018</v>
      </c>
      <c r="BC672" s="38">
        <f>AW672+AX672</f>
        <v>0</v>
      </c>
      <c r="BD672" s="38">
        <f>H672/(100-BE672)*100</f>
        <v>0</v>
      </c>
      <c r="BE672" s="38">
        <v>0</v>
      </c>
      <c r="BF672" s="38">
        <f>K672</f>
        <v>0</v>
      </c>
      <c r="BH672" s="38">
        <f>G672*AO672</f>
        <v>0</v>
      </c>
      <c r="BI672" s="38">
        <f>G672*AP672</f>
        <v>0</v>
      </c>
      <c r="BJ672" s="38">
        <f>G672*H672</f>
        <v>0</v>
      </c>
      <c r="BK672" s="38"/>
      <c r="BL672" s="38">
        <v>767</v>
      </c>
      <c r="BW672" s="38">
        <v>21</v>
      </c>
    </row>
    <row r="673" spans="1:12" ht="13.5" customHeight="1">
      <c r="A673" s="74"/>
      <c r="D673" s="194" t="s">
        <v>1058</v>
      </c>
      <c r="E673" s="195"/>
      <c r="F673" s="195"/>
      <c r="G673" s="195"/>
      <c r="H673" s="196"/>
      <c r="I673" s="195"/>
      <c r="J673" s="195"/>
      <c r="K673" s="195"/>
      <c r="L673" s="197"/>
    </row>
    <row r="674" spans="1:12" ht="15">
      <c r="A674" s="74"/>
      <c r="D674" s="75" t="s">
        <v>1254</v>
      </c>
      <c r="E674" s="75" t="s">
        <v>4</v>
      </c>
      <c r="G674" s="76">
        <v>1.5</v>
      </c>
      <c r="L674" s="77"/>
    </row>
    <row r="675" spans="1:75" ht="13.5" customHeight="1">
      <c r="A675" s="1" t="s">
        <v>1255</v>
      </c>
      <c r="B675" s="2" t="s">
        <v>84</v>
      </c>
      <c r="C675" s="2" t="s">
        <v>1256</v>
      </c>
      <c r="D675" s="108" t="s">
        <v>1257</v>
      </c>
      <c r="E675" s="103"/>
      <c r="F675" s="2" t="s">
        <v>263</v>
      </c>
      <c r="G675" s="38">
        <v>0.5</v>
      </c>
      <c r="H675" s="70">
        <v>0</v>
      </c>
      <c r="I675" s="38">
        <f>G675*H675</f>
        <v>0</v>
      </c>
      <c r="J675" s="38">
        <v>0.03681</v>
      </c>
      <c r="K675" s="38">
        <f>G675*J675</f>
        <v>0.018405</v>
      </c>
      <c r="L675" s="71" t="s">
        <v>207</v>
      </c>
      <c r="Z675" s="38">
        <f>IF(AQ675="5",BJ675,0)</f>
        <v>0</v>
      </c>
      <c r="AB675" s="38">
        <f>IF(AQ675="1",BH675,0)</f>
        <v>0</v>
      </c>
      <c r="AC675" s="38">
        <f>IF(AQ675="1",BI675,0)</f>
        <v>0</v>
      </c>
      <c r="AD675" s="38">
        <f>IF(AQ675="7",BH675,0)</f>
        <v>0</v>
      </c>
      <c r="AE675" s="38">
        <f>IF(AQ675="7",BI675,0)</f>
        <v>0</v>
      </c>
      <c r="AF675" s="38">
        <f>IF(AQ675="2",BH675,0)</f>
        <v>0</v>
      </c>
      <c r="AG675" s="38">
        <f>IF(AQ675="2",BI675,0)</f>
        <v>0</v>
      </c>
      <c r="AH675" s="38">
        <f>IF(AQ675="0",BJ675,0)</f>
        <v>0</v>
      </c>
      <c r="AI675" s="50" t="s">
        <v>84</v>
      </c>
      <c r="AJ675" s="38">
        <f>IF(AN675=0,I675,0)</f>
        <v>0</v>
      </c>
      <c r="AK675" s="38">
        <f>IF(AN675=12,I675,0)</f>
        <v>0</v>
      </c>
      <c r="AL675" s="38">
        <f>IF(AN675=21,I675,0)</f>
        <v>0</v>
      </c>
      <c r="AN675" s="38">
        <v>21</v>
      </c>
      <c r="AO675" s="38">
        <f>H675*0.929004498</f>
        <v>0</v>
      </c>
      <c r="AP675" s="38">
        <f>H675*(1-0.929004498)</f>
        <v>0</v>
      </c>
      <c r="AQ675" s="72" t="s">
        <v>169</v>
      </c>
      <c r="AV675" s="38">
        <f>AW675+AX675</f>
        <v>0</v>
      </c>
      <c r="AW675" s="38">
        <f>G675*AO675</f>
        <v>0</v>
      </c>
      <c r="AX675" s="38">
        <f>G675*AP675</f>
        <v>0</v>
      </c>
      <c r="AY675" s="72" t="s">
        <v>1200</v>
      </c>
      <c r="AZ675" s="72" t="s">
        <v>990</v>
      </c>
      <c r="BA675" s="50" t="s">
        <v>139</v>
      </c>
      <c r="BB675" s="73">
        <v>100018</v>
      </c>
      <c r="BC675" s="38">
        <f>AW675+AX675</f>
        <v>0</v>
      </c>
      <c r="BD675" s="38">
        <f>H675/(100-BE675)*100</f>
        <v>0</v>
      </c>
      <c r="BE675" s="38">
        <v>0</v>
      </c>
      <c r="BF675" s="38">
        <f>K675</f>
        <v>0.018405</v>
      </c>
      <c r="BH675" s="38">
        <f>G675*AO675</f>
        <v>0</v>
      </c>
      <c r="BI675" s="38">
        <f>G675*AP675</f>
        <v>0</v>
      </c>
      <c r="BJ675" s="38">
        <f>G675*H675</f>
        <v>0</v>
      </c>
      <c r="BK675" s="38"/>
      <c r="BL675" s="38">
        <v>767</v>
      </c>
      <c r="BW675" s="38">
        <v>21</v>
      </c>
    </row>
    <row r="676" spans="1:12" ht="13.5" customHeight="1">
      <c r="A676" s="74"/>
      <c r="D676" s="194" t="s">
        <v>1058</v>
      </c>
      <c r="E676" s="195"/>
      <c r="F676" s="195"/>
      <c r="G676" s="195"/>
      <c r="H676" s="196"/>
      <c r="I676" s="195"/>
      <c r="J676" s="195"/>
      <c r="K676" s="195"/>
      <c r="L676" s="197"/>
    </row>
    <row r="677" spans="1:12" ht="15">
      <c r="A677" s="74"/>
      <c r="D677" s="75" t="s">
        <v>1258</v>
      </c>
      <c r="E677" s="75" t="s">
        <v>4</v>
      </c>
      <c r="G677" s="76">
        <v>0.5</v>
      </c>
      <c r="L677" s="77"/>
    </row>
    <row r="678" spans="1:75" ht="13.5" customHeight="1">
      <c r="A678" s="1" t="s">
        <v>1259</v>
      </c>
      <c r="B678" s="2" t="s">
        <v>84</v>
      </c>
      <c r="C678" s="2" t="s">
        <v>1260</v>
      </c>
      <c r="D678" s="108" t="s">
        <v>1261</v>
      </c>
      <c r="E678" s="103"/>
      <c r="F678" s="2" t="s">
        <v>214</v>
      </c>
      <c r="G678" s="38">
        <v>23.8</v>
      </c>
      <c r="H678" s="70">
        <v>0</v>
      </c>
      <c r="I678" s="38">
        <f>G678*H678</f>
        <v>0</v>
      </c>
      <c r="J678" s="38">
        <v>0</v>
      </c>
      <c r="K678" s="38">
        <f>G678*J678</f>
        <v>0</v>
      </c>
      <c r="L678" s="71" t="s">
        <v>207</v>
      </c>
      <c r="Z678" s="38">
        <f>IF(AQ678="5",BJ678,0)</f>
        <v>0</v>
      </c>
      <c r="AB678" s="38">
        <f>IF(AQ678="1",BH678,0)</f>
        <v>0</v>
      </c>
      <c r="AC678" s="38">
        <f>IF(AQ678="1",BI678,0)</f>
        <v>0</v>
      </c>
      <c r="AD678" s="38">
        <f>IF(AQ678="7",BH678,0)</f>
        <v>0</v>
      </c>
      <c r="AE678" s="38">
        <f>IF(AQ678="7",BI678,0)</f>
        <v>0</v>
      </c>
      <c r="AF678" s="38">
        <f>IF(AQ678="2",BH678,0)</f>
        <v>0</v>
      </c>
      <c r="AG678" s="38">
        <f>IF(AQ678="2",BI678,0)</f>
        <v>0</v>
      </c>
      <c r="AH678" s="38">
        <f>IF(AQ678="0",BJ678,0)</f>
        <v>0</v>
      </c>
      <c r="AI678" s="50" t="s">
        <v>84</v>
      </c>
      <c r="AJ678" s="38">
        <f>IF(AN678=0,I678,0)</f>
        <v>0</v>
      </c>
      <c r="AK678" s="38">
        <f>IF(AN678=12,I678,0)</f>
        <v>0</v>
      </c>
      <c r="AL678" s="38">
        <f>IF(AN678=21,I678,0)</f>
        <v>0</v>
      </c>
      <c r="AN678" s="38">
        <v>21</v>
      </c>
      <c r="AO678" s="38">
        <f>H678*0</f>
        <v>0</v>
      </c>
      <c r="AP678" s="38">
        <f>H678*(1-0)</f>
        <v>0</v>
      </c>
      <c r="AQ678" s="72" t="s">
        <v>169</v>
      </c>
      <c r="AV678" s="38">
        <f>AW678+AX678</f>
        <v>0</v>
      </c>
      <c r="AW678" s="38">
        <f>G678*AO678</f>
        <v>0</v>
      </c>
      <c r="AX678" s="38">
        <f>G678*AP678</f>
        <v>0</v>
      </c>
      <c r="AY678" s="72" t="s">
        <v>1200</v>
      </c>
      <c r="AZ678" s="72" t="s">
        <v>990</v>
      </c>
      <c r="BA678" s="50" t="s">
        <v>139</v>
      </c>
      <c r="BB678" s="73">
        <v>100018</v>
      </c>
      <c r="BC678" s="38">
        <f>AW678+AX678</f>
        <v>0</v>
      </c>
      <c r="BD678" s="38">
        <f>H678/(100-BE678)*100</f>
        <v>0</v>
      </c>
      <c r="BE678" s="38">
        <v>0</v>
      </c>
      <c r="BF678" s="38">
        <f>K678</f>
        <v>0</v>
      </c>
      <c r="BH678" s="38">
        <f>G678*AO678</f>
        <v>0</v>
      </c>
      <c r="BI678" s="38">
        <f>G678*AP678</f>
        <v>0</v>
      </c>
      <c r="BJ678" s="38">
        <f>G678*H678</f>
        <v>0</v>
      </c>
      <c r="BK678" s="38"/>
      <c r="BL678" s="38">
        <v>767</v>
      </c>
      <c r="BW678" s="38">
        <v>21</v>
      </c>
    </row>
    <row r="679" spans="1:12" ht="13.5" customHeight="1">
      <c r="A679" s="74"/>
      <c r="D679" s="194" t="s">
        <v>1058</v>
      </c>
      <c r="E679" s="195"/>
      <c r="F679" s="195"/>
      <c r="G679" s="195"/>
      <c r="H679" s="196"/>
      <c r="I679" s="195"/>
      <c r="J679" s="195"/>
      <c r="K679" s="195"/>
      <c r="L679" s="197"/>
    </row>
    <row r="680" spans="1:12" ht="15">
      <c r="A680" s="74"/>
      <c r="D680" s="75" t="s">
        <v>1262</v>
      </c>
      <c r="E680" s="75" t="s">
        <v>4</v>
      </c>
      <c r="G680" s="76">
        <v>23.8</v>
      </c>
      <c r="L680" s="77"/>
    </row>
    <row r="681" spans="1:75" ht="13.5" customHeight="1">
      <c r="A681" s="1" t="s">
        <v>1263</v>
      </c>
      <c r="B681" s="2" t="s">
        <v>84</v>
      </c>
      <c r="C681" s="2" t="s">
        <v>1264</v>
      </c>
      <c r="D681" s="108" t="s">
        <v>1265</v>
      </c>
      <c r="E681" s="103"/>
      <c r="F681" s="2" t="s">
        <v>1097</v>
      </c>
      <c r="G681" s="38">
        <v>4</v>
      </c>
      <c r="H681" s="70">
        <v>0</v>
      </c>
      <c r="I681" s="38">
        <f>G681*H681</f>
        <v>0</v>
      </c>
      <c r="J681" s="38">
        <v>0</v>
      </c>
      <c r="K681" s="38">
        <f>G681*J681</f>
        <v>0</v>
      </c>
      <c r="L681" s="71" t="s">
        <v>207</v>
      </c>
      <c r="Z681" s="38">
        <f>IF(AQ681="5",BJ681,0)</f>
        <v>0</v>
      </c>
      <c r="AB681" s="38">
        <f>IF(AQ681="1",BH681,0)</f>
        <v>0</v>
      </c>
      <c r="AC681" s="38">
        <f>IF(AQ681="1",BI681,0)</f>
        <v>0</v>
      </c>
      <c r="AD681" s="38">
        <f>IF(AQ681="7",BH681,0)</f>
        <v>0</v>
      </c>
      <c r="AE681" s="38">
        <f>IF(AQ681="7",BI681,0)</f>
        <v>0</v>
      </c>
      <c r="AF681" s="38">
        <f>IF(AQ681="2",BH681,0)</f>
        <v>0</v>
      </c>
      <c r="AG681" s="38">
        <f>IF(AQ681="2",BI681,0)</f>
        <v>0</v>
      </c>
      <c r="AH681" s="38">
        <f>IF(AQ681="0",BJ681,0)</f>
        <v>0</v>
      </c>
      <c r="AI681" s="50" t="s">
        <v>84</v>
      </c>
      <c r="AJ681" s="38">
        <f>IF(AN681=0,I681,0)</f>
        <v>0</v>
      </c>
      <c r="AK681" s="38">
        <f>IF(AN681=12,I681,0)</f>
        <v>0</v>
      </c>
      <c r="AL681" s="38">
        <f>IF(AN681=21,I681,0)</f>
        <v>0</v>
      </c>
      <c r="AN681" s="38">
        <v>21</v>
      </c>
      <c r="AO681" s="38">
        <f>H681*0.772727273</f>
        <v>0</v>
      </c>
      <c r="AP681" s="38">
        <f>H681*(1-0.772727273)</f>
        <v>0</v>
      </c>
      <c r="AQ681" s="72" t="s">
        <v>169</v>
      </c>
      <c r="AV681" s="38">
        <f>AW681+AX681</f>
        <v>0</v>
      </c>
      <c r="AW681" s="38">
        <f>G681*AO681</f>
        <v>0</v>
      </c>
      <c r="AX681" s="38">
        <f>G681*AP681</f>
        <v>0</v>
      </c>
      <c r="AY681" s="72" t="s">
        <v>1200</v>
      </c>
      <c r="AZ681" s="72" t="s">
        <v>990</v>
      </c>
      <c r="BA681" s="50" t="s">
        <v>139</v>
      </c>
      <c r="BB681" s="73">
        <v>100018</v>
      </c>
      <c r="BC681" s="38">
        <f>AW681+AX681</f>
        <v>0</v>
      </c>
      <c r="BD681" s="38">
        <f>H681/(100-BE681)*100</f>
        <v>0</v>
      </c>
      <c r="BE681" s="38">
        <v>0</v>
      </c>
      <c r="BF681" s="38">
        <f>K681</f>
        <v>0</v>
      </c>
      <c r="BH681" s="38">
        <f>G681*AO681</f>
        <v>0</v>
      </c>
      <c r="BI681" s="38">
        <f>G681*AP681</f>
        <v>0</v>
      </c>
      <c r="BJ681" s="38">
        <f>G681*H681</f>
        <v>0</v>
      </c>
      <c r="BK681" s="38"/>
      <c r="BL681" s="38">
        <v>767</v>
      </c>
      <c r="BW681" s="38">
        <v>21</v>
      </c>
    </row>
    <row r="682" spans="1:12" ht="13.5" customHeight="1">
      <c r="A682" s="74"/>
      <c r="D682" s="194" t="s">
        <v>1058</v>
      </c>
      <c r="E682" s="195"/>
      <c r="F682" s="195"/>
      <c r="G682" s="195"/>
      <c r="H682" s="196"/>
      <c r="I682" s="195"/>
      <c r="J682" s="195"/>
      <c r="K682" s="195"/>
      <c r="L682" s="197"/>
    </row>
    <row r="683" spans="1:12" ht="15">
      <c r="A683" s="74"/>
      <c r="D683" s="75" t="s">
        <v>157</v>
      </c>
      <c r="E683" s="75" t="s">
        <v>4</v>
      </c>
      <c r="G683" s="76">
        <v>4</v>
      </c>
      <c r="L683" s="77"/>
    </row>
    <row r="684" spans="1:75" ht="13.5" customHeight="1">
      <c r="A684" s="1" t="s">
        <v>1266</v>
      </c>
      <c r="B684" s="2" t="s">
        <v>84</v>
      </c>
      <c r="C684" s="2" t="s">
        <v>1264</v>
      </c>
      <c r="D684" s="108" t="s">
        <v>1267</v>
      </c>
      <c r="E684" s="103"/>
      <c r="F684" s="2" t="s">
        <v>1097</v>
      </c>
      <c r="G684" s="38">
        <v>1</v>
      </c>
      <c r="H684" s="70">
        <v>0</v>
      </c>
      <c r="I684" s="38">
        <f>G684*H684</f>
        <v>0</v>
      </c>
      <c r="J684" s="38">
        <v>0</v>
      </c>
      <c r="K684" s="38">
        <f>G684*J684</f>
        <v>0</v>
      </c>
      <c r="L684" s="71" t="s">
        <v>207</v>
      </c>
      <c r="Z684" s="38">
        <f>IF(AQ684="5",BJ684,0)</f>
        <v>0</v>
      </c>
      <c r="AB684" s="38">
        <f>IF(AQ684="1",BH684,0)</f>
        <v>0</v>
      </c>
      <c r="AC684" s="38">
        <f>IF(AQ684="1",BI684,0)</f>
        <v>0</v>
      </c>
      <c r="AD684" s="38">
        <f>IF(AQ684="7",BH684,0)</f>
        <v>0</v>
      </c>
      <c r="AE684" s="38">
        <f>IF(AQ684="7",BI684,0)</f>
        <v>0</v>
      </c>
      <c r="AF684" s="38">
        <f>IF(AQ684="2",BH684,0)</f>
        <v>0</v>
      </c>
      <c r="AG684" s="38">
        <f>IF(AQ684="2",BI684,0)</f>
        <v>0</v>
      </c>
      <c r="AH684" s="38">
        <f>IF(AQ684="0",BJ684,0)</f>
        <v>0</v>
      </c>
      <c r="AI684" s="50" t="s">
        <v>84</v>
      </c>
      <c r="AJ684" s="38">
        <f>IF(AN684=0,I684,0)</f>
        <v>0</v>
      </c>
      <c r="AK684" s="38">
        <f>IF(AN684=12,I684,0)</f>
        <v>0</v>
      </c>
      <c r="AL684" s="38">
        <f>IF(AN684=21,I684,0)</f>
        <v>0</v>
      </c>
      <c r="AN684" s="38">
        <v>21</v>
      </c>
      <c r="AO684" s="38">
        <f>H684*0.958333333</f>
        <v>0</v>
      </c>
      <c r="AP684" s="38">
        <f>H684*(1-0.958333333)</f>
        <v>0</v>
      </c>
      <c r="AQ684" s="72" t="s">
        <v>169</v>
      </c>
      <c r="AV684" s="38">
        <f>AW684+AX684</f>
        <v>0</v>
      </c>
      <c r="AW684" s="38">
        <f>G684*AO684</f>
        <v>0</v>
      </c>
      <c r="AX684" s="38">
        <f>G684*AP684</f>
        <v>0</v>
      </c>
      <c r="AY684" s="72" t="s">
        <v>1200</v>
      </c>
      <c r="AZ684" s="72" t="s">
        <v>990</v>
      </c>
      <c r="BA684" s="50" t="s">
        <v>139</v>
      </c>
      <c r="BB684" s="73">
        <v>100018</v>
      </c>
      <c r="BC684" s="38">
        <f>AW684+AX684</f>
        <v>0</v>
      </c>
      <c r="BD684" s="38">
        <f>H684/(100-BE684)*100</f>
        <v>0</v>
      </c>
      <c r="BE684" s="38">
        <v>0</v>
      </c>
      <c r="BF684" s="38">
        <f>K684</f>
        <v>0</v>
      </c>
      <c r="BH684" s="38">
        <f>G684*AO684</f>
        <v>0</v>
      </c>
      <c r="BI684" s="38">
        <f>G684*AP684</f>
        <v>0</v>
      </c>
      <c r="BJ684" s="38">
        <f>G684*H684</f>
        <v>0</v>
      </c>
      <c r="BK684" s="38"/>
      <c r="BL684" s="38">
        <v>767</v>
      </c>
      <c r="BW684" s="38">
        <v>21</v>
      </c>
    </row>
    <row r="685" spans="1:12" ht="13.5" customHeight="1">
      <c r="A685" s="74"/>
      <c r="D685" s="194" t="s">
        <v>1058</v>
      </c>
      <c r="E685" s="195"/>
      <c r="F685" s="195"/>
      <c r="G685" s="195"/>
      <c r="H685" s="196"/>
      <c r="I685" s="195"/>
      <c r="J685" s="195"/>
      <c r="K685" s="195"/>
      <c r="L685" s="197"/>
    </row>
    <row r="686" spans="1:12" ht="15">
      <c r="A686" s="74"/>
      <c r="D686" s="75" t="s">
        <v>132</v>
      </c>
      <c r="E686" s="75" t="s">
        <v>4</v>
      </c>
      <c r="G686" s="76">
        <v>1</v>
      </c>
      <c r="L686" s="77"/>
    </row>
    <row r="687" spans="1:75" ht="13.5" customHeight="1">
      <c r="A687" s="1" t="s">
        <v>1268</v>
      </c>
      <c r="B687" s="2" t="s">
        <v>84</v>
      </c>
      <c r="C687" s="2" t="s">
        <v>1269</v>
      </c>
      <c r="D687" s="108" t="s">
        <v>1270</v>
      </c>
      <c r="E687" s="103"/>
      <c r="F687" s="2" t="s">
        <v>189</v>
      </c>
      <c r="G687" s="38">
        <v>0.64</v>
      </c>
      <c r="H687" s="70">
        <v>0</v>
      </c>
      <c r="I687" s="38">
        <f>G687*H687</f>
        <v>0</v>
      </c>
      <c r="J687" s="38">
        <v>0</v>
      </c>
      <c r="K687" s="38">
        <f>G687*J687</f>
        <v>0</v>
      </c>
      <c r="L687" s="71" t="s">
        <v>136</v>
      </c>
      <c r="Z687" s="38">
        <f>IF(AQ687="5",BJ687,0)</f>
        <v>0</v>
      </c>
      <c r="AB687" s="38">
        <f>IF(AQ687="1",BH687,0)</f>
        <v>0</v>
      </c>
      <c r="AC687" s="38">
        <f>IF(AQ687="1",BI687,0)</f>
        <v>0</v>
      </c>
      <c r="AD687" s="38">
        <f>IF(AQ687="7",BH687,0)</f>
        <v>0</v>
      </c>
      <c r="AE687" s="38">
        <f>IF(AQ687="7",BI687,0)</f>
        <v>0</v>
      </c>
      <c r="AF687" s="38">
        <f>IF(AQ687="2",BH687,0)</f>
        <v>0</v>
      </c>
      <c r="AG687" s="38">
        <f>IF(AQ687="2",BI687,0)</f>
        <v>0</v>
      </c>
      <c r="AH687" s="38">
        <f>IF(AQ687="0",BJ687,0)</f>
        <v>0</v>
      </c>
      <c r="AI687" s="50" t="s">
        <v>84</v>
      </c>
      <c r="AJ687" s="38">
        <f>IF(AN687=0,I687,0)</f>
        <v>0</v>
      </c>
      <c r="AK687" s="38">
        <f>IF(AN687=12,I687,0)</f>
        <v>0</v>
      </c>
      <c r="AL687" s="38">
        <f>IF(AN687=21,I687,0)</f>
        <v>0</v>
      </c>
      <c r="AN687" s="38">
        <v>21</v>
      </c>
      <c r="AO687" s="38">
        <f>H687*0</f>
        <v>0</v>
      </c>
      <c r="AP687" s="38">
        <f>H687*(1-0)</f>
        <v>0</v>
      </c>
      <c r="AQ687" s="72" t="s">
        <v>162</v>
      </c>
      <c r="AV687" s="38">
        <f>AW687+AX687</f>
        <v>0</v>
      </c>
      <c r="AW687" s="38">
        <f>G687*AO687</f>
        <v>0</v>
      </c>
      <c r="AX687" s="38">
        <f>G687*AP687</f>
        <v>0</v>
      </c>
      <c r="AY687" s="72" t="s">
        <v>1200</v>
      </c>
      <c r="AZ687" s="72" t="s">
        <v>990</v>
      </c>
      <c r="BA687" s="50" t="s">
        <v>139</v>
      </c>
      <c r="BC687" s="38">
        <f>AW687+AX687</f>
        <v>0</v>
      </c>
      <c r="BD687" s="38">
        <f>H687/(100-BE687)*100</f>
        <v>0</v>
      </c>
      <c r="BE687" s="38">
        <v>0</v>
      </c>
      <c r="BF687" s="38">
        <f>K687</f>
        <v>0</v>
      </c>
      <c r="BH687" s="38">
        <f>G687*AO687</f>
        <v>0</v>
      </c>
      <c r="BI687" s="38">
        <f>G687*AP687</f>
        <v>0</v>
      </c>
      <c r="BJ687" s="38">
        <f>G687*H687</f>
        <v>0</v>
      </c>
      <c r="BK687" s="38"/>
      <c r="BL687" s="38">
        <v>767</v>
      </c>
      <c r="BW687" s="38">
        <v>21</v>
      </c>
    </row>
    <row r="688" spans="1:12" ht="15">
      <c r="A688" s="74"/>
      <c r="D688" s="75" t="s">
        <v>1271</v>
      </c>
      <c r="E688" s="75" t="s">
        <v>4</v>
      </c>
      <c r="G688" s="76">
        <v>0.64</v>
      </c>
      <c r="L688" s="77"/>
    </row>
    <row r="689" spans="1:47" ht="15">
      <c r="A689" s="65" t="s">
        <v>4</v>
      </c>
      <c r="B689" s="66" t="s">
        <v>84</v>
      </c>
      <c r="C689" s="66" t="s">
        <v>1272</v>
      </c>
      <c r="D689" s="192" t="s">
        <v>1273</v>
      </c>
      <c r="E689" s="193"/>
      <c r="F689" s="67" t="s">
        <v>78</v>
      </c>
      <c r="G689" s="67" t="s">
        <v>78</v>
      </c>
      <c r="H689" s="68" t="s">
        <v>78</v>
      </c>
      <c r="I689" s="44">
        <f>SUM(I690:I753)</f>
        <v>0</v>
      </c>
      <c r="J689" s="50" t="s">
        <v>4</v>
      </c>
      <c r="K689" s="44">
        <f>SUM(K690:K753)</f>
        <v>10.576795799999998</v>
      </c>
      <c r="L689" s="69" t="s">
        <v>4</v>
      </c>
      <c r="AI689" s="50" t="s">
        <v>84</v>
      </c>
      <c r="AS689" s="44">
        <f>SUM(AJ690:AJ753)</f>
        <v>0</v>
      </c>
      <c r="AT689" s="44">
        <f>SUM(AK690:AK753)</f>
        <v>0</v>
      </c>
      <c r="AU689" s="44">
        <f>SUM(AL690:AL753)</f>
        <v>0</v>
      </c>
    </row>
    <row r="690" spans="1:75" ht="13.5" customHeight="1">
      <c r="A690" s="1" t="s">
        <v>1274</v>
      </c>
      <c r="B690" s="2" t="s">
        <v>84</v>
      </c>
      <c r="C690" s="2" t="s">
        <v>1275</v>
      </c>
      <c r="D690" s="108" t="s">
        <v>1276</v>
      </c>
      <c r="E690" s="103"/>
      <c r="F690" s="2" t="s">
        <v>263</v>
      </c>
      <c r="G690" s="38">
        <v>29.73</v>
      </c>
      <c r="H690" s="70">
        <v>0</v>
      </c>
      <c r="I690" s="38">
        <f>G690*H690</f>
        <v>0</v>
      </c>
      <c r="J690" s="38">
        <v>0.06378</v>
      </c>
      <c r="K690" s="38">
        <f>G690*J690</f>
        <v>1.8961794</v>
      </c>
      <c r="L690" s="71" t="s">
        <v>207</v>
      </c>
      <c r="Z690" s="38">
        <f>IF(AQ690="5",BJ690,0)</f>
        <v>0</v>
      </c>
      <c r="AB690" s="38">
        <f>IF(AQ690="1",BH690,0)</f>
        <v>0</v>
      </c>
      <c r="AC690" s="38">
        <f>IF(AQ690="1",BI690,0)</f>
        <v>0</v>
      </c>
      <c r="AD690" s="38">
        <f>IF(AQ690="7",BH690,0)</f>
        <v>0</v>
      </c>
      <c r="AE690" s="38">
        <f>IF(AQ690="7",BI690,0)</f>
        <v>0</v>
      </c>
      <c r="AF690" s="38">
        <f>IF(AQ690="2",BH690,0)</f>
        <v>0</v>
      </c>
      <c r="AG690" s="38">
        <f>IF(AQ690="2",BI690,0)</f>
        <v>0</v>
      </c>
      <c r="AH690" s="38">
        <f>IF(AQ690="0",BJ690,0)</f>
        <v>0</v>
      </c>
      <c r="AI690" s="50" t="s">
        <v>84</v>
      </c>
      <c r="AJ690" s="38">
        <f>IF(AN690=0,I690,0)</f>
        <v>0</v>
      </c>
      <c r="AK690" s="38">
        <f>IF(AN690=12,I690,0)</f>
        <v>0</v>
      </c>
      <c r="AL690" s="38">
        <f>IF(AN690=21,I690,0)</f>
        <v>0</v>
      </c>
      <c r="AN690" s="38">
        <v>21</v>
      </c>
      <c r="AO690" s="38">
        <f>H690*0.126575901</f>
        <v>0</v>
      </c>
      <c r="AP690" s="38">
        <f>H690*(1-0.126575901)</f>
        <v>0</v>
      </c>
      <c r="AQ690" s="72" t="s">
        <v>169</v>
      </c>
      <c r="AV690" s="38">
        <f>AW690+AX690</f>
        <v>0</v>
      </c>
      <c r="AW690" s="38">
        <f>G690*AO690</f>
        <v>0</v>
      </c>
      <c r="AX690" s="38">
        <f>G690*AP690</f>
        <v>0</v>
      </c>
      <c r="AY690" s="72" t="s">
        <v>1277</v>
      </c>
      <c r="AZ690" s="72" t="s">
        <v>1278</v>
      </c>
      <c r="BA690" s="50" t="s">
        <v>139</v>
      </c>
      <c r="BB690" s="73">
        <v>100029</v>
      </c>
      <c r="BC690" s="38">
        <f>AW690+AX690</f>
        <v>0</v>
      </c>
      <c r="BD690" s="38">
        <f>H690/(100-BE690)*100</f>
        <v>0</v>
      </c>
      <c r="BE690" s="38">
        <v>0</v>
      </c>
      <c r="BF690" s="38">
        <f>K690</f>
        <v>1.8961794</v>
      </c>
      <c r="BH690" s="38">
        <f>G690*AO690</f>
        <v>0</v>
      </c>
      <c r="BI690" s="38">
        <f>G690*AP690</f>
        <v>0</v>
      </c>
      <c r="BJ690" s="38">
        <f>G690*H690</f>
        <v>0</v>
      </c>
      <c r="BK690" s="38"/>
      <c r="BL690" s="38">
        <v>771</v>
      </c>
      <c r="BW690" s="38">
        <v>21</v>
      </c>
    </row>
    <row r="691" spans="1:12" ht="13.5" customHeight="1">
      <c r="A691" s="74"/>
      <c r="D691" s="194" t="s">
        <v>1279</v>
      </c>
      <c r="E691" s="195"/>
      <c r="F691" s="195"/>
      <c r="G691" s="195"/>
      <c r="H691" s="196"/>
      <c r="I691" s="195"/>
      <c r="J691" s="195"/>
      <c r="K691" s="195"/>
      <c r="L691" s="197"/>
    </row>
    <row r="692" spans="1:12" ht="15">
      <c r="A692" s="74"/>
      <c r="D692" s="75" t="s">
        <v>1280</v>
      </c>
      <c r="E692" s="75" t="s">
        <v>609</v>
      </c>
      <c r="G692" s="76">
        <v>6.5</v>
      </c>
      <c r="L692" s="77"/>
    </row>
    <row r="693" spans="1:12" ht="15">
      <c r="A693" s="74"/>
      <c r="D693" s="75" t="s">
        <v>1281</v>
      </c>
      <c r="E693" s="75" t="s">
        <v>580</v>
      </c>
      <c r="G693" s="76">
        <v>18.23</v>
      </c>
      <c r="L693" s="77"/>
    </row>
    <row r="694" spans="1:12" ht="15">
      <c r="A694" s="74"/>
      <c r="D694" s="75" t="s">
        <v>1051</v>
      </c>
      <c r="E694" s="75" t="s">
        <v>1282</v>
      </c>
      <c r="G694" s="76">
        <v>2.5</v>
      </c>
      <c r="L694" s="77"/>
    </row>
    <row r="695" spans="1:12" ht="15">
      <c r="A695" s="74"/>
      <c r="D695" s="75" t="s">
        <v>1051</v>
      </c>
      <c r="E695" s="75" t="s">
        <v>1283</v>
      </c>
      <c r="G695" s="76">
        <v>2.5</v>
      </c>
      <c r="L695" s="77"/>
    </row>
    <row r="696" spans="1:75" ht="27" customHeight="1">
      <c r="A696" s="78" t="s">
        <v>1284</v>
      </c>
      <c r="B696" s="79" t="s">
        <v>84</v>
      </c>
      <c r="C696" s="79" t="s">
        <v>1285</v>
      </c>
      <c r="D696" s="198" t="s">
        <v>1286</v>
      </c>
      <c r="E696" s="199"/>
      <c r="F696" s="79" t="s">
        <v>263</v>
      </c>
      <c r="G696" s="80">
        <v>29.31</v>
      </c>
      <c r="H696" s="81">
        <v>0</v>
      </c>
      <c r="I696" s="80">
        <f>G696*H696</f>
        <v>0</v>
      </c>
      <c r="J696" s="80">
        <v>0.03</v>
      </c>
      <c r="K696" s="80">
        <f>G696*J696</f>
        <v>0.8793</v>
      </c>
      <c r="L696" s="82" t="s">
        <v>207</v>
      </c>
      <c r="Z696" s="38">
        <f>IF(AQ696="5",BJ696,0)</f>
        <v>0</v>
      </c>
      <c r="AB696" s="38">
        <f>IF(AQ696="1",BH696,0)</f>
        <v>0</v>
      </c>
      <c r="AC696" s="38">
        <f>IF(AQ696="1",BI696,0)</f>
        <v>0</v>
      </c>
      <c r="AD696" s="38">
        <f>IF(AQ696="7",BH696,0)</f>
        <v>0</v>
      </c>
      <c r="AE696" s="38">
        <f>IF(AQ696="7",BI696,0)</f>
        <v>0</v>
      </c>
      <c r="AF696" s="38">
        <f>IF(AQ696="2",BH696,0)</f>
        <v>0</v>
      </c>
      <c r="AG696" s="38">
        <f>IF(AQ696="2",BI696,0)</f>
        <v>0</v>
      </c>
      <c r="AH696" s="38">
        <f>IF(AQ696="0",BJ696,0)</f>
        <v>0</v>
      </c>
      <c r="AI696" s="50" t="s">
        <v>84</v>
      </c>
      <c r="AJ696" s="80">
        <f>IF(AN696=0,I696,0)</f>
        <v>0</v>
      </c>
      <c r="AK696" s="80">
        <f>IF(AN696=12,I696,0)</f>
        <v>0</v>
      </c>
      <c r="AL696" s="80">
        <f>IF(AN696=21,I696,0)</f>
        <v>0</v>
      </c>
      <c r="AN696" s="38">
        <v>21</v>
      </c>
      <c r="AO696" s="38">
        <f>H696*1</f>
        <v>0</v>
      </c>
      <c r="AP696" s="38">
        <f>H696*(1-1)</f>
        <v>0</v>
      </c>
      <c r="AQ696" s="83" t="s">
        <v>169</v>
      </c>
      <c r="AV696" s="38">
        <f>AW696+AX696</f>
        <v>0</v>
      </c>
      <c r="AW696" s="38">
        <f>G696*AO696</f>
        <v>0</v>
      </c>
      <c r="AX696" s="38">
        <f>G696*AP696</f>
        <v>0</v>
      </c>
      <c r="AY696" s="72" t="s">
        <v>1277</v>
      </c>
      <c r="AZ696" s="72" t="s">
        <v>1278</v>
      </c>
      <c r="BA696" s="50" t="s">
        <v>139</v>
      </c>
      <c r="BC696" s="38">
        <f>AW696+AX696</f>
        <v>0</v>
      </c>
      <c r="BD696" s="38">
        <f>H696/(100-BE696)*100</f>
        <v>0</v>
      </c>
      <c r="BE696" s="38">
        <v>0</v>
      </c>
      <c r="BF696" s="38">
        <f>K696</f>
        <v>0.8793</v>
      </c>
      <c r="BH696" s="80">
        <f>G696*AO696</f>
        <v>0</v>
      </c>
      <c r="BI696" s="80">
        <f>G696*AP696</f>
        <v>0</v>
      </c>
      <c r="BJ696" s="80">
        <f>G696*H696</f>
        <v>0</v>
      </c>
      <c r="BK696" s="80"/>
      <c r="BL696" s="38">
        <v>771</v>
      </c>
      <c r="BW696" s="38">
        <v>21</v>
      </c>
    </row>
    <row r="697" spans="1:12" ht="15">
      <c r="A697" s="74"/>
      <c r="D697" s="75" t="s">
        <v>564</v>
      </c>
      <c r="E697" s="75" t="s">
        <v>1287</v>
      </c>
      <c r="G697" s="76">
        <v>5</v>
      </c>
      <c r="L697" s="77"/>
    </row>
    <row r="698" spans="1:12" ht="15">
      <c r="A698" s="74"/>
      <c r="D698" s="75" t="s">
        <v>1280</v>
      </c>
      <c r="E698" s="75" t="s">
        <v>609</v>
      </c>
      <c r="G698" s="76">
        <v>6.5</v>
      </c>
      <c r="L698" s="77"/>
    </row>
    <row r="699" spans="1:12" ht="15">
      <c r="A699" s="74"/>
      <c r="D699" s="75" t="s">
        <v>1288</v>
      </c>
      <c r="E699" s="75" t="s">
        <v>580</v>
      </c>
      <c r="G699" s="76">
        <v>16.41</v>
      </c>
      <c r="L699" s="77"/>
    </row>
    <row r="700" spans="1:12" ht="15">
      <c r="A700" s="74"/>
      <c r="D700" s="75" t="s">
        <v>1289</v>
      </c>
      <c r="E700" s="75" t="s">
        <v>4</v>
      </c>
      <c r="G700" s="76">
        <v>1.4</v>
      </c>
      <c r="L700" s="77"/>
    </row>
    <row r="701" spans="1:75" ht="13.5" customHeight="1">
      <c r="A701" s="1" t="s">
        <v>1290</v>
      </c>
      <c r="B701" s="2" t="s">
        <v>84</v>
      </c>
      <c r="C701" s="2" t="s">
        <v>1291</v>
      </c>
      <c r="D701" s="108" t="s">
        <v>1292</v>
      </c>
      <c r="E701" s="103"/>
      <c r="F701" s="2" t="s">
        <v>214</v>
      </c>
      <c r="G701" s="38">
        <v>34.3</v>
      </c>
      <c r="H701" s="70">
        <v>0</v>
      </c>
      <c r="I701" s="38">
        <f>G701*H701</f>
        <v>0</v>
      </c>
      <c r="J701" s="38">
        <v>0.00032</v>
      </c>
      <c r="K701" s="38">
        <f>G701*J701</f>
        <v>0.010976</v>
      </c>
      <c r="L701" s="71" t="s">
        <v>207</v>
      </c>
      <c r="Z701" s="38">
        <f>IF(AQ701="5",BJ701,0)</f>
        <v>0</v>
      </c>
      <c r="AB701" s="38">
        <f>IF(AQ701="1",BH701,0)</f>
        <v>0</v>
      </c>
      <c r="AC701" s="38">
        <f>IF(AQ701="1",BI701,0)</f>
        <v>0</v>
      </c>
      <c r="AD701" s="38">
        <f>IF(AQ701="7",BH701,0)</f>
        <v>0</v>
      </c>
      <c r="AE701" s="38">
        <f>IF(AQ701="7",BI701,0)</f>
        <v>0</v>
      </c>
      <c r="AF701" s="38">
        <f>IF(AQ701="2",BH701,0)</f>
        <v>0</v>
      </c>
      <c r="AG701" s="38">
        <f>IF(AQ701="2",BI701,0)</f>
        <v>0</v>
      </c>
      <c r="AH701" s="38">
        <f>IF(AQ701="0",BJ701,0)</f>
        <v>0</v>
      </c>
      <c r="AI701" s="50" t="s">
        <v>84</v>
      </c>
      <c r="AJ701" s="38">
        <f>IF(AN701=0,I701,0)</f>
        <v>0</v>
      </c>
      <c r="AK701" s="38">
        <f>IF(AN701=12,I701,0)</f>
        <v>0</v>
      </c>
      <c r="AL701" s="38">
        <f>IF(AN701=21,I701,0)</f>
        <v>0</v>
      </c>
      <c r="AN701" s="38">
        <v>21</v>
      </c>
      <c r="AO701" s="38">
        <f>H701*0.079321569</f>
        <v>0</v>
      </c>
      <c r="AP701" s="38">
        <f>H701*(1-0.079321569)</f>
        <v>0</v>
      </c>
      <c r="AQ701" s="72" t="s">
        <v>169</v>
      </c>
      <c r="AV701" s="38">
        <f>AW701+AX701</f>
        <v>0</v>
      </c>
      <c r="AW701" s="38">
        <f>G701*AO701</f>
        <v>0</v>
      </c>
      <c r="AX701" s="38">
        <f>G701*AP701</f>
        <v>0</v>
      </c>
      <c r="AY701" s="72" t="s">
        <v>1277</v>
      </c>
      <c r="AZ701" s="72" t="s">
        <v>1278</v>
      </c>
      <c r="BA701" s="50" t="s">
        <v>139</v>
      </c>
      <c r="BB701" s="73">
        <v>100029</v>
      </c>
      <c r="BC701" s="38">
        <f>AW701+AX701</f>
        <v>0</v>
      </c>
      <c r="BD701" s="38">
        <f>H701/(100-BE701)*100</f>
        <v>0</v>
      </c>
      <c r="BE701" s="38">
        <v>0</v>
      </c>
      <c r="BF701" s="38">
        <f>K701</f>
        <v>0.010976</v>
      </c>
      <c r="BH701" s="38">
        <f>G701*AO701</f>
        <v>0</v>
      </c>
      <c r="BI701" s="38">
        <f>G701*AP701</f>
        <v>0</v>
      </c>
      <c r="BJ701" s="38">
        <f>G701*H701</f>
        <v>0</v>
      </c>
      <c r="BK701" s="38"/>
      <c r="BL701" s="38">
        <v>771</v>
      </c>
      <c r="BW701" s="38">
        <v>21</v>
      </c>
    </row>
    <row r="702" spans="1:12" ht="13.5" customHeight="1">
      <c r="A702" s="74"/>
      <c r="D702" s="194" t="s">
        <v>1293</v>
      </c>
      <c r="E702" s="195"/>
      <c r="F702" s="195"/>
      <c r="G702" s="195"/>
      <c r="H702" s="196"/>
      <c r="I702" s="195"/>
      <c r="J702" s="195"/>
      <c r="K702" s="195"/>
      <c r="L702" s="197"/>
    </row>
    <row r="703" spans="1:12" ht="15">
      <c r="A703" s="74"/>
      <c r="D703" s="75" t="s">
        <v>1294</v>
      </c>
      <c r="E703" s="75" t="s">
        <v>1295</v>
      </c>
      <c r="G703" s="76">
        <v>34.3</v>
      </c>
      <c r="L703" s="77"/>
    </row>
    <row r="704" spans="1:75" ht="13.5" customHeight="1">
      <c r="A704" s="1" t="s">
        <v>1296</v>
      </c>
      <c r="B704" s="2" t="s">
        <v>84</v>
      </c>
      <c r="C704" s="2" t="s">
        <v>1297</v>
      </c>
      <c r="D704" s="108" t="s">
        <v>1298</v>
      </c>
      <c r="E704" s="103"/>
      <c r="F704" s="2" t="s">
        <v>263</v>
      </c>
      <c r="G704" s="38">
        <v>12.65</v>
      </c>
      <c r="H704" s="70">
        <v>0</v>
      </c>
      <c r="I704" s="38">
        <f>G704*H704</f>
        <v>0</v>
      </c>
      <c r="J704" s="38">
        <v>0.06378</v>
      </c>
      <c r="K704" s="38">
        <f>G704*J704</f>
        <v>0.8068170000000001</v>
      </c>
      <c r="L704" s="71" t="s">
        <v>207</v>
      </c>
      <c r="Z704" s="38">
        <f>IF(AQ704="5",BJ704,0)</f>
        <v>0</v>
      </c>
      <c r="AB704" s="38">
        <f>IF(AQ704="1",BH704,0)</f>
        <v>0</v>
      </c>
      <c r="AC704" s="38">
        <f>IF(AQ704="1",BI704,0)</f>
        <v>0</v>
      </c>
      <c r="AD704" s="38">
        <f>IF(AQ704="7",BH704,0)</f>
        <v>0</v>
      </c>
      <c r="AE704" s="38">
        <f>IF(AQ704="7",BI704,0)</f>
        <v>0</v>
      </c>
      <c r="AF704" s="38">
        <f>IF(AQ704="2",BH704,0)</f>
        <v>0</v>
      </c>
      <c r="AG704" s="38">
        <f>IF(AQ704="2",BI704,0)</f>
        <v>0</v>
      </c>
      <c r="AH704" s="38">
        <f>IF(AQ704="0",BJ704,0)</f>
        <v>0</v>
      </c>
      <c r="AI704" s="50" t="s">
        <v>84</v>
      </c>
      <c r="AJ704" s="38">
        <f>IF(AN704=0,I704,0)</f>
        <v>0</v>
      </c>
      <c r="AK704" s="38">
        <f>IF(AN704=12,I704,0)</f>
        <v>0</v>
      </c>
      <c r="AL704" s="38">
        <f>IF(AN704=21,I704,0)</f>
        <v>0</v>
      </c>
      <c r="AN704" s="38">
        <v>21</v>
      </c>
      <c r="AO704" s="38">
        <f>H704*0.137629299</f>
        <v>0</v>
      </c>
      <c r="AP704" s="38">
        <f>H704*(1-0.137629299)</f>
        <v>0</v>
      </c>
      <c r="AQ704" s="72" t="s">
        <v>169</v>
      </c>
      <c r="AV704" s="38">
        <f>AW704+AX704</f>
        <v>0</v>
      </c>
      <c r="AW704" s="38">
        <f>G704*AO704</f>
        <v>0</v>
      </c>
      <c r="AX704" s="38">
        <f>G704*AP704</f>
        <v>0</v>
      </c>
      <c r="AY704" s="72" t="s">
        <v>1277</v>
      </c>
      <c r="AZ704" s="72" t="s">
        <v>1278</v>
      </c>
      <c r="BA704" s="50" t="s">
        <v>139</v>
      </c>
      <c r="BB704" s="73">
        <v>100029</v>
      </c>
      <c r="BC704" s="38">
        <f>AW704+AX704</f>
        <v>0</v>
      </c>
      <c r="BD704" s="38">
        <f>H704/(100-BE704)*100</f>
        <v>0</v>
      </c>
      <c r="BE704" s="38">
        <v>0</v>
      </c>
      <c r="BF704" s="38">
        <f>K704</f>
        <v>0.8068170000000001</v>
      </c>
      <c r="BH704" s="38">
        <f>G704*AO704</f>
        <v>0</v>
      </c>
      <c r="BI704" s="38">
        <f>G704*AP704</f>
        <v>0</v>
      </c>
      <c r="BJ704" s="38">
        <f>G704*H704</f>
        <v>0</v>
      </c>
      <c r="BK704" s="38"/>
      <c r="BL704" s="38">
        <v>771</v>
      </c>
      <c r="BW704" s="38">
        <v>21</v>
      </c>
    </row>
    <row r="705" spans="1:12" ht="15">
      <c r="A705" s="74"/>
      <c r="D705" s="75" t="s">
        <v>1299</v>
      </c>
      <c r="E705" s="75" t="s">
        <v>1300</v>
      </c>
      <c r="G705" s="76">
        <v>12.65</v>
      </c>
      <c r="L705" s="77"/>
    </row>
    <row r="706" spans="1:75" ht="13.5" customHeight="1">
      <c r="A706" s="78" t="s">
        <v>1301</v>
      </c>
      <c r="B706" s="79" t="s">
        <v>84</v>
      </c>
      <c r="C706" s="79" t="s">
        <v>1302</v>
      </c>
      <c r="D706" s="198" t="s">
        <v>1303</v>
      </c>
      <c r="E706" s="199"/>
      <c r="F706" s="79" t="s">
        <v>263</v>
      </c>
      <c r="G706" s="80">
        <v>17.65</v>
      </c>
      <c r="H706" s="81">
        <v>0</v>
      </c>
      <c r="I706" s="80">
        <f>G706*H706</f>
        <v>0</v>
      </c>
      <c r="J706" s="80">
        <v>0.059</v>
      </c>
      <c r="K706" s="80">
        <f>G706*J706</f>
        <v>1.0413499999999998</v>
      </c>
      <c r="L706" s="82" t="s">
        <v>136</v>
      </c>
      <c r="Z706" s="38">
        <f>IF(AQ706="5",BJ706,0)</f>
        <v>0</v>
      </c>
      <c r="AB706" s="38">
        <f>IF(AQ706="1",BH706,0)</f>
        <v>0</v>
      </c>
      <c r="AC706" s="38">
        <f>IF(AQ706="1",BI706,0)</f>
        <v>0</v>
      </c>
      <c r="AD706" s="38">
        <f>IF(AQ706="7",BH706,0)</f>
        <v>0</v>
      </c>
      <c r="AE706" s="38">
        <f>IF(AQ706="7",BI706,0)</f>
        <v>0</v>
      </c>
      <c r="AF706" s="38">
        <f>IF(AQ706="2",BH706,0)</f>
        <v>0</v>
      </c>
      <c r="AG706" s="38">
        <f>IF(AQ706="2",BI706,0)</f>
        <v>0</v>
      </c>
      <c r="AH706" s="38">
        <f>IF(AQ706="0",BJ706,0)</f>
        <v>0</v>
      </c>
      <c r="AI706" s="50" t="s">
        <v>84</v>
      </c>
      <c r="AJ706" s="80">
        <f>IF(AN706=0,I706,0)</f>
        <v>0</v>
      </c>
      <c r="AK706" s="80">
        <f>IF(AN706=12,I706,0)</f>
        <v>0</v>
      </c>
      <c r="AL706" s="80">
        <f>IF(AN706=21,I706,0)</f>
        <v>0</v>
      </c>
      <c r="AN706" s="38">
        <v>21</v>
      </c>
      <c r="AO706" s="38">
        <f>H706*1</f>
        <v>0</v>
      </c>
      <c r="AP706" s="38">
        <f>H706*(1-1)</f>
        <v>0</v>
      </c>
      <c r="AQ706" s="83" t="s">
        <v>169</v>
      </c>
      <c r="AV706" s="38">
        <f>AW706+AX706</f>
        <v>0</v>
      </c>
      <c r="AW706" s="38">
        <f>G706*AO706</f>
        <v>0</v>
      </c>
      <c r="AX706" s="38">
        <f>G706*AP706</f>
        <v>0</v>
      </c>
      <c r="AY706" s="72" t="s">
        <v>1277</v>
      </c>
      <c r="AZ706" s="72" t="s">
        <v>1278</v>
      </c>
      <c r="BA706" s="50" t="s">
        <v>139</v>
      </c>
      <c r="BC706" s="38">
        <f>AW706+AX706</f>
        <v>0</v>
      </c>
      <c r="BD706" s="38">
        <f>H706/(100-BE706)*100</f>
        <v>0</v>
      </c>
      <c r="BE706" s="38">
        <v>0</v>
      </c>
      <c r="BF706" s="38">
        <f>K706</f>
        <v>1.0413499999999998</v>
      </c>
      <c r="BH706" s="80">
        <f>G706*AO706</f>
        <v>0</v>
      </c>
      <c r="BI706" s="80">
        <f>G706*AP706</f>
        <v>0</v>
      </c>
      <c r="BJ706" s="80">
        <f>G706*H706</f>
        <v>0</v>
      </c>
      <c r="BK706" s="80"/>
      <c r="BL706" s="38">
        <v>771</v>
      </c>
      <c r="BW706" s="38">
        <v>21</v>
      </c>
    </row>
    <row r="707" spans="1:12" ht="15">
      <c r="A707" s="74"/>
      <c r="D707" s="75" t="s">
        <v>1299</v>
      </c>
      <c r="E707" s="75" t="s">
        <v>1304</v>
      </c>
      <c r="G707" s="76">
        <v>12.65</v>
      </c>
      <c r="L707" s="77"/>
    </row>
    <row r="708" spans="1:12" ht="15">
      <c r="A708" s="74"/>
      <c r="D708" s="75" t="s">
        <v>1305</v>
      </c>
      <c r="E708" s="75" t="s">
        <v>1306</v>
      </c>
      <c r="G708" s="76">
        <v>3.4</v>
      </c>
      <c r="L708" s="77"/>
    </row>
    <row r="709" spans="1:12" ht="15">
      <c r="A709" s="74"/>
      <c r="D709" s="75" t="s">
        <v>1307</v>
      </c>
      <c r="E709" s="75" t="s">
        <v>4</v>
      </c>
      <c r="G709" s="76">
        <v>1.6</v>
      </c>
      <c r="L709" s="77"/>
    </row>
    <row r="710" spans="1:75" ht="13.5" customHeight="1">
      <c r="A710" s="1" t="s">
        <v>1308</v>
      </c>
      <c r="B710" s="2" t="s">
        <v>84</v>
      </c>
      <c r="C710" s="2" t="s">
        <v>1309</v>
      </c>
      <c r="D710" s="108" t="s">
        <v>1310</v>
      </c>
      <c r="E710" s="103"/>
      <c r="F710" s="2" t="s">
        <v>263</v>
      </c>
      <c r="G710" s="38">
        <v>218.48</v>
      </c>
      <c r="H710" s="70">
        <v>0</v>
      </c>
      <c r="I710" s="38">
        <f>G710*H710</f>
        <v>0</v>
      </c>
      <c r="J710" s="38">
        <v>0</v>
      </c>
      <c r="K710" s="38">
        <f>G710*J710</f>
        <v>0</v>
      </c>
      <c r="L710" s="71" t="s">
        <v>136</v>
      </c>
      <c r="Z710" s="38">
        <f>IF(AQ710="5",BJ710,0)</f>
        <v>0</v>
      </c>
      <c r="AB710" s="38">
        <f>IF(AQ710="1",BH710,0)</f>
        <v>0</v>
      </c>
      <c r="AC710" s="38">
        <f>IF(AQ710="1",BI710,0)</f>
        <v>0</v>
      </c>
      <c r="AD710" s="38">
        <f>IF(AQ710="7",BH710,0)</f>
        <v>0</v>
      </c>
      <c r="AE710" s="38">
        <f>IF(AQ710="7",BI710,0)</f>
        <v>0</v>
      </c>
      <c r="AF710" s="38">
        <f>IF(AQ710="2",BH710,0)</f>
        <v>0</v>
      </c>
      <c r="AG710" s="38">
        <f>IF(AQ710="2",BI710,0)</f>
        <v>0</v>
      </c>
      <c r="AH710" s="38">
        <f>IF(AQ710="0",BJ710,0)</f>
        <v>0</v>
      </c>
      <c r="AI710" s="50" t="s">
        <v>84</v>
      </c>
      <c r="AJ710" s="38">
        <f>IF(AN710=0,I710,0)</f>
        <v>0</v>
      </c>
      <c r="AK710" s="38">
        <f>IF(AN710=12,I710,0)</f>
        <v>0</v>
      </c>
      <c r="AL710" s="38">
        <f>IF(AN710=21,I710,0)</f>
        <v>0</v>
      </c>
      <c r="AN710" s="38">
        <v>21</v>
      </c>
      <c r="AO710" s="38">
        <f>H710*0</f>
        <v>0</v>
      </c>
      <c r="AP710" s="38">
        <f>H710*(1-0)</f>
        <v>0</v>
      </c>
      <c r="AQ710" s="72" t="s">
        <v>169</v>
      </c>
      <c r="AV710" s="38">
        <f>AW710+AX710</f>
        <v>0</v>
      </c>
      <c r="AW710" s="38">
        <f>G710*AO710</f>
        <v>0</v>
      </c>
      <c r="AX710" s="38">
        <f>G710*AP710</f>
        <v>0</v>
      </c>
      <c r="AY710" s="72" t="s">
        <v>1277</v>
      </c>
      <c r="AZ710" s="72" t="s">
        <v>1278</v>
      </c>
      <c r="BA710" s="50" t="s">
        <v>139</v>
      </c>
      <c r="BB710" s="73">
        <v>100029</v>
      </c>
      <c r="BC710" s="38">
        <f>AW710+AX710</f>
        <v>0</v>
      </c>
      <c r="BD710" s="38">
        <f>H710/(100-BE710)*100</f>
        <v>0</v>
      </c>
      <c r="BE710" s="38">
        <v>0</v>
      </c>
      <c r="BF710" s="38">
        <f>K710</f>
        <v>0</v>
      </c>
      <c r="BH710" s="38">
        <f>G710*AO710</f>
        <v>0</v>
      </c>
      <c r="BI710" s="38">
        <f>G710*AP710</f>
        <v>0</v>
      </c>
      <c r="BJ710" s="38">
        <f>G710*H710</f>
        <v>0</v>
      </c>
      <c r="BK710" s="38"/>
      <c r="BL710" s="38">
        <v>771</v>
      </c>
      <c r="BW710" s="38">
        <v>21</v>
      </c>
    </row>
    <row r="711" spans="1:12" ht="13.5" customHeight="1">
      <c r="A711" s="74"/>
      <c r="D711" s="194" t="s">
        <v>1311</v>
      </c>
      <c r="E711" s="195"/>
      <c r="F711" s="195"/>
      <c r="G711" s="195"/>
      <c r="H711" s="196"/>
      <c r="I711" s="195"/>
      <c r="J711" s="195"/>
      <c r="K711" s="195"/>
      <c r="L711" s="197"/>
    </row>
    <row r="712" spans="1:12" ht="15">
      <c r="A712" s="74"/>
      <c r="D712" s="75" t="s">
        <v>1312</v>
      </c>
      <c r="E712" s="75" t="s">
        <v>847</v>
      </c>
      <c r="G712" s="76">
        <v>183.6</v>
      </c>
      <c r="L712" s="77"/>
    </row>
    <row r="713" spans="1:12" ht="15">
      <c r="A713" s="74"/>
      <c r="D713" s="75" t="s">
        <v>1313</v>
      </c>
      <c r="E713" s="75" t="s">
        <v>1314</v>
      </c>
      <c r="G713" s="76">
        <v>3.48</v>
      </c>
      <c r="L713" s="77"/>
    </row>
    <row r="714" spans="1:12" ht="15">
      <c r="A714" s="74"/>
      <c r="D714" s="75" t="s">
        <v>1315</v>
      </c>
      <c r="E714" s="75" t="s">
        <v>1236</v>
      </c>
      <c r="G714" s="76">
        <v>19.3</v>
      </c>
      <c r="L714" s="77"/>
    </row>
    <row r="715" spans="1:12" ht="15">
      <c r="A715" s="74"/>
      <c r="D715" s="75" t="s">
        <v>1316</v>
      </c>
      <c r="E715" s="75" t="s">
        <v>1317</v>
      </c>
      <c r="G715" s="76">
        <v>4</v>
      </c>
      <c r="L715" s="77"/>
    </row>
    <row r="716" spans="1:12" ht="15">
      <c r="A716" s="74"/>
      <c r="D716" s="75" t="s">
        <v>1318</v>
      </c>
      <c r="E716" s="75" t="s">
        <v>1319</v>
      </c>
      <c r="G716" s="76">
        <v>8.1</v>
      </c>
      <c r="L716" s="77"/>
    </row>
    <row r="717" spans="1:75" ht="13.5" customHeight="1">
      <c r="A717" s="78" t="s">
        <v>1320</v>
      </c>
      <c r="B717" s="79" t="s">
        <v>84</v>
      </c>
      <c r="C717" s="79" t="s">
        <v>1321</v>
      </c>
      <c r="D717" s="198" t="s">
        <v>1322</v>
      </c>
      <c r="E717" s="199"/>
      <c r="F717" s="79" t="s">
        <v>263</v>
      </c>
      <c r="G717" s="80">
        <v>275.42</v>
      </c>
      <c r="H717" s="81">
        <v>0</v>
      </c>
      <c r="I717" s="80">
        <f>G717*H717</f>
        <v>0</v>
      </c>
      <c r="J717" s="80">
        <v>0.0182</v>
      </c>
      <c r="K717" s="80">
        <f>G717*J717</f>
        <v>5.012644000000001</v>
      </c>
      <c r="L717" s="82" t="s">
        <v>829</v>
      </c>
      <c r="Z717" s="38">
        <f>IF(AQ717="5",BJ717,0)</f>
        <v>0</v>
      </c>
      <c r="AB717" s="38">
        <f>IF(AQ717="1",BH717,0)</f>
        <v>0</v>
      </c>
      <c r="AC717" s="38">
        <f>IF(AQ717="1",BI717,0)</f>
        <v>0</v>
      </c>
      <c r="AD717" s="38">
        <f>IF(AQ717="7",BH717,0)</f>
        <v>0</v>
      </c>
      <c r="AE717" s="38">
        <f>IF(AQ717="7",BI717,0)</f>
        <v>0</v>
      </c>
      <c r="AF717" s="38">
        <f>IF(AQ717="2",BH717,0)</f>
        <v>0</v>
      </c>
      <c r="AG717" s="38">
        <f>IF(AQ717="2",BI717,0)</f>
        <v>0</v>
      </c>
      <c r="AH717" s="38">
        <f>IF(AQ717="0",BJ717,0)</f>
        <v>0</v>
      </c>
      <c r="AI717" s="50" t="s">
        <v>84</v>
      </c>
      <c r="AJ717" s="80">
        <f>IF(AN717=0,I717,0)</f>
        <v>0</v>
      </c>
      <c r="AK717" s="80">
        <f>IF(AN717=12,I717,0)</f>
        <v>0</v>
      </c>
      <c r="AL717" s="80">
        <f>IF(AN717=21,I717,0)</f>
        <v>0</v>
      </c>
      <c r="AN717" s="38">
        <v>21</v>
      </c>
      <c r="AO717" s="38">
        <f>H717*1</f>
        <v>0</v>
      </c>
      <c r="AP717" s="38">
        <f>H717*(1-1)</f>
        <v>0</v>
      </c>
      <c r="AQ717" s="83" t="s">
        <v>169</v>
      </c>
      <c r="AV717" s="38">
        <f>AW717+AX717</f>
        <v>0</v>
      </c>
      <c r="AW717" s="38">
        <f>G717*AO717</f>
        <v>0</v>
      </c>
      <c r="AX717" s="38">
        <f>G717*AP717</f>
        <v>0</v>
      </c>
      <c r="AY717" s="72" t="s">
        <v>1277</v>
      </c>
      <c r="AZ717" s="72" t="s">
        <v>1278</v>
      </c>
      <c r="BA717" s="50" t="s">
        <v>139</v>
      </c>
      <c r="BC717" s="38">
        <f>AW717+AX717</f>
        <v>0</v>
      </c>
      <c r="BD717" s="38">
        <f>H717/(100-BE717)*100</f>
        <v>0</v>
      </c>
      <c r="BE717" s="38">
        <v>0</v>
      </c>
      <c r="BF717" s="38">
        <f>K717</f>
        <v>5.012644000000001</v>
      </c>
      <c r="BH717" s="80">
        <f>G717*AO717</f>
        <v>0</v>
      </c>
      <c r="BI717" s="80">
        <f>G717*AP717</f>
        <v>0</v>
      </c>
      <c r="BJ717" s="80">
        <f>G717*H717</f>
        <v>0</v>
      </c>
      <c r="BK717" s="80"/>
      <c r="BL717" s="38">
        <v>771</v>
      </c>
      <c r="BW717" s="38">
        <v>21</v>
      </c>
    </row>
    <row r="718" spans="1:12" ht="15">
      <c r="A718" s="74"/>
      <c r="D718" s="75" t="s">
        <v>1323</v>
      </c>
      <c r="E718" s="75" t="s">
        <v>1324</v>
      </c>
      <c r="G718" s="76">
        <v>218.48</v>
      </c>
      <c r="L718" s="77"/>
    </row>
    <row r="719" spans="1:12" ht="15">
      <c r="A719" s="74"/>
      <c r="D719" s="75" t="s">
        <v>1325</v>
      </c>
      <c r="E719" s="75" t="s">
        <v>1326</v>
      </c>
      <c r="G719" s="76">
        <v>13.59</v>
      </c>
      <c r="L719" s="77"/>
    </row>
    <row r="720" spans="1:12" ht="15">
      <c r="A720" s="74"/>
      <c r="D720" s="75" t="s">
        <v>1327</v>
      </c>
      <c r="E720" s="75" t="s">
        <v>1328</v>
      </c>
      <c r="G720" s="76">
        <v>0.97</v>
      </c>
      <c r="L720" s="77"/>
    </row>
    <row r="721" spans="1:12" ht="15">
      <c r="A721" s="74"/>
      <c r="D721" s="75" t="s">
        <v>1329</v>
      </c>
      <c r="E721" s="75" t="s">
        <v>4</v>
      </c>
      <c r="G721" s="76">
        <v>35.92</v>
      </c>
      <c r="L721" s="77"/>
    </row>
    <row r="722" spans="1:12" ht="15">
      <c r="A722" s="74"/>
      <c r="D722" s="75" t="s">
        <v>1330</v>
      </c>
      <c r="E722" s="75" t="s">
        <v>1331</v>
      </c>
      <c r="G722" s="76">
        <v>6.46</v>
      </c>
      <c r="L722" s="77"/>
    </row>
    <row r="723" spans="1:75" ht="13.5" customHeight="1">
      <c r="A723" s="1" t="s">
        <v>1332</v>
      </c>
      <c r="B723" s="2" t="s">
        <v>84</v>
      </c>
      <c r="C723" s="2" t="s">
        <v>1333</v>
      </c>
      <c r="D723" s="108" t="s">
        <v>1334</v>
      </c>
      <c r="E723" s="103"/>
      <c r="F723" s="2" t="s">
        <v>214</v>
      </c>
      <c r="G723" s="38">
        <v>169.9</v>
      </c>
      <c r="H723" s="70">
        <v>0</v>
      </c>
      <c r="I723" s="38">
        <f>G723*H723</f>
        <v>0</v>
      </c>
      <c r="J723" s="38">
        <v>0.00032</v>
      </c>
      <c r="K723" s="38">
        <f>G723*J723</f>
        <v>0.05436800000000001</v>
      </c>
      <c r="L723" s="71" t="s">
        <v>136</v>
      </c>
      <c r="Z723" s="38">
        <f>IF(AQ723="5",BJ723,0)</f>
        <v>0</v>
      </c>
      <c r="AB723" s="38">
        <f>IF(AQ723="1",BH723,0)</f>
        <v>0</v>
      </c>
      <c r="AC723" s="38">
        <f>IF(AQ723="1",BI723,0)</f>
        <v>0</v>
      </c>
      <c r="AD723" s="38">
        <f>IF(AQ723="7",BH723,0)</f>
        <v>0</v>
      </c>
      <c r="AE723" s="38">
        <f>IF(AQ723="7",BI723,0)</f>
        <v>0</v>
      </c>
      <c r="AF723" s="38">
        <f>IF(AQ723="2",BH723,0)</f>
        <v>0</v>
      </c>
      <c r="AG723" s="38">
        <f>IF(AQ723="2",BI723,0)</f>
        <v>0</v>
      </c>
      <c r="AH723" s="38">
        <f>IF(AQ723="0",BJ723,0)</f>
        <v>0</v>
      </c>
      <c r="AI723" s="50" t="s">
        <v>84</v>
      </c>
      <c r="AJ723" s="38">
        <f>IF(AN723=0,I723,0)</f>
        <v>0</v>
      </c>
      <c r="AK723" s="38">
        <f>IF(AN723=12,I723,0)</f>
        <v>0</v>
      </c>
      <c r="AL723" s="38">
        <f>IF(AN723=21,I723,0)</f>
        <v>0</v>
      </c>
      <c r="AN723" s="38">
        <v>21</v>
      </c>
      <c r="AO723" s="38">
        <f>H723*0.104564171</f>
        <v>0</v>
      </c>
      <c r="AP723" s="38">
        <f>H723*(1-0.104564171)</f>
        <v>0</v>
      </c>
      <c r="AQ723" s="72" t="s">
        <v>169</v>
      </c>
      <c r="AV723" s="38">
        <f>AW723+AX723</f>
        <v>0</v>
      </c>
      <c r="AW723" s="38">
        <f>G723*AO723</f>
        <v>0</v>
      </c>
      <c r="AX723" s="38">
        <f>G723*AP723</f>
        <v>0</v>
      </c>
      <c r="AY723" s="72" t="s">
        <v>1277</v>
      </c>
      <c r="AZ723" s="72" t="s">
        <v>1278</v>
      </c>
      <c r="BA723" s="50" t="s">
        <v>139</v>
      </c>
      <c r="BB723" s="73">
        <v>100029</v>
      </c>
      <c r="BC723" s="38">
        <f>AW723+AX723</f>
        <v>0</v>
      </c>
      <c r="BD723" s="38">
        <f>H723/(100-BE723)*100</f>
        <v>0</v>
      </c>
      <c r="BE723" s="38">
        <v>0</v>
      </c>
      <c r="BF723" s="38">
        <f>K723</f>
        <v>0.05436800000000001</v>
      </c>
      <c r="BH723" s="38">
        <f>G723*AO723</f>
        <v>0</v>
      </c>
      <c r="BI723" s="38">
        <f>G723*AP723</f>
        <v>0</v>
      </c>
      <c r="BJ723" s="38">
        <f>G723*H723</f>
        <v>0</v>
      </c>
      <c r="BK723" s="38"/>
      <c r="BL723" s="38">
        <v>771</v>
      </c>
      <c r="BW723" s="38">
        <v>21</v>
      </c>
    </row>
    <row r="724" spans="1:12" ht="13.5" customHeight="1">
      <c r="A724" s="74"/>
      <c r="D724" s="194" t="s">
        <v>1311</v>
      </c>
      <c r="E724" s="195"/>
      <c r="F724" s="195"/>
      <c r="G724" s="195"/>
      <c r="H724" s="196"/>
      <c r="I724" s="195"/>
      <c r="J724" s="195"/>
      <c r="K724" s="195"/>
      <c r="L724" s="197"/>
    </row>
    <row r="725" spans="1:12" ht="15">
      <c r="A725" s="74"/>
      <c r="D725" s="75" t="s">
        <v>1335</v>
      </c>
      <c r="E725" s="75" t="s">
        <v>847</v>
      </c>
      <c r="G725" s="76">
        <v>131.7</v>
      </c>
      <c r="L725" s="77"/>
    </row>
    <row r="726" spans="1:12" ht="15">
      <c r="A726" s="74"/>
      <c r="D726" s="75" t="s">
        <v>1336</v>
      </c>
      <c r="E726" s="75" t="s">
        <v>1337</v>
      </c>
      <c r="G726" s="76">
        <v>5.28</v>
      </c>
      <c r="L726" s="77"/>
    </row>
    <row r="727" spans="1:12" ht="15">
      <c r="A727" s="74"/>
      <c r="D727" s="75" t="s">
        <v>1338</v>
      </c>
      <c r="E727" s="75" t="s">
        <v>953</v>
      </c>
      <c r="G727" s="76">
        <v>26.39</v>
      </c>
      <c r="L727" s="77"/>
    </row>
    <row r="728" spans="1:12" ht="15">
      <c r="A728" s="74"/>
      <c r="D728" s="75" t="s">
        <v>1339</v>
      </c>
      <c r="E728" s="75" t="s">
        <v>1340</v>
      </c>
      <c r="G728" s="76">
        <v>6.53</v>
      </c>
      <c r="L728" s="77"/>
    </row>
    <row r="729" spans="1:75" ht="13.5" customHeight="1">
      <c r="A729" s="1" t="s">
        <v>1341</v>
      </c>
      <c r="B729" s="2" t="s">
        <v>84</v>
      </c>
      <c r="C729" s="2" t="s">
        <v>1342</v>
      </c>
      <c r="D729" s="108" t="s">
        <v>1343</v>
      </c>
      <c r="E729" s="103"/>
      <c r="F729" s="2" t="s">
        <v>214</v>
      </c>
      <c r="G729" s="38">
        <v>197.72</v>
      </c>
      <c r="H729" s="70">
        <v>0</v>
      </c>
      <c r="I729" s="38">
        <f>G729*H729</f>
        <v>0</v>
      </c>
      <c r="J729" s="38">
        <v>4E-05</v>
      </c>
      <c r="K729" s="38">
        <f>G729*J729</f>
        <v>0.0079088</v>
      </c>
      <c r="L729" s="71" t="s">
        <v>136</v>
      </c>
      <c r="Z729" s="38">
        <f>IF(AQ729="5",BJ729,0)</f>
        <v>0</v>
      </c>
      <c r="AB729" s="38">
        <f>IF(AQ729="1",BH729,0)</f>
        <v>0</v>
      </c>
      <c r="AC729" s="38">
        <f>IF(AQ729="1",BI729,0)</f>
        <v>0</v>
      </c>
      <c r="AD729" s="38">
        <f>IF(AQ729="7",BH729,0)</f>
        <v>0</v>
      </c>
      <c r="AE729" s="38">
        <f>IF(AQ729="7",BI729,0)</f>
        <v>0</v>
      </c>
      <c r="AF729" s="38">
        <f>IF(AQ729="2",BH729,0)</f>
        <v>0</v>
      </c>
      <c r="AG729" s="38">
        <f>IF(AQ729="2",BI729,0)</f>
        <v>0</v>
      </c>
      <c r="AH729" s="38">
        <f>IF(AQ729="0",BJ729,0)</f>
        <v>0</v>
      </c>
      <c r="AI729" s="50" t="s">
        <v>84</v>
      </c>
      <c r="AJ729" s="38">
        <f>IF(AN729=0,I729,0)</f>
        <v>0</v>
      </c>
      <c r="AK729" s="38">
        <f>IF(AN729=12,I729,0)</f>
        <v>0</v>
      </c>
      <c r="AL729" s="38">
        <f>IF(AN729=21,I729,0)</f>
        <v>0</v>
      </c>
      <c r="AN729" s="38">
        <v>21</v>
      </c>
      <c r="AO729" s="38">
        <f>H729*0.500130205</f>
        <v>0</v>
      </c>
      <c r="AP729" s="38">
        <f>H729*(1-0.500130205)</f>
        <v>0</v>
      </c>
      <c r="AQ729" s="72" t="s">
        <v>169</v>
      </c>
      <c r="AV729" s="38">
        <f>AW729+AX729</f>
        <v>0</v>
      </c>
      <c r="AW729" s="38">
        <f>G729*AO729</f>
        <v>0</v>
      </c>
      <c r="AX729" s="38">
        <f>G729*AP729</f>
        <v>0</v>
      </c>
      <c r="AY729" s="72" t="s">
        <v>1277</v>
      </c>
      <c r="AZ729" s="72" t="s">
        <v>1278</v>
      </c>
      <c r="BA729" s="50" t="s">
        <v>139</v>
      </c>
      <c r="BB729" s="73">
        <v>100029</v>
      </c>
      <c r="BC729" s="38">
        <f>AW729+AX729</f>
        <v>0</v>
      </c>
      <c r="BD729" s="38">
        <f>H729/(100-BE729)*100</f>
        <v>0</v>
      </c>
      <c r="BE729" s="38">
        <v>0</v>
      </c>
      <c r="BF729" s="38">
        <f>K729</f>
        <v>0.0079088</v>
      </c>
      <c r="BH729" s="38">
        <f>G729*AO729</f>
        <v>0</v>
      </c>
      <c r="BI729" s="38">
        <f>G729*AP729</f>
        <v>0</v>
      </c>
      <c r="BJ729" s="38">
        <f>G729*H729</f>
        <v>0</v>
      </c>
      <c r="BK729" s="38"/>
      <c r="BL729" s="38">
        <v>771</v>
      </c>
      <c r="BW729" s="38">
        <v>21</v>
      </c>
    </row>
    <row r="730" spans="1:12" ht="13.5" customHeight="1">
      <c r="A730" s="74"/>
      <c r="D730" s="194" t="s">
        <v>1344</v>
      </c>
      <c r="E730" s="195"/>
      <c r="F730" s="195"/>
      <c r="G730" s="195"/>
      <c r="H730" s="196"/>
      <c r="I730" s="195"/>
      <c r="J730" s="195"/>
      <c r="K730" s="195"/>
      <c r="L730" s="197"/>
    </row>
    <row r="731" spans="1:12" ht="15">
      <c r="A731" s="74"/>
      <c r="D731" s="75" t="s">
        <v>1345</v>
      </c>
      <c r="E731" s="75" t="s">
        <v>847</v>
      </c>
      <c r="G731" s="76">
        <v>133.2</v>
      </c>
      <c r="L731" s="77"/>
    </row>
    <row r="732" spans="1:12" ht="15">
      <c r="A732" s="74"/>
      <c r="D732" s="75" t="s">
        <v>1346</v>
      </c>
      <c r="E732" s="75" t="s">
        <v>1347</v>
      </c>
      <c r="G732" s="76">
        <v>64.52</v>
      </c>
      <c r="L732" s="77"/>
    </row>
    <row r="733" spans="1:75" ht="13.5" customHeight="1">
      <c r="A733" s="1" t="s">
        <v>1348</v>
      </c>
      <c r="B733" s="2" t="s">
        <v>84</v>
      </c>
      <c r="C733" s="2" t="s">
        <v>1349</v>
      </c>
      <c r="D733" s="108" t="s">
        <v>1350</v>
      </c>
      <c r="E733" s="103"/>
      <c r="F733" s="2" t="s">
        <v>214</v>
      </c>
      <c r="G733" s="38">
        <v>20</v>
      </c>
      <c r="H733" s="70">
        <v>0</v>
      </c>
      <c r="I733" s="38">
        <f>G733*H733</f>
        <v>0</v>
      </c>
      <c r="J733" s="38">
        <v>0.00244</v>
      </c>
      <c r="K733" s="38">
        <f>G733*J733</f>
        <v>0.048799999999999996</v>
      </c>
      <c r="L733" s="71" t="s">
        <v>207</v>
      </c>
      <c r="Z733" s="38">
        <f>IF(AQ733="5",BJ733,0)</f>
        <v>0</v>
      </c>
      <c r="AB733" s="38">
        <f>IF(AQ733="1",BH733,0)</f>
        <v>0</v>
      </c>
      <c r="AC733" s="38">
        <f>IF(AQ733="1",BI733,0)</f>
        <v>0</v>
      </c>
      <c r="AD733" s="38">
        <f>IF(AQ733="7",BH733,0)</f>
        <v>0</v>
      </c>
      <c r="AE733" s="38">
        <f>IF(AQ733="7",BI733,0)</f>
        <v>0</v>
      </c>
      <c r="AF733" s="38">
        <f>IF(AQ733="2",BH733,0)</f>
        <v>0</v>
      </c>
      <c r="AG733" s="38">
        <f>IF(AQ733="2",BI733,0)</f>
        <v>0</v>
      </c>
      <c r="AH733" s="38">
        <f>IF(AQ733="0",BJ733,0)</f>
        <v>0</v>
      </c>
      <c r="AI733" s="50" t="s">
        <v>84</v>
      </c>
      <c r="AJ733" s="38">
        <f>IF(AN733=0,I733,0)</f>
        <v>0</v>
      </c>
      <c r="AK733" s="38">
        <f>IF(AN733=12,I733,0)</f>
        <v>0</v>
      </c>
      <c r="AL733" s="38">
        <f>IF(AN733=21,I733,0)</f>
        <v>0</v>
      </c>
      <c r="AN733" s="38">
        <v>21</v>
      </c>
      <c r="AO733" s="38">
        <f>H733*0.36562963</f>
        <v>0</v>
      </c>
      <c r="AP733" s="38">
        <f>H733*(1-0.36562963)</f>
        <v>0</v>
      </c>
      <c r="AQ733" s="72" t="s">
        <v>169</v>
      </c>
      <c r="AV733" s="38">
        <f>AW733+AX733</f>
        <v>0</v>
      </c>
      <c r="AW733" s="38">
        <f>G733*AO733</f>
        <v>0</v>
      </c>
      <c r="AX733" s="38">
        <f>G733*AP733</f>
        <v>0</v>
      </c>
      <c r="AY733" s="72" t="s">
        <v>1277</v>
      </c>
      <c r="AZ733" s="72" t="s">
        <v>1278</v>
      </c>
      <c r="BA733" s="50" t="s">
        <v>139</v>
      </c>
      <c r="BB733" s="73">
        <v>100029</v>
      </c>
      <c r="BC733" s="38">
        <f>AW733+AX733</f>
        <v>0</v>
      </c>
      <c r="BD733" s="38">
        <f>H733/(100-BE733)*100</f>
        <v>0</v>
      </c>
      <c r="BE733" s="38">
        <v>0</v>
      </c>
      <c r="BF733" s="38">
        <f>K733</f>
        <v>0.048799999999999996</v>
      </c>
      <c r="BH733" s="38">
        <f>G733*AO733</f>
        <v>0</v>
      </c>
      <c r="BI733" s="38">
        <f>G733*AP733</f>
        <v>0</v>
      </c>
      <c r="BJ733" s="38">
        <f>G733*H733</f>
        <v>0</v>
      </c>
      <c r="BK733" s="38"/>
      <c r="BL733" s="38">
        <v>771</v>
      </c>
      <c r="BW733" s="38">
        <v>21</v>
      </c>
    </row>
    <row r="734" spans="1:12" ht="15">
      <c r="A734" s="74"/>
      <c r="D734" s="75" t="s">
        <v>444</v>
      </c>
      <c r="E734" s="75" t="s">
        <v>454</v>
      </c>
      <c r="G734" s="76">
        <v>20</v>
      </c>
      <c r="L734" s="77"/>
    </row>
    <row r="735" spans="1:75" ht="13.5" customHeight="1">
      <c r="A735" s="78" t="s">
        <v>1351</v>
      </c>
      <c r="B735" s="79" t="s">
        <v>84</v>
      </c>
      <c r="C735" s="79" t="s">
        <v>1352</v>
      </c>
      <c r="D735" s="198" t="s">
        <v>1353</v>
      </c>
      <c r="E735" s="199"/>
      <c r="F735" s="79" t="s">
        <v>1097</v>
      </c>
      <c r="G735" s="80">
        <v>80</v>
      </c>
      <c r="H735" s="81">
        <v>0</v>
      </c>
      <c r="I735" s="80">
        <f>G735*H735</f>
        <v>0</v>
      </c>
      <c r="J735" s="80">
        <v>0.0045</v>
      </c>
      <c r="K735" s="80">
        <f>G735*J735</f>
        <v>0.36</v>
      </c>
      <c r="L735" s="82" t="s">
        <v>207</v>
      </c>
      <c r="Z735" s="38">
        <f>IF(AQ735="5",BJ735,0)</f>
        <v>0</v>
      </c>
      <c r="AB735" s="38">
        <f>IF(AQ735="1",BH735,0)</f>
        <v>0</v>
      </c>
      <c r="AC735" s="38">
        <f>IF(AQ735="1",BI735,0)</f>
        <v>0</v>
      </c>
      <c r="AD735" s="38">
        <f>IF(AQ735="7",BH735,0)</f>
        <v>0</v>
      </c>
      <c r="AE735" s="38">
        <f>IF(AQ735="7",BI735,0)</f>
        <v>0</v>
      </c>
      <c r="AF735" s="38">
        <f>IF(AQ735="2",BH735,0)</f>
        <v>0</v>
      </c>
      <c r="AG735" s="38">
        <f>IF(AQ735="2",BI735,0)</f>
        <v>0</v>
      </c>
      <c r="AH735" s="38">
        <f>IF(AQ735="0",BJ735,0)</f>
        <v>0</v>
      </c>
      <c r="AI735" s="50" t="s">
        <v>84</v>
      </c>
      <c r="AJ735" s="80">
        <f>IF(AN735=0,I735,0)</f>
        <v>0</v>
      </c>
      <c r="AK735" s="80">
        <f>IF(AN735=12,I735,0)</f>
        <v>0</v>
      </c>
      <c r="AL735" s="80">
        <f>IF(AN735=21,I735,0)</f>
        <v>0</v>
      </c>
      <c r="AN735" s="38">
        <v>21</v>
      </c>
      <c r="AO735" s="38">
        <f>H735*1</f>
        <v>0</v>
      </c>
      <c r="AP735" s="38">
        <f>H735*(1-1)</f>
        <v>0</v>
      </c>
      <c r="AQ735" s="83" t="s">
        <v>169</v>
      </c>
      <c r="AV735" s="38">
        <f>AW735+AX735</f>
        <v>0</v>
      </c>
      <c r="AW735" s="38">
        <f>G735*AO735</f>
        <v>0</v>
      </c>
      <c r="AX735" s="38">
        <f>G735*AP735</f>
        <v>0</v>
      </c>
      <c r="AY735" s="72" t="s">
        <v>1277</v>
      </c>
      <c r="AZ735" s="72" t="s">
        <v>1278</v>
      </c>
      <c r="BA735" s="50" t="s">
        <v>139</v>
      </c>
      <c r="BC735" s="38">
        <f>AW735+AX735</f>
        <v>0</v>
      </c>
      <c r="BD735" s="38">
        <f>H735/(100-BE735)*100</f>
        <v>0</v>
      </c>
      <c r="BE735" s="38">
        <v>0</v>
      </c>
      <c r="BF735" s="38">
        <f>K735</f>
        <v>0.36</v>
      </c>
      <c r="BH735" s="80">
        <f>G735*AO735</f>
        <v>0</v>
      </c>
      <c r="BI735" s="80">
        <f>G735*AP735</f>
        <v>0</v>
      </c>
      <c r="BJ735" s="80">
        <f>G735*H735</f>
        <v>0</v>
      </c>
      <c r="BK735" s="80"/>
      <c r="BL735" s="38">
        <v>771</v>
      </c>
      <c r="BW735" s="38">
        <v>21</v>
      </c>
    </row>
    <row r="736" spans="1:12" ht="15">
      <c r="A736" s="74"/>
      <c r="D736" s="75" t="s">
        <v>1354</v>
      </c>
      <c r="E736" s="75" t="s">
        <v>4</v>
      </c>
      <c r="G736" s="76">
        <v>80</v>
      </c>
      <c r="L736" s="77"/>
    </row>
    <row r="737" spans="1:75" ht="13.5" customHeight="1">
      <c r="A737" s="1" t="s">
        <v>1355</v>
      </c>
      <c r="B737" s="2" t="s">
        <v>84</v>
      </c>
      <c r="C737" s="2" t="s">
        <v>1356</v>
      </c>
      <c r="D737" s="108" t="s">
        <v>1357</v>
      </c>
      <c r="E737" s="103"/>
      <c r="F737" s="2" t="s">
        <v>214</v>
      </c>
      <c r="G737" s="38">
        <v>20</v>
      </c>
      <c r="H737" s="70">
        <v>0</v>
      </c>
      <c r="I737" s="38">
        <f>G737*H737</f>
        <v>0</v>
      </c>
      <c r="J737" s="38">
        <v>0.00202</v>
      </c>
      <c r="K737" s="38">
        <f>G737*J737</f>
        <v>0.040400000000000005</v>
      </c>
      <c r="L737" s="71" t="s">
        <v>207</v>
      </c>
      <c r="Z737" s="38">
        <f>IF(AQ737="5",BJ737,0)</f>
        <v>0</v>
      </c>
      <c r="AB737" s="38">
        <f>IF(AQ737="1",BH737,0)</f>
        <v>0</v>
      </c>
      <c r="AC737" s="38">
        <f>IF(AQ737="1",BI737,0)</f>
        <v>0</v>
      </c>
      <c r="AD737" s="38">
        <f>IF(AQ737="7",BH737,0)</f>
        <v>0</v>
      </c>
      <c r="AE737" s="38">
        <f>IF(AQ737="7",BI737,0)</f>
        <v>0</v>
      </c>
      <c r="AF737" s="38">
        <f>IF(AQ737="2",BH737,0)</f>
        <v>0</v>
      </c>
      <c r="AG737" s="38">
        <f>IF(AQ737="2",BI737,0)</f>
        <v>0</v>
      </c>
      <c r="AH737" s="38">
        <f>IF(AQ737="0",BJ737,0)</f>
        <v>0</v>
      </c>
      <c r="AI737" s="50" t="s">
        <v>84</v>
      </c>
      <c r="AJ737" s="38">
        <f>IF(AN737=0,I737,0)</f>
        <v>0</v>
      </c>
      <c r="AK737" s="38">
        <f>IF(AN737=12,I737,0)</f>
        <v>0</v>
      </c>
      <c r="AL737" s="38">
        <f>IF(AN737=21,I737,0)</f>
        <v>0</v>
      </c>
      <c r="AN737" s="38">
        <v>21</v>
      </c>
      <c r="AO737" s="38">
        <f>H737*0.515588785</f>
        <v>0</v>
      </c>
      <c r="AP737" s="38">
        <f>H737*(1-0.515588785)</f>
        <v>0</v>
      </c>
      <c r="AQ737" s="72" t="s">
        <v>169</v>
      </c>
      <c r="AV737" s="38">
        <f>AW737+AX737</f>
        <v>0</v>
      </c>
      <c r="AW737" s="38">
        <f>G737*AO737</f>
        <v>0</v>
      </c>
      <c r="AX737" s="38">
        <f>G737*AP737</f>
        <v>0</v>
      </c>
      <c r="AY737" s="72" t="s">
        <v>1277</v>
      </c>
      <c r="AZ737" s="72" t="s">
        <v>1278</v>
      </c>
      <c r="BA737" s="50" t="s">
        <v>139</v>
      </c>
      <c r="BB737" s="73">
        <v>100029</v>
      </c>
      <c r="BC737" s="38">
        <f>AW737+AX737</f>
        <v>0</v>
      </c>
      <c r="BD737" s="38">
        <f>H737/(100-BE737)*100</f>
        <v>0</v>
      </c>
      <c r="BE737" s="38">
        <v>0</v>
      </c>
      <c r="BF737" s="38">
        <f>K737</f>
        <v>0.040400000000000005</v>
      </c>
      <c r="BH737" s="38">
        <f>G737*AO737</f>
        <v>0</v>
      </c>
      <c r="BI737" s="38">
        <f>G737*AP737</f>
        <v>0</v>
      </c>
      <c r="BJ737" s="38">
        <f>G737*H737</f>
        <v>0</v>
      </c>
      <c r="BK737" s="38"/>
      <c r="BL737" s="38">
        <v>771</v>
      </c>
      <c r="BW737" s="38">
        <v>21</v>
      </c>
    </row>
    <row r="738" spans="1:12" ht="15">
      <c r="A738" s="74"/>
      <c r="D738" s="75" t="s">
        <v>444</v>
      </c>
      <c r="E738" s="75" t="s">
        <v>454</v>
      </c>
      <c r="G738" s="76">
        <v>20</v>
      </c>
      <c r="L738" s="77"/>
    </row>
    <row r="739" spans="1:75" ht="13.5" customHeight="1">
      <c r="A739" s="1" t="s">
        <v>1358</v>
      </c>
      <c r="B739" s="2" t="s">
        <v>84</v>
      </c>
      <c r="C739" s="2" t="s">
        <v>1359</v>
      </c>
      <c r="D739" s="108" t="s">
        <v>1360</v>
      </c>
      <c r="E739" s="103"/>
      <c r="F739" s="2" t="s">
        <v>214</v>
      </c>
      <c r="G739" s="38">
        <v>40</v>
      </c>
      <c r="H739" s="70">
        <v>0</v>
      </c>
      <c r="I739" s="38">
        <f>G739*H739</f>
        <v>0</v>
      </c>
      <c r="J739" s="38">
        <v>0</v>
      </c>
      <c r="K739" s="38">
        <f>G739*J739</f>
        <v>0</v>
      </c>
      <c r="L739" s="71" t="s">
        <v>136</v>
      </c>
      <c r="Z739" s="38">
        <f>IF(AQ739="5",BJ739,0)</f>
        <v>0</v>
      </c>
      <c r="AB739" s="38">
        <f>IF(AQ739="1",BH739,0)</f>
        <v>0</v>
      </c>
      <c r="AC739" s="38">
        <f>IF(AQ739="1",BI739,0)</f>
        <v>0</v>
      </c>
      <c r="AD739" s="38">
        <f>IF(AQ739="7",BH739,0)</f>
        <v>0</v>
      </c>
      <c r="AE739" s="38">
        <f>IF(AQ739="7",BI739,0)</f>
        <v>0</v>
      </c>
      <c r="AF739" s="38">
        <f>IF(AQ739="2",BH739,0)</f>
        <v>0</v>
      </c>
      <c r="AG739" s="38">
        <f>IF(AQ739="2",BI739,0)</f>
        <v>0</v>
      </c>
      <c r="AH739" s="38">
        <f>IF(AQ739="0",BJ739,0)</f>
        <v>0</v>
      </c>
      <c r="AI739" s="50" t="s">
        <v>84</v>
      </c>
      <c r="AJ739" s="38">
        <f>IF(AN739=0,I739,0)</f>
        <v>0</v>
      </c>
      <c r="AK739" s="38">
        <f>IF(AN739=12,I739,0)</f>
        <v>0</v>
      </c>
      <c r="AL739" s="38">
        <f>IF(AN739=21,I739,0)</f>
        <v>0</v>
      </c>
      <c r="AN739" s="38">
        <v>21</v>
      </c>
      <c r="AO739" s="38">
        <f>H739*0.039878049</f>
        <v>0</v>
      </c>
      <c r="AP739" s="38">
        <f>H739*(1-0.039878049)</f>
        <v>0</v>
      </c>
      <c r="AQ739" s="72" t="s">
        <v>169</v>
      </c>
      <c r="AV739" s="38">
        <f>AW739+AX739</f>
        <v>0</v>
      </c>
      <c r="AW739" s="38">
        <f>G739*AO739</f>
        <v>0</v>
      </c>
      <c r="AX739" s="38">
        <f>G739*AP739</f>
        <v>0</v>
      </c>
      <c r="AY739" s="72" t="s">
        <v>1277</v>
      </c>
      <c r="AZ739" s="72" t="s">
        <v>1278</v>
      </c>
      <c r="BA739" s="50" t="s">
        <v>139</v>
      </c>
      <c r="BB739" s="73">
        <v>100029</v>
      </c>
      <c r="BC739" s="38">
        <f>AW739+AX739</f>
        <v>0</v>
      </c>
      <c r="BD739" s="38">
        <f>H739/(100-BE739)*100</f>
        <v>0</v>
      </c>
      <c r="BE739" s="38">
        <v>0</v>
      </c>
      <c r="BF739" s="38">
        <f>K739</f>
        <v>0</v>
      </c>
      <c r="BH739" s="38">
        <f>G739*AO739</f>
        <v>0</v>
      </c>
      <c r="BI739" s="38">
        <f>G739*AP739</f>
        <v>0</v>
      </c>
      <c r="BJ739" s="38">
        <f>G739*H739</f>
        <v>0</v>
      </c>
      <c r="BK739" s="38"/>
      <c r="BL739" s="38">
        <v>771</v>
      </c>
      <c r="BW739" s="38">
        <v>21</v>
      </c>
    </row>
    <row r="740" spans="1:12" ht="15">
      <c r="A740" s="74"/>
      <c r="D740" s="75" t="s">
        <v>444</v>
      </c>
      <c r="E740" s="75" t="s">
        <v>1361</v>
      </c>
      <c r="G740" s="76">
        <v>20</v>
      </c>
      <c r="L740" s="77"/>
    </row>
    <row r="741" spans="1:12" ht="15">
      <c r="A741" s="74"/>
      <c r="D741" s="75" t="s">
        <v>444</v>
      </c>
      <c r="E741" s="75" t="s">
        <v>1362</v>
      </c>
      <c r="G741" s="76">
        <v>20</v>
      </c>
      <c r="L741" s="77"/>
    </row>
    <row r="742" spans="1:75" ht="13.5" customHeight="1">
      <c r="A742" s="1" t="s">
        <v>1363</v>
      </c>
      <c r="B742" s="2" t="s">
        <v>84</v>
      </c>
      <c r="C742" s="2" t="s">
        <v>1364</v>
      </c>
      <c r="D742" s="108" t="s">
        <v>1365</v>
      </c>
      <c r="E742" s="103"/>
      <c r="F742" s="2" t="s">
        <v>214</v>
      </c>
      <c r="G742" s="38">
        <v>37.93</v>
      </c>
      <c r="H742" s="70">
        <v>0</v>
      </c>
      <c r="I742" s="38">
        <f>G742*H742</f>
        <v>0</v>
      </c>
      <c r="J742" s="38">
        <v>0.00244</v>
      </c>
      <c r="K742" s="38">
        <f>G742*J742</f>
        <v>0.0925492</v>
      </c>
      <c r="L742" s="71" t="s">
        <v>136</v>
      </c>
      <c r="Z742" s="38">
        <f>IF(AQ742="5",BJ742,0)</f>
        <v>0</v>
      </c>
      <c r="AB742" s="38">
        <f>IF(AQ742="1",BH742,0)</f>
        <v>0</v>
      </c>
      <c r="AC742" s="38">
        <f>IF(AQ742="1",BI742,0)</f>
        <v>0</v>
      </c>
      <c r="AD742" s="38">
        <f>IF(AQ742="7",BH742,0)</f>
        <v>0</v>
      </c>
      <c r="AE742" s="38">
        <f>IF(AQ742="7",BI742,0)</f>
        <v>0</v>
      </c>
      <c r="AF742" s="38">
        <f>IF(AQ742="2",BH742,0)</f>
        <v>0</v>
      </c>
      <c r="AG742" s="38">
        <f>IF(AQ742="2",BI742,0)</f>
        <v>0</v>
      </c>
      <c r="AH742" s="38">
        <f>IF(AQ742="0",BJ742,0)</f>
        <v>0</v>
      </c>
      <c r="AI742" s="50" t="s">
        <v>84</v>
      </c>
      <c r="AJ742" s="38">
        <f>IF(AN742=0,I742,0)</f>
        <v>0</v>
      </c>
      <c r="AK742" s="38">
        <f>IF(AN742=12,I742,0)</f>
        <v>0</v>
      </c>
      <c r="AL742" s="38">
        <f>IF(AN742=21,I742,0)</f>
        <v>0</v>
      </c>
      <c r="AN742" s="38">
        <v>21</v>
      </c>
      <c r="AO742" s="38">
        <f>H742*0.365621299</f>
        <v>0</v>
      </c>
      <c r="AP742" s="38">
        <f>H742*(1-0.365621299)</f>
        <v>0</v>
      </c>
      <c r="AQ742" s="72" t="s">
        <v>169</v>
      </c>
      <c r="AV742" s="38">
        <f>AW742+AX742</f>
        <v>0</v>
      </c>
      <c r="AW742" s="38">
        <f>G742*AO742</f>
        <v>0</v>
      </c>
      <c r="AX742" s="38">
        <f>G742*AP742</f>
        <v>0</v>
      </c>
      <c r="AY742" s="72" t="s">
        <v>1277</v>
      </c>
      <c r="AZ742" s="72" t="s">
        <v>1278</v>
      </c>
      <c r="BA742" s="50" t="s">
        <v>139</v>
      </c>
      <c r="BB742" s="73">
        <v>100029</v>
      </c>
      <c r="BC742" s="38">
        <f>AW742+AX742</f>
        <v>0</v>
      </c>
      <c r="BD742" s="38">
        <f>H742/(100-BE742)*100</f>
        <v>0</v>
      </c>
      <c r="BE742" s="38">
        <v>0</v>
      </c>
      <c r="BF742" s="38">
        <f>K742</f>
        <v>0.0925492</v>
      </c>
      <c r="BH742" s="38">
        <f>G742*AO742</f>
        <v>0</v>
      </c>
      <c r="BI742" s="38">
        <f>G742*AP742</f>
        <v>0</v>
      </c>
      <c r="BJ742" s="38">
        <f>G742*H742</f>
        <v>0</v>
      </c>
      <c r="BK742" s="38"/>
      <c r="BL742" s="38">
        <v>771</v>
      </c>
      <c r="BW742" s="38">
        <v>21</v>
      </c>
    </row>
    <row r="743" spans="1:12" ht="15">
      <c r="A743" s="74"/>
      <c r="D743" s="75" t="s">
        <v>1366</v>
      </c>
      <c r="E743" s="75" t="s">
        <v>1367</v>
      </c>
      <c r="G743" s="76">
        <v>12.63</v>
      </c>
      <c r="L743" s="77"/>
    </row>
    <row r="744" spans="1:12" ht="15">
      <c r="A744" s="74"/>
      <c r="D744" s="75" t="s">
        <v>1368</v>
      </c>
      <c r="E744" s="75" t="s">
        <v>1369</v>
      </c>
      <c r="G744" s="76">
        <v>25.3</v>
      </c>
      <c r="L744" s="77"/>
    </row>
    <row r="745" spans="1:75" ht="13.5" customHeight="1">
      <c r="A745" s="78" t="s">
        <v>1370</v>
      </c>
      <c r="B745" s="79" t="s">
        <v>84</v>
      </c>
      <c r="C745" s="79" t="s">
        <v>1371</v>
      </c>
      <c r="D745" s="198" t="s">
        <v>1372</v>
      </c>
      <c r="E745" s="199"/>
      <c r="F745" s="79" t="s">
        <v>199</v>
      </c>
      <c r="G745" s="80">
        <v>70</v>
      </c>
      <c r="H745" s="81">
        <v>0</v>
      </c>
      <c r="I745" s="80">
        <f>G745*H745</f>
        <v>0</v>
      </c>
      <c r="J745" s="80">
        <v>0.0035</v>
      </c>
      <c r="K745" s="80">
        <f>G745*J745</f>
        <v>0.245</v>
      </c>
      <c r="L745" s="82" t="s">
        <v>207</v>
      </c>
      <c r="Z745" s="38">
        <f>IF(AQ745="5",BJ745,0)</f>
        <v>0</v>
      </c>
      <c r="AB745" s="38">
        <f>IF(AQ745="1",BH745,0)</f>
        <v>0</v>
      </c>
      <c r="AC745" s="38">
        <f>IF(AQ745="1",BI745,0)</f>
        <v>0</v>
      </c>
      <c r="AD745" s="38">
        <f>IF(AQ745="7",BH745,0)</f>
        <v>0</v>
      </c>
      <c r="AE745" s="38">
        <f>IF(AQ745="7",BI745,0)</f>
        <v>0</v>
      </c>
      <c r="AF745" s="38">
        <f>IF(AQ745="2",BH745,0)</f>
        <v>0</v>
      </c>
      <c r="AG745" s="38">
        <f>IF(AQ745="2",BI745,0)</f>
        <v>0</v>
      </c>
      <c r="AH745" s="38">
        <f>IF(AQ745="0",BJ745,0)</f>
        <v>0</v>
      </c>
      <c r="AI745" s="50" t="s">
        <v>84</v>
      </c>
      <c r="AJ745" s="80">
        <f>IF(AN745=0,I745,0)</f>
        <v>0</v>
      </c>
      <c r="AK745" s="80">
        <f>IF(AN745=12,I745,0)</f>
        <v>0</v>
      </c>
      <c r="AL745" s="80">
        <f>IF(AN745=21,I745,0)</f>
        <v>0</v>
      </c>
      <c r="AN745" s="38">
        <v>21</v>
      </c>
      <c r="AO745" s="38">
        <f>H745*1</f>
        <v>0</v>
      </c>
      <c r="AP745" s="38">
        <f>H745*(1-1)</f>
        <v>0</v>
      </c>
      <c r="AQ745" s="83" t="s">
        <v>169</v>
      </c>
      <c r="AV745" s="38">
        <f>AW745+AX745</f>
        <v>0</v>
      </c>
      <c r="AW745" s="38">
        <f>G745*AO745</f>
        <v>0</v>
      </c>
      <c r="AX745" s="38">
        <f>G745*AP745</f>
        <v>0</v>
      </c>
      <c r="AY745" s="72" t="s">
        <v>1277</v>
      </c>
      <c r="AZ745" s="72" t="s">
        <v>1278</v>
      </c>
      <c r="BA745" s="50" t="s">
        <v>139</v>
      </c>
      <c r="BC745" s="38">
        <f>AW745+AX745</f>
        <v>0</v>
      </c>
      <c r="BD745" s="38">
        <f>H745/(100-BE745)*100</f>
        <v>0</v>
      </c>
      <c r="BE745" s="38">
        <v>0</v>
      </c>
      <c r="BF745" s="38">
        <f>K745</f>
        <v>0.245</v>
      </c>
      <c r="BH745" s="80">
        <f>G745*AO745</f>
        <v>0</v>
      </c>
      <c r="BI745" s="80">
        <f>G745*AP745</f>
        <v>0</v>
      </c>
      <c r="BJ745" s="80">
        <f>G745*H745</f>
        <v>0</v>
      </c>
      <c r="BK745" s="80"/>
      <c r="BL745" s="38">
        <v>771</v>
      </c>
      <c r="BW745" s="38">
        <v>21</v>
      </c>
    </row>
    <row r="746" spans="1:12" ht="15">
      <c r="A746" s="74"/>
      <c r="D746" s="75" t="s">
        <v>1373</v>
      </c>
      <c r="E746" s="75" t="s">
        <v>4</v>
      </c>
      <c r="G746" s="76">
        <v>70</v>
      </c>
      <c r="L746" s="77"/>
    </row>
    <row r="747" spans="1:75" ht="13.5" customHeight="1">
      <c r="A747" s="1" t="s">
        <v>1374</v>
      </c>
      <c r="B747" s="2" t="s">
        <v>84</v>
      </c>
      <c r="C747" s="2" t="s">
        <v>1375</v>
      </c>
      <c r="D747" s="108" t="s">
        <v>1376</v>
      </c>
      <c r="E747" s="103"/>
      <c r="F747" s="2" t="s">
        <v>214</v>
      </c>
      <c r="G747" s="38">
        <v>37.93</v>
      </c>
      <c r="H747" s="70">
        <v>0</v>
      </c>
      <c r="I747" s="38">
        <f>G747*H747</f>
        <v>0</v>
      </c>
      <c r="J747" s="38">
        <v>0.00202</v>
      </c>
      <c r="K747" s="38">
        <f>G747*J747</f>
        <v>0.07661860000000001</v>
      </c>
      <c r="L747" s="71" t="s">
        <v>136</v>
      </c>
      <c r="Z747" s="38">
        <f>IF(AQ747="5",BJ747,0)</f>
        <v>0</v>
      </c>
      <c r="AB747" s="38">
        <f>IF(AQ747="1",BH747,0)</f>
        <v>0</v>
      </c>
      <c r="AC747" s="38">
        <f>IF(AQ747="1",BI747,0)</f>
        <v>0</v>
      </c>
      <c r="AD747" s="38">
        <f>IF(AQ747="7",BH747,0)</f>
        <v>0</v>
      </c>
      <c r="AE747" s="38">
        <f>IF(AQ747="7",BI747,0)</f>
        <v>0</v>
      </c>
      <c r="AF747" s="38">
        <f>IF(AQ747="2",BH747,0)</f>
        <v>0</v>
      </c>
      <c r="AG747" s="38">
        <f>IF(AQ747="2",BI747,0)</f>
        <v>0</v>
      </c>
      <c r="AH747" s="38">
        <f>IF(AQ747="0",BJ747,0)</f>
        <v>0</v>
      </c>
      <c r="AI747" s="50" t="s">
        <v>84</v>
      </c>
      <c r="AJ747" s="38">
        <f>IF(AN747=0,I747,0)</f>
        <v>0</v>
      </c>
      <c r="AK747" s="38">
        <f>IF(AN747=12,I747,0)</f>
        <v>0</v>
      </c>
      <c r="AL747" s="38">
        <f>IF(AN747=21,I747,0)</f>
        <v>0</v>
      </c>
      <c r="AN747" s="38">
        <v>21</v>
      </c>
      <c r="AO747" s="38">
        <f>H747*0.51560276</f>
        <v>0</v>
      </c>
      <c r="AP747" s="38">
        <f>H747*(1-0.51560276)</f>
        <v>0</v>
      </c>
      <c r="AQ747" s="72" t="s">
        <v>169</v>
      </c>
      <c r="AV747" s="38">
        <f>AW747+AX747</f>
        <v>0</v>
      </c>
      <c r="AW747" s="38">
        <f>G747*AO747</f>
        <v>0</v>
      </c>
      <c r="AX747" s="38">
        <f>G747*AP747</f>
        <v>0</v>
      </c>
      <c r="AY747" s="72" t="s">
        <v>1277</v>
      </c>
      <c r="AZ747" s="72" t="s">
        <v>1278</v>
      </c>
      <c r="BA747" s="50" t="s">
        <v>139</v>
      </c>
      <c r="BB747" s="73">
        <v>100029</v>
      </c>
      <c r="BC747" s="38">
        <f>AW747+AX747</f>
        <v>0</v>
      </c>
      <c r="BD747" s="38">
        <f>H747/(100-BE747)*100</f>
        <v>0</v>
      </c>
      <c r="BE747" s="38">
        <v>0</v>
      </c>
      <c r="BF747" s="38">
        <f>K747</f>
        <v>0.07661860000000001</v>
      </c>
      <c r="BH747" s="38">
        <f>G747*AO747</f>
        <v>0</v>
      </c>
      <c r="BI747" s="38">
        <f>G747*AP747</f>
        <v>0</v>
      </c>
      <c r="BJ747" s="38">
        <f>G747*H747</f>
        <v>0</v>
      </c>
      <c r="BK747" s="38"/>
      <c r="BL747" s="38">
        <v>771</v>
      </c>
      <c r="BW747" s="38">
        <v>21</v>
      </c>
    </row>
    <row r="748" spans="1:12" ht="15">
      <c r="A748" s="74"/>
      <c r="D748" s="75" t="s">
        <v>1366</v>
      </c>
      <c r="E748" s="75" t="s">
        <v>1367</v>
      </c>
      <c r="G748" s="76">
        <v>12.63</v>
      </c>
      <c r="L748" s="77"/>
    </row>
    <row r="749" spans="1:12" ht="15">
      <c r="A749" s="74"/>
      <c r="D749" s="75" t="s">
        <v>1368</v>
      </c>
      <c r="E749" s="75" t="s">
        <v>1369</v>
      </c>
      <c r="G749" s="76">
        <v>25.3</v>
      </c>
      <c r="L749" s="77"/>
    </row>
    <row r="750" spans="1:75" ht="13.5" customHeight="1">
      <c r="A750" s="1" t="s">
        <v>1377</v>
      </c>
      <c r="B750" s="2" t="s">
        <v>84</v>
      </c>
      <c r="C750" s="2" t="s">
        <v>1378</v>
      </c>
      <c r="D750" s="108" t="s">
        <v>1379</v>
      </c>
      <c r="E750" s="103"/>
      <c r="F750" s="2" t="s">
        <v>214</v>
      </c>
      <c r="G750" s="38">
        <v>12.14</v>
      </c>
      <c r="H750" s="70">
        <v>0</v>
      </c>
      <c r="I750" s="38">
        <f>G750*H750</f>
        <v>0</v>
      </c>
      <c r="J750" s="38">
        <v>0.00032</v>
      </c>
      <c r="K750" s="38">
        <f>G750*J750</f>
        <v>0.0038848000000000003</v>
      </c>
      <c r="L750" s="71" t="s">
        <v>136</v>
      </c>
      <c r="Z750" s="38">
        <f>IF(AQ750="5",BJ750,0)</f>
        <v>0</v>
      </c>
      <c r="AB750" s="38">
        <f>IF(AQ750="1",BH750,0)</f>
        <v>0</v>
      </c>
      <c r="AC750" s="38">
        <f>IF(AQ750="1",BI750,0)</f>
        <v>0</v>
      </c>
      <c r="AD750" s="38">
        <f>IF(AQ750="7",BH750,0)</f>
        <v>0</v>
      </c>
      <c r="AE750" s="38">
        <f>IF(AQ750="7",BI750,0)</f>
        <v>0</v>
      </c>
      <c r="AF750" s="38">
        <f>IF(AQ750="2",BH750,0)</f>
        <v>0</v>
      </c>
      <c r="AG750" s="38">
        <f>IF(AQ750="2",BI750,0)</f>
        <v>0</v>
      </c>
      <c r="AH750" s="38">
        <f>IF(AQ750="0",BJ750,0)</f>
        <v>0</v>
      </c>
      <c r="AI750" s="50" t="s">
        <v>84</v>
      </c>
      <c r="AJ750" s="38">
        <f>IF(AN750=0,I750,0)</f>
        <v>0</v>
      </c>
      <c r="AK750" s="38">
        <f>IF(AN750=12,I750,0)</f>
        <v>0</v>
      </c>
      <c r="AL750" s="38">
        <f>IF(AN750=21,I750,0)</f>
        <v>0</v>
      </c>
      <c r="AN750" s="38">
        <v>21</v>
      </c>
      <c r="AO750" s="38">
        <f>H750*0.068331358</f>
        <v>0</v>
      </c>
      <c r="AP750" s="38">
        <f>H750*(1-0.068331358)</f>
        <v>0</v>
      </c>
      <c r="AQ750" s="72" t="s">
        <v>169</v>
      </c>
      <c r="AV750" s="38">
        <f>AW750+AX750</f>
        <v>0</v>
      </c>
      <c r="AW750" s="38">
        <f>G750*AO750</f>
        <v>0</v>
      </c>
      <c r="AX750" s="38">
        <f>G750*AP750</f>
        <v>0</v>
      </c>
      <c r="AY750" s="72" t="s">
        <v>1277</v>
      </c>
      <c r="AZ750" s="72" t="s">
        <v>1278</v>
      </c>
      <c r="BA750" s="50" t="s">
        <v>139</v>
      </c>
      <c r="BB750" s="73">
        <v>100029</v>
      </c>
      <c r="BC750" s="38">
        <f>AW750+AX750</f>
        <v>0</v>
      </c>
      <c r="BD750" s="38">
        <f>H750/(100-BE750)*100</f>
        <v>0</v>
      </c>
      <c r="BE750" s="38">
        <v>0</v>
      </c>
      <c r="BF750" s="38">
        <f>K750</f>
        <v>0.0038848000000000003</v>
      </c>
      <c r="BH750" s="38">
        <f>G750*AO750</f>
        <v>0</v>
      </c>
      <c r="BI750" s="38">
        <f>G750*AP750</f>
        <v>0</v>
      </c>
      <c r="BJ750" s="38">
        <f>G750*H750</f>
        <v>0</v>
      </c>
      <c r="BK750" s="38"/>
      <c r="BL750" s="38">
        <v>771</v>
      </c>
      <c r="BW750" s="38">
        <v>21</v>
      </c>
    </row>
    <row r="751" spans="1:12" ht="15">
      <c r="A751" s="74"/>
      <c r="D751" s="75" t="s">
        <v>1380</v>
      </c>
      <c r="E751" s="75" t="s">
        <v>1381</v>
      </c>
      <c r="G751" s="76">
        <v>1.87</v>
      </c>
      <c r="L751" s="77"/>
    </row>
    <row r="752" spans="1:12" ht="15">
      <c r="A752" s="74"/>
      <c r="D752" s="75" t="s">
        <v>1382</v>
      </c>
      <c r="E752" s="75" t="s">
        <v>1369</v>
      </c>
      <c r="G752" s="76">
        <v>10.27</v>
      </c>
      <c r="L752" s="77"/>
    </row>
    <row r="753" spans="1:75" ht="13.5" customHeight="1">
      <c r="A753" s="1" t="s">
        <v>1383</v>
      </c>
      <c r="B753" s="2" t="s">
        <v>84</v>
      </c>
      <c r="C753" s="2" t="s">
        <v>1384</v>
      </c>
      <c r="D753" s="108" t="s">
        <v>1385</v>
      </c>
      <c r="E753" s="103"/>
      <c r="F753" s="2" t="s">
        <v>189</v>
      </c>
      <c r="G753" s="38">
        <v>10.58</v>
      </c>
      <c r="H753" s="70">
        <v>0</v>
      </c>
      <c r="I753" s="38">
        <f>G753*H753</f>
        <v>0</v>
      </c>
      <c r="J753" s="38">
        <v>0</v>
      </c>
      <c r="K753" s="38">
        <f>G753*J753</f>
        <v>0</v>
      </c>
      <c r="L753" s="71" t="s">
        <v>136</v>
      </c>
      <c r="Z753" s="38">
        <f>IF(AQ753="5",BJ753,0)</f>
        <v>0</v>
      </c>
      <c r="AB753" s="38">
        <f>IF(AQ753="1",BH753,0)</f>
        <v>0</v>
      </c>
      <c r="AC753" s="38">
        <f>IF(AQ753="1",BI753,0)</f>
        <v>0</v>
      </c>
      <c r="AD753" s="38">
        <f>IF(AQ753="7",BH753,0)</f>
        <v>0</v>
      </c>
      <c r="AE753" s="38">
        <f>IF(AQ753="7",BI753,0)</f>
        <v>0</v>
      </c>
      <c r="AF753" s="38">
        <f>IF(AQ753="2",BH753,0)</f>
        <v>0</v>
      </c>
      <c r="AG753" s="38">
        <f>IF(AQ753="2",BI753,0)</f>
        <v>0</v>
      </c>
      <c r="AH753" s="38">
        <f>IF(AQ753="0",BJ753,0)</f>
        <v>0</v>
      </c>
      <c r="AI753" s="50" t="s">
        <v>84</v>
      </c>
      <c r="AJ753" s="38">
        <f>IF(AN753=0,I753,0)</f>
        <v>0</v>
      </c>
      <c r="AK753" s="38">
        <f>IF(AN753=12,I753,0)</f>
        <v>0</v>
      </c>
      <c r="AL753" s="38">
        <f>IF(AN753=21,I753,0)</f>
        <v>0</v>
      </c>
      <c r="AN753" s="38">
        <v>21</v>
      </c>
      <c r="AO753" s="38">
        <f>H753*0</f>
        <v>0</v>
      </c>
      <c r="AP753" s="38">
        <f>H753*(1-0)</f>
        <v>0</v>
      </c>
      <c r="AQ753" s="72" t="s">
        <v>162</v>
      </c>
      <c r="AV753" s="38">
        <f>AW753+AX753</f>
        <v>0</v>
      </c>
      <c r="AW753" s="38">
        <f>G753*AO753</f>
        <v>0</v>
      </c>
      <c r="AX753" s="38">
        <f>G753*AP753</f>
        <v>0</v>
      </c>
      <c r="AY753" s="72" t="s">
        <v>1277</v>
      </c>
      <c r="AZ753" s="72" t="s">
        <v>1278</v>
      </c>
      <c r="BA753" s="50" t="s">
        <v>139</v>
      </c>
      <c r="BC753" s="38">
        <f>AW753+AX753</f>
        <v>0</v>
      </c>
      <c r="BD753" s="38">
        <f>H753/(100-BE753)*100</f>
        <v>0</v>
      </c>
      <c r="BE753" s="38">
        <v>0</v>
      </c>
      <c r="BF753" s="38">
        <f>K753</f>
        <v>0</v>
      </c>
      <c r="BH753" s="38">
        <f>G753*AO753</f>
        <v>0</v>
      </c>
      <c r="BI753" s="38">
        <f>G753*AP753</f>
        <v>0</v>
      </c>
      <c r="BJ753" s="38">
        <f>G753*H753</f>
        <v>0</v>
      </c>
      <c r="BK753" s="38"/>
      <c r="BL753" s="38">
        <v>771</v>
      </c>
      <c r="BW753" s="38">
        <v>21</v>
      </c>
    </row>
    <row r="754" spans="1:12" ht="15">
      <c r="A754" s="74"/>
      <c r="D754" s="75" t="s">
        <v>1386</v>
      </c>
      <c r="E754" s="75" t="s">
        <v>4</v>
      </c>
      <c r="G754" s="76">
        <v>10.58</v>
      </c>
      <c r="L754" s="77"/>
    </row>
    <row r="755" spans="1:47" ht="15">
      <c r="A755" s="65" t="s">
        <v>4</v>
      </c>
      <c r="B755" s="66" t="s">
        <v>84</v>
      </c>
      <c r="C755" s="66" t="s">
        <v>1387</v>
      </c>
      <c r="D755" s="192" t="s">
        <v>1388</v>
      </c>
      <c r="E755" s="193"/>
      <c r="F755" s="67" t="s">
        <v>78</v>
      </c>
      <c r="G755" s="67" t="s">
        <v>78</v>
      </c>
      <c r="H755" s="68" t="s">
        <v>78</v>
      </c>
      <c r="I755" s="44">
        <f>SUM(I756:I759)</f>
        <v>0</v>
      </c>
      <c r="J755" s="50" t="s">
        <v>4</v>
      </c>
      <c r="K755" s="44">
        <f>SUM(K756:K759)</f>
        <v>2.9032</v>
      </c>
      <c r="L755" s="69" t="s">
        <v>4</v>
      </c>
      <c r="AI755" s="50" t="s">
        <v>84</v>
      </c>
      <c r="AS755" s="44">
        <f>SUM(AJ756:AJ759)</f>
        <v>0</v>
      </c>
      <c r="AT755" s="44">
        <f>SUM(AK756:AK759)</f>
        <v>0</v>
      </c>
      <c r="AU755" s="44">
        <f>SUM(AL756:AL759)</f>
        <v>0</v>
      </c>
    </row>
    <row r="756" spans="1:75" ht="13.5" customHeight="1">
      <c r="A756" s="1" t="s">
        <v>1389</v>
      </c>
      <c r="B756" s="2" t="s">
        <v>84</v>
      </c>
      <c r="C756" s="2" t="s">
        <v>1390</v>
      </c>
      <c r="D756" s="108" t="s">
        <v>1391</v>
      </c>
      <c r="E756" s="103"/>
      <c r="F756" s="2" t="s">
        <v>263</v>
      </c>
      <c r="G756" s="38">
        <v>76.4</v>
      </c>
      <c r="H756" s="70">
        <v>0</v>
      </c>
      <c r="I756" s="38">
        <f>G756*H756</f>
        <v>0</v>
      </c>
      <c r="J756" s="38">
        <v>0.02</v>
      </c>
      <c r="K756" s="38">
        <f>G756*J756</f>
        <v>1.5280000000000002</v>
      </c>
      <c r="L756" s="71" t="s">
        <v>136</v>
      </c>
      <c r="Z756" s="38">
        <f>IF(AQ756="5",BJ756,0)</f>
        <v>0</v>
      </c>
      <c r="AB756" s="38">
        <f>IF(AQ756="1",BH756,0)</f>
        <v>0</v>
      </c>
      <c r="AC756" s="38">
        <f>IF(AQ756="1",BI756,0)</f>
        <v>0</v>
      </c>
      <c r="AD756" s="38">
        <f>IF(AQ756="7",BH756,0)</f>
        <v>0</v>
      </c>
      <c r="AE756" s="38">
        <f>IF(AQ756="7",BI756,0)</f>
        <v>0</v>
      </c>
      <c r="AF756" s="38">
        <f>IF(AQ756="2",BH756,0)</f>
        <v>0</v>
      </c>
      <c r="AG756" s="38">
        <f>IF(AQ756="2",BI756,0)</f>
        <v>0</v>
      </c>
      <c r="AH756" s="38">
        <f>IF(AQ756="0",BJ756,0)</f>
        <v>0</v>
      </c>
      <c r="AI756" s="50" t="s">
        <v>84</v>
      </c>
      <c r="AJ756" s="38">
        <f>IF(AN756=0,I756,0)</f>
        <v>0</v>
      </c>
      <c r="AK756" s="38">
        <f>IF(AN756=12,I756,0)</f>
        <v>0</v>
      </c>
      <c r="AL756" s="38">
        <f>IF(AN756=21,I756,0)</f>
        <v>0</v>
      </c>
      <c r="AN756" s="38">
        <v>21</v>
      </c>
      <c r="AO756" s="38">
        <f>H756*0</f>
        <v>0</v>
      </c>
      <c r="AP756" s="38">
        <f>H756*(1-0)</f>
        <v>0</v>
      </c>
      <c r="AQ756" s="72" t="s">
        <v>169</v>
      </c>
      <c r="AV756" s="38">
        <f>AW756+AX756</f>
        <v>0</v>
      </c>
      <c r="AW756" s="38">
        <f>G756*AO756</f>
        <v>0</v>
      </c>
      <c r="AX756" s="38">
        <f>G756*AP756</f>
        <v>0</v>
      </c>
      <c r="AY756" s="72" t="s">
        <v>1392</v>
      </c>
      <c r="AZ756" s="72" t="s">
        <v>1278</v>
      </c>
      <c r="BA756" s="50" t="s">
        <v>139</v>
      </c>
      <c r="BB756" s="73">
        <v>100008</v>
      </c>
      <c r="BC756" s="38">
        <f>AW756+AX756</f>
        <v>0</v>
      </c>
      <c r="BD756" s="38">
        <f>H756/(100-BE756)*100</f>
        <v>0</v>
      </c>
      <c r="BE756" s="38">
        <v>0</v>
      </c>
      <c r="BF756" s="38">
        <f>K756</f>
        <v>1.5280000000000002</v>
      </c>
      <c r="BH756" s="38">
        <f>G756*AO756</f>
        <v>0</v>
      </c>
      <c r="BI756" s="38">
        <f>G756*AP756</f>
        <v>0</v>
      </c>
      <c r="BJ756" s="38">
        <f>G756*H756</f>
        <v>0</v>
      </c>
      <c r="BK756" s="38"/>
      <c r="BL756" s="38">
        <v>775</v>
      </c>
      <c r="BW756" s="38">
        <v>21</v>
      </c>
    </row>
    <row r="757" spans="1:12" ht="15">
      <c r="A757" s="74"/>
      <c r="D757" s="75" t="s">
        <v>971</v>
      </c>
      <c r="E757" s="75" t="s">
        <v>972</v>
      </c>
      <c r="G757" s="76">
        <v>41.6</v>
      </c>
      <c r="L757" s="77"/>
    </row>
    <row r="758" spans="1:12" ht="15">
      <c r="A758" s="74"/>
      <c r="D758" s="75" t="s">
        <v>973</v>
      </c>
      <c r="E758" s="75" t="s">
        <v>974</v>
      </c>
      <c r="G758" s="76">
        <v>34.8</v>
      </c>
      <c r="L758" s="77"/>
    </row>
    <row r="759" spans="1:75" ht="13.5" customHeight="1">
      <c r="A759" s="1" t="s">
        <v>1393</v>
      </c>
      <c r="B759" s="2" t="s">
        <v>84</v>
      </c>
      <c r="C759" s="2" t="s">
        <v>1394</v>
      </c>
      <c r="D759" s="108" t="s">
        <v>1395</v>
      </c>
      <c r="E759" s="103"/>
      <c r="F759" s="2" t="s">
        <v>263</v>
      </c>
      <c r="G759" s="38">
        <v>76.4</v>
      </c>
      <c r="H759" s="70">
        <v>0</v>
      </c>
      <c r="I759" s="38">
        <f>G759*H759</f>
        <v>0</v>
      </c>
      <c r="J759" s="38">
        <v>0.018</v>
      </c>
      <c r="K759" s="38">
        <f>G759*J759</f>
        <v>1.3752</v>
      </c>
      <c r="L759" s="71" t="s">
        <v>136</v>
      </c>
      <c r="Z759" s="38">
        <f>IF(AQ759="5",BJ759,0)</f>
        <v>0</v>
      </c>
      <c r="AB759" s="38">
        <f>IF(AQ759="1",BH759,0)</f>
        <v>0</v>
      </c>
      <c r="AC759" s="38">
        <f>IF(AQ759="1",BI759,0)</f>
        <v>0</v>
      </c>
      <c r="AD759" s="38">
        <f>IF(AQ759="7",BH759,0)</f>
        <v>0</v>
      </c>
      <c r="AE759" s="38">
        <f>IF(AQ759="7",BI759,0)</f>
        <v>0</v>
      </c>
      <c r="AF759" s="38">
        <f>IF(AQ759="2",BH759,0)</f>
        <v>0</v>
      </c>
      <c r="AG759" s="38">
        <f>IF(AQ759="2",BI759,0)</f>
        <v>0</v>
      </c>
      <c r="AH759" s="38">
        <f>IF(AQ759="0",BJ759,0)</f>
        <v>0</v>
      </c>
      <c r="AI759" s="50" t="s">
        <v>84</v>
      </c>
      <c r="AJ759" s="38">
        <f>IF(AN759=0,I759,0)</f>
        <v>0</v>
      </c>
      <c r="AK759" s="38">
        <f>IF(AN759=12,I759,0)</f>
        <v>0</v>
      </c>
      <c r="AL759" s="38">
        <f>IF(AN759=21,I759,0)</f>
        <v>0</v>
      </c>
      <c r="AN759" s="38">
        <v>21</v>
      </c>
      <c r="AO759" s="38">
        <f>H759*0</f>
        <v>0</v>
      </c>
      <c r="AP759" s="38">
        <f>H759*(1-0)</f>
        <v>0</v>
      </c>
      <c r="AQ759" s="72" t="s">
        <v>169</v>
      </c>
      <c r="AV759" s="38">
        <f>AW759+AX759</f>
        <v>0</v>
      </c>
      <c r="AW759" s="38">
        <f>G759*AO759</f>
        <v>0</v>
      </c>
      <c r="AX759" s="38">
        <f>G759*AP759</f>
        <v>0</v>
      </c>
      <c r="AY759" s="72" t="s">
        <v>1392</v>
      </c>
      <c r="AZ759" s="72" t="s">
        <v>1278</v>
      </c>
      <c r="BA759" s="50" t="s">
        <v>139</v>
      </c>
      <c r="BB759" s="73">
        <v>100008</v>
      </c>
      <c r="BC759" s="38">
        <f>AW759+AX759</f>
        <v>0</v>
      </c>
      <c r="BD759" s="38">
        <f>H759/(100-BE759)*100</f>
        <v>0</v>
      </c>
      <c r="BE759" s="38">
        <v>0</v>
      </c>
      <c r="BF759" s="38">
        <f>K759</f>
        <v>1.3752</v>
      </c>
      <c r="BH759" s="38">
        <f>G759*AO759</f>
        <v>0</v>
      </c>
      <c r="BI759" s="38">
        <f>G759*AP759</f>
        <v>0</v>
      </c>
      <c r="BJ759" s="38">
        <f>G759*H759</f>
        <v>0</v>
      </c>
      <c r="BK759" s="38"/>
      <c r="BL759" s="38">
        <v>775</v>
      </c>
      <c r="BW759" s="38">
        <v>21</v>
      </c>
    </row>
    <row r="760" spans="1:12" ht="13.5" customHeight="1">
      <c r="A760" s="74"/>
      <c r="D760" s="194" t="s">
        <v>1396</v>
      </c>
      <c r="E760" s="195"/>
      <c r="F760" s="195"/>
      <c r="G760" s="195"/>
      <c r="H760" s="196"/>
      <c r="I760" s="195"/>
      <c r="J760" s="195"/>
      <c r="K760" s="195"/>
      <c r="L760" s="197"/>
    </row>
    <row r="761" spans="1:12" ht="15">
      <c r="A761" s="74"/>
      <c r="D761" s="75" t="s">
        <v>971</v>
      </c>
      <c r="E761" s="75" t="s">
        <v>972</v>
      </c>
      <c r="G761" s="76">
        <v>41.6</v>
      </c>
      <c r="L761" s="77"/>
    </row>
    <row r="762" spans="1:12" ht="15">
      <c r="A762" s="74"/>
      <c r="D762" s="75" t="s">
        <v>973</v>
      </c>
      <c r="E762" s="75" t="s">
        <v>974</v>
      </c>
      <c r="G762" s="76">
        <v>34.8</v>
      </c>
      <c r="L762" s="77"/>
    </row>
    <row r="763" spans="1:47" ht="15">
      <c r="A763" s="65" t="s">
        <v>4</v>
      </c>
      <c r="B763" s="66" t="s">
        <v>84</v>
      </c>
      <c r="C763" s="66" t="s">
        <v>1397</v>
      </c>
      <c r="D763" s="192" t="s">
        <v>1398</v>
      </c>
      <c r="E763" s="193"/>
      <c r="F763" s="67" t="s">
        <v>78</v>
      </c>
      <c r="G763" s="67" t="s">
        <v>78</v>
      </c>
      <c r="H763" s="68" t="s">
        <v>78</v>
      </c>
      <c r="I763" s="44">
        <f>SUM(I764:I787)</f>
        <v>0</v>
      </c>
      <c r="J763" s="50" t="s">
        <v>4</v>
      </c>
      <c r="K763" s="44">
        <f>SUM(K764:K787)</f>
        <v>1.2713954</v>
      </c>
      <c r="L763" s="69" t="s">
        <v>4</v>
      </c>
      <c r="AI763" s="50" t="s">
        <v>84</v>
      </c>
      <c r="AS763" s="44">
        <f>SUM(AJ764:AJ787)</f>
        <v>0</v>
      </c>
      <c r="AT763" s="44">
        <f>SUM(AK764:AK787)</f>
        <v>0</v>
      </c>
      <c r="AU763" s="44">
        <f>SUM(AL764:AL787)</f>
        <v>0</v>
      </c>
    </row>
    <row r="764" spans="1:75" ht="13.5" customHeight="1">
      <c r="A764" s="1" t="s">
        <v>1399</v>
      </c>
      <c r="B764" s="2" t="s">
        <v>84</v>
      </c>
      <c r="C764" s="2" t="s">
        <v>1400</v>
      </c>
      <c r="D764" s="108" t="s">
        <v>1401</v>
      </c>
      <c r="E764" s="103"/>
      <c r="F764" s="2" t="s">
        <v>263</v>
      </c>
      <c r="G764" s="38">
        <v>134.91</v>
      </c>
      <c r="H764" s="70">
        <v>0</v>
      </c>
      <c r="I764" s="38">
        <f>G764*H764</f>
        <v>0</v>
      </c>
      <c r="J764" s="38">
        <v>0.001</v>
      </c>
      <c r="K764" s="38">
        <f>G764*J764</f>
        <v>0.13491</v>
      </c>
      <c r="L764" s="71" t="s">
        <v>136</v>
      </c>
      <c r="Z764" s="38">
        <f>IF(AQ764="5",BJ764,0)</f>
        <v>0</v>
      </c>
      <c r="AB764" s="38">
        <f>IF(AQ764="1",BH764,0)</f>
        <v>0</v>
      </c>
      <c r="AC764" s="38">
        <f>IF(AQ764="1",BI764,0)</f>
        <v>0</v>
      </c>
      <c r="AD764" s="38">
        <f>IF(AQ764="7",BH764,0)</f>
        <v>0</v>
      </c>
      <c r="AE764" s="38">
        <f>IF(AQ764="7",BI764,0)</f>
        <v>0</v>
      </c>
      <c r="AF764" s="38">
        <f>IF(AQ764="2",BH764,0)</f>
        <v>0</v>
      </c>
      <c r="AG764" s="38">
        <f>IF(AQ764="2",BI764,0)</f>
        <v>0</v>
      </c>
      <c r="AH764" s="38">
        <f>IF(AQ764="0",BJ764,0)</f>
        <v>0</v>
      </c>
      <c r="AI764" s="50" t="s">
        <v>84</v>
      </c>
      <c r="AJ764" s="38">
        <f>IF(AN764=0,I764,0)</f>
        <v>0</v>
      </c>
      <c r="AK764" s="38">
        <f>IF(AN764=12,I764,0)</f>
        <v>0</v>
      </c>
      <c r="AL764" s="38">
        <f>IF(AN764=21,I764,0)</f>
        <v>0</v>
      </c>
      <c r="AN764" s="38">
        <v>21</v>
      </c>
      <c r="AO764" s="38">
        <f>H764*0</f>
        <v>0</v>
      </c>
      <c r="AP764" s="38">
        <f>H764*(1-0)</f>
        <v>0</v>
      </c>
      <c r="AQ764" s="72" t="s">
        <v>169</v>
      </c>
      <c r="AV764" s="38">
        <f>AW764+AX764</f>
        <v>0</v>
      </c>
      <c r="AW764" s="38">
        <f>G764*AO764</f>
        <v>0</v>
      </c>
      <c r="AX764" s="38">
        <f>G764*AP764</f>
        <v>0</v>
      </c>
      <c r="AY764" s="72" t="s">
        <v>1402</v>
      </c>
      <c r="AZ764" s="72" t="s">
        <v>1278</v>
      </c>
      <c r="BA764" s="50" t="s">
        <v>139</v>
      </c>
      <c r="BB764" s="73">
        <v>100009</v>
      </c>
      <c r="BC764" s="38">
        <f>AW764+AX764</f>
        <v>0</v>
      </c>
      <c r="BD764" s="38">
        <f>H764/(100-BE764)*100</f>
        <v>0</v>
      </c>
      <c r="BE764" s="38">
        <v>0</v>
      </c>
      <c r="BF764" s="38">
        <f>K764</f>
        <v>0.13491</v>
      </c>
      <c r="BH764" s="38">
        <f>G764*AO764</f>
        <v>0</v>
      </c>
      <c r="BI764" s="38">
        <f>G764*AP764</f>
        <v>0</v>
      </c>
      <c r="BJ764" s="38">
        <f>G764*H764</f>
        <v>0</v>
      </c>
      <c r="BK764" s="38"/>
      <c r="BL764" s="38">
        <v>776</v>
      </c>
      <c r="BW764" s="38">
        <v>21</v>
      </c>
    </row>
    <row r="765" spans="1:12" ht="13.5" customHeight="1">
      <c r="A765" s="74"/>
      <c r="D765" s="194" t="s">
        <v>1403</v>
      </c>
      <c r="E765" s="195"/>
      <c r="F765" s="195"/>
      <c r="G765" s="195"/>
      <c r="H765" s="196"/>
      <c r="I765" s="195"/>
      <c r="J765" s="195"/>
      <c r="K765" s="195"/>
      <c r="L765" s="197"/>
    </row>
    <row r="766" spans="1:12" ht="15">
      <c r="A766" s="74"/>
      <c r="D766" s="75" t="s">
        <v>1404</v>
      </c>
      <c r="E766" s="75" t="s">
        <v>1405</v>
      </c>
      <c r="G766" s="76">
        <v>66.46</v>
      </c>
      <c r="L766" s="77"/>
    </row>
    <row r="767" spans="1:12" ht="15">
      <c r="A767" s="74"/>
      <c r="D767" s="75" t="s">
        <v>1406</v>
      </c>
      <c r="E767" s="75" t="s">
        <v>1407</v>
      </c>
      <c r="G767" s="76">
        <v>13.8</v>
      </c>
      <c r="L767" s="77"/>
    </row>
    <row r="768" spans="1:12" ht="15">
      <c r="A768" s="74"/>
      <c r="D768" s="75" t="s">
        <v>1408</v>
      </c>
      <c r="E768" s="75" t="s">
        <v>1409</v>
      </c>
      <c r="G768" s="76">
        <v>38.2</v>
      </c>
      <c r="L768" s="77"/>
    </row>
    <row r="769" spans="1:12" ht="15">
      <c r="A769" s="74"/>
      <c r="D769" s="75" t="s">
        <v>1410</v>
      </c>
      <c r="E769" s="75" t="s">
        <v>1411</v>
      </c>
      <c r="G769" s="76">
        <v>7.3</v>
      </c>
      <c r="L769" s="77"/>
    </row>
    <row r="770" spans="1:12" ht="15">
      <c r="A770" s="74"/>
      <c r="D770" s="75" t="s">
        <v>703</v>
      </c>
      <c r="E770" s="75" t="s">
        <v>1412</v>
      </c>
      <c r="G770" s="76">
        <v>9.15</v>
      </c>
      <c r="L770" s="77"/>
    </row>
    <row r="771" spans="1:75" ht="13.5" customHeight="1">
      <c r="A771" s="1" t="s">
        <v>1413</v>
      </c>
      <c r="B771" s="2" t="s">
        <v>84</v>
      </c>
      <c r="C771" s="2" t="s">
        <v>1414</v>
      </c>
      <c r="D771" s="108" t="s">
        <v>1415</v>
      </c>
      <c r="E771" s="103"/>
      <c r="F771" s="2" t="s">
        <v>263</v>
      </c>
      <c r="G771" s="38">
        <v>265.98</v>
      </c>
      <c r="H771" s="70">
        <v>0</v>
      </c>
      <c r="I771" s="38">
        <f>G771*H771</f>
        <v>0</v>
      </c>
      <c r="J771" s="38">
        <v>0.00025</v>
      </c>
      <c r="K771" s="38">
        <f>G771*J771</f>
        <v>0.06649500000000001</v>
      </c>
      <c r="L771" s="71" t="s">
        <v>136</v>
      </c>
      <c r="Z771" s="38">
        <f>IF(AQ771="5",BJ771,0)</f>
        <v>0</v>
      </c>
      <c r="AB771" s="38">
        <f>IF(AQ771="1",BH771,0)</f>
        <v>0</v>
      </c>
      <c r="AC771" s="38">
        <f>IF(AQ771="1",BI771,0)</f>
        <v>0</v>
      </c>
      <c r="AD771" s="38">
        <f>IF(AQ771="7",BH771,0)</f>
        <v>0</v>
      </c>
      <c r="AE771" s="38">
        <f>IF(AQ771="7",BI771,0)</f>
        <v>0</v>
      </c>
      <c r="AF771" s="38">
        <f>IF(AQ771="2",BH771,0)</f>
        <v>0</v>
      </c>
      <c r="AG771" s="38">
        <f>IF(AQ771="2",BI771,0)</f>
        <v>0</v>
      </c>
      <c r="AH771" s="38">
        <f>IF(AQ771="0",BJ771,0)</f>
        <v>0</v>
      </c>
      <c r="AI771" s="50" t="s">
        <v>84</v>
      </c>
      <c r="AJ771" s="38">
        <f>IF(AN771=0,I771,0)</f>
        <v>0</v>
      </c>
      <c r="AK771" s="38">
        <f>IF(AN771=12,I771,0)</f>
        <v>0</v>
      </c>
      <c r="AL771" s="38">
        <f>IF(AN771=21,I771,0)</f>
        <v>0</v>
      </c>
      <c r="AN771" s="38">
        <v>21</v>
      </c>
      <c r="AO771" s="38">
        <f>H771*0.313879503</f>
        <v>0</v>
      </c>
      <c r="AP771" s="38">
        <f>H771*(1-0.313879503)</f>
        <v>0</v>
      </c>
      <c r="AQ771" s="72" t="s">
        <v>169</v>
      </c>
      <c r="AV771" s="38">
        <f>AW771+AX771</f>
        <v>0</v>
      </c>
      <c r="AW771" s="38">
        <f>G771*AO771</f>
        <v>0</v>
      </c>
      <c r="AX771" s="38">
        <f>G771*AP771</f>
        <v>0</v>
      </c>
      <c r="AY771" s="72" t="s">
        <v>1402</v>
      </c>
      <c r="AZ771" s="72" t="s">
        <v>1278</v>
      </c>
      <c r="BA771" s="50" t="s">
        <v>139</v>
      </c>
      <c r="BB771" s="73">
        <v>100009</v>
      </c>
      <c r="BC771" s="38">
        <f>AW771+AX771</f>
        <v>0</v>
      </c>
      <c r="BD771" s="38">
        <f>H771/(100-BE771)*100</f>
        <v>0</v>
      </c>
      <c r="BE771" s="38">
        <v>0</v>
      </c>
      <c r="BF771" s="38">
        <f>K771</f>
        <v>0.06649500000000001</v>
      </c>
      <c r="BH771" s="38">
        <f>G771*AO771</f>
        <v>0</v>
      </c>
      <c r="BI771" s="38">
        <f>G771*AP771</f>
        <v>0</v>
      </c>
      <c r="BJ771" s="38">
        <f>G771*H771</f>
        <v>0</v>
      </c>
      <c r="BK771" s="38"/>
      <c r="BL771" s="38">
        <v>776</v>
      </c>
      <c r="BW771" s="38">
        <v>21</v>
      </c>
    </row>
    <row r="772" spans="1:12" ht="15">
      <c r="A772" s="74"/>
      <c r="D772" s="75" t="s">
        <v>685</v>
      </c>
      <c r="E772" s="75" t="s">
        <v>686</v>
      </c>
      <c r="G772" s="76">
        <v>166.93</v>
      </c>
      <c r="L772" s="77"/>
    </row>
    <row r="773" spans="1:12" ht="15">
      <c r="A773" s="74"/>
      <c r="D773" s="75" t="s">
        <v>687</v>
      </c>
      <c r="E773" s="75" t="s">
        <v>688</v>
      </c>
      <c r="G773" s="76">
        <v>9.15</v>
      </c>
      <c r="L773" s="77"/>
    </row>
    <row r="774" spans="1:12" ht="15">
      <c r="A774" s="74"/>
      <c r="D774" s="75" t="s">
        <v>1416</v>
      </c>
      <c r="E774" s="75" t="s">
        <v>1319</v>
      </c>
      <c r="G774" s="76">
        <v>89.9</v>
      </c>
      <c r="L774" s="77"/>
    </row>
    <row r="775" spans="1:75" ht="13.5" customHeight="1">
      <c r="A775" s="78" t="s">
        <v>1417</v>
      </c>
      <c r="B775" s="79" t="s">
        <v>84</v>
      </c>
      <c r="C775" s="79" t="s">
        <v>1418</v>
      </c>
      <c r="D775" s="198" t="s">
        <v>1419</v>
      </c>
      <c r="E775" s="199"/>
      <c r="F775" s="79" t="s">
        <v>263</v>
      </c>
      <c r="G775" s="80">
        <v>302.41</v>
      </c>
      <c r="H775" s="81">
        <v>0</v>
      </c>
      <c r="I775" s="80">
        <f>G775*H775</f>
        <v>0</v>
      </c>
      <c r="J775" s="80">
        <v>0.0035</v>
      </c>
      <c r="K775" s="80">
        <f>G775*J775</f>
        <v>1.058435</v>
      </c>
      <c r="L775" s="82" t="s">
        <v>207</v>
      </c>
      <c r="Z775" s="38">
        <f>IF(AQ775="5",BJ775,0)</f>
        <v>0</v>
      </c>
      <c r="AB775" s="38">
        <f>IF(AQ775="1",BH775,0)</f>
        <v>0</v>
      </c>
      <c r="AC775" s="38">
        <f>IF(AQ775="1",BI775,0)</f>
        <v>0</v>
      </c>
      <c r="AD775" s="38">
        <f>IF(AQ775="7",BH775,0)</f>
        <v>0</v>
      </c>
      <c r="AE775" s="38">
        <f>IF(AQ775="7",BI775,0)</f>
        <v>0</v>
      </c>
      <c r="AF775" s="38">
        <f>IF(AQ775="2",BH775,0)</f>
        <v>0</v>
      </c>
      <c r="AG775" s="38">
        <f>IF(AQ775="2",BI775,0)</f>
        <v>0</v>
      </c>
      <c r="AH775" s="38">
        <f>IF(AQ775="0",BJ775,0)</f>
        <v>0</v>
      </c>
      <c r="AI775" s="50" t="s">
        <v>84</v>
      </c>
      <c r="AJ775" s="80">
        <f>IF(AN775=0,I775,0)</f>
        <v>0</v>
      </c>
      <c r="AK775" s="80">
        <f>IF(AN775=12,I775,0)</f>
        <v>0</v>
      </c>
      <c r="AL775" s="80">
        <f>IF(AN775=21,I775,0)</f>
        <v>0</v>
      </c>
      <c r="AN775" s="38">
        <v>21</v>
      </c>
      <c r="AO775" s="38">
        <f>H775*1</f>
        <v>0</v>
      </c>
      <c r="AP775" s="38">
        <f>H775*(1-1)</f>
        <v>0</v>
      </c>
      <c r="AQ775" s="83" t="s">
        <v>169</v>
      </c>
      <c r="AV775" s="38">
        <f>AW775+AX775</f>
        <v>0</v>
      </c>
      <c r="AW775" s="38">
        <f>G775*AO775</f>
        <v>0</v>
      </c>
      <c r="AX775" s="38">
        <f>G775*AP775</f>
        <v>0</v>
      </c>
      <c r="AY775" s="72" t="s">
        <v>1402</v>
      </c>
      <c r="AZ775" s="72" t="s">
        <v>1278</v>
      </c>
      <c r="BA775" s="50" t="s">
        <v>139</v>
      </c>
      <c r="BC775" s="38">
        <f>AW775+AX775</f>
        <v>0</v>
      </c>
      <c r="BD775" s="38">
        <f>H775/(100-BE775)*100</f>
        <v>0</v>
      </c>
      <c r="BE775" s="38">
        <v>0</v>
      </c>
      <c r="BF775" s="38">
        <f>K775</f>
        <v>1.058435</v>
      </c>
      <c r="BH775" s="80">
        <f>G775*AO775</f>
        <v>0</v>
      </c>
      <c r="BI775" s="80">
        <f>G775*AP775</f>
        <v>0</v>
      </c>
      <c r="BJ775" s="80">
        <f>G775*H775</f>
        <v>0</v>
      </c>
      <c r="BK775" s="80"/>
      <c r="BL775" s="38">
        <v>776</v>
      </c>
      <c r="BW775" s="38">
        <v>21</v>
      </c>
    </row>
    <row r="776" spans="1:12" ht="15">
      <c r="A776" s="74"/>
      <c r="D776" s="75" t="s">
        <v>1420</v>
      </c>
      <c r="E776" s="75" t="s">
        <v>1304</v>
      </c>
      <c r="G776" s="76">
        <v>265.98</v>
      </c>
      <c r="L776" s="77"/>
    </row>
    <row r="777" spans="1:12" ht="15">
      <c r="A777" s="74"/>
      <c r="D777" s="75" t="s">
        <v>1421</v>
      </c>
      <c r="E777" s="75" t="s">
        <v>1422</v>
      </c>
      <c r="G777" s="76">
        <v>8.94</v>
      </c>
      <c r="L777" s="77"/>
    </row>
    <row r="778" spans="1:12" ht="15">
      <c r="A778" s="74"/>
      <c r="D778" s="75" t="s">
        <v>1423</v>
      </c>
      <c r="E778" s="75" t="s">
        <v>4</v>
      </c>
      <c r="G778" s="76">
        <v>27.49</v>
      </c>
      <c r="L778" s="77"/>
    </row>
    <row r="779" spans="1:75" ht="13.5" customHeight="1">
      <c r="A779" s="1" t="s">
        <v>1424</v>
      </c>
      <c r="B779" s="2" t="s">
        <v>84</v>
      </c>
      <c r="C779" s="2" t="s">
        <v>1425</v>
      </c>
      <c r="D779" s="108" t="s">
        <v>1426</v>
      </c>
      <c r="E779" s="103"/>
      <c r="F779" s="2" t="s">
        <v>214</v>
      </c>
      <c r="G779" s="38">
        <v>178.8</v>
      </c>
      <c r="H779" s="70">
        <v>0</v>
      </c>
      <c r="I779" s="38">
        <f>G779*H779</f>
        <v>0</v>
      </c>
      <c r="J779" s="38">
        <v>2E-05</v>
      </c>
      <c r="K779" s="38">
        <f>G779*J779</f>
        <v>0.0035760000000000006</v>
      </c>
      <c r="L779" s="71" t="s">
        <v>207</v>
      </c>
      <c r="Z779" s="38">
        <f>IF(AQ779="5",BJ779,0)</f>
        <v>0</v>
      </c>
      <c r="AB779" s="38">
        <f>IF(AQ779="1",BH779,0)</f>
        <v>0</v>
      </c>
      <c r="AC779" s="38">
        <f>IF(AQ779="1",BI779,0)</f>
        <v>0</v>
      </c>
      <c r="AD779" s="38">
        <f>IF(AQ779="7",BH779,0)</f>
        <v>0</v>
      </c>
      <c r="AE779" s="38">
        <f>IF(AQ779="7",BI779,0)</f>
        <v>0</v>
      </c>
      <c r="AF779" s="38">
        <f>IF(AQ779="2",BH779,0)</f>
        <v>0</v>
      </c>
      <c r="AG779" s="38">
        <f>IF(AQ779="2",BI779,0)</f>
        <v>0</v>
      </c>
      <c r="AH779" s="38">
        <f>IF(AQ779="0",BJ779,0)</f>
        <v>0</v>
      </c>
      <c r="AI779" s="50" t="s">
        <v>84</v>
      </c>
      <c r="AJ779" s="38">
        <f>IF(AN779=0,I779,0)</f>
        <v>0</v>
      </c>
      <c r="AK779" s="38">
        <f>IF(AN779=12,I779,0)</f>
        <v>0</v>
      </c>
      <c r="AL779" s="38">
        <f>IF(AN779=21,I779,0)</f>
        <v>0</v>
      </c>
      <c r="AN779" s="38">
        <v>21</v>
      </c>
      <c r="AO779" s="38">
        <f>H779*0.519814663</f>
        <v>0</v>
      </c>
      <c r="AP779" s="38">
        <f>H779*(1-0.519814663)</f>
        <v>0</v>
      </c>
      <c r="AQ779" s="72" t="s">
        <v>169</v>
      </c>
      <c r="AV779" s="38">
        <f>AW779+AX779</f>
        <v>0</v>
      </c>
      <c r="AW779" s="38">
        <f>G779*AO779</f>
        <v>0</v>
      </c>
      <c r="AX779" s="38">
        <f>G779*AP779</f>
        <v>0</v>
      </c>
      <c r="AY779" s="72" t="s">
        <v>1402</v>
      </c>
      <c r="AZ779" s="72" t="s">
        <v>1278</v>
      </c>
      <c r="BA779" s="50" t="s">
        <v>139</v>
      </c>
      <c r="BB779" s="73">
        <v>100009</v>
      </c>
      <c r="BC779" s="38">
        <f>AW779+AX779</f>
        <v>0</v>
      </c>
      <c r="BD779" s="38">
        <f>H779/(100-BE779)*100</f>
        <v>0</v>
      </c>
      <c r="BE779" s="38">
        <v>0</v>
      </c>
      <c r="BF779" s="38">
        <f>K779</f>
        <v>0.0035760000000000006</v>
      </c>
      <c r="BH779" s="38">
        <f>G779*AO779</f>
        <v>0</v>
      </c>
      <c r="BI779" s="38">
        <f>G779*AP779</f>
        <v>0</v>
      </c>
      <c r="BJ779" s="38">
        <f>G779*H779</f>
        <v>0</v>
      </c>
      <c r="BK779" s="38"/>
      <c r="BL779" s="38">
        <v>776</v>
      </c>
      <c r="BW779" s="38">
        <v>21</v>
      </c>
    </row>
    <row r="780" spans="1:12" ht="13.5" customHeight="1">
      <c r="A780" s="74"/>
      <c r="D780" s="194" t="s">
        <v>1427</v>
      </c>
      <c r="E780" s="195"/>
      <c r="F780" s="195"/>
      <c r="G780" s="195"/>
      <c r="H780" s="196"/>
      <c r="I780" s="195"/>
      <c r="J780" s="195"/>
      <c r="K780" s="195"/>
      <c r="L780" s="197"/>
    </row>
    <row r="781" spans="1:12" ht="15">
      <c r="A781" s="74"/>
      <c r="D781" s="75" t="s">
        <v>710</v>
      </c>
      <c r="E781" s="75" t="s">
        <v>1428</v>
      </c>
      <c r="G781" s="76">
        <v>93</v>
      </c>
      <c r="L781" s="77"/>
    </row>
    <row r="782" spans="1:12" ht="15">
      <c r="A782" s="74"/>
      <c r="D782" s="75" t="s">
        <v>1429</v>
      </c>
      <c r="E782" s="75" t="s">
        <v>1319</v>
      </c>
      <c r="G782" s="76">
        <v>85.8</v>
      </c>
      <c r="L782" s="77"/>
    </row>
    <row r="783" spans="1:75" ht="13.5" customHeight="1">
      <c r="A783" s="1" t="s">
        <v>1430</v>
      </c>
      <c r="B783" s="2" t="s">
        <v>84</v>
      </c>
      <c r="C783" s="2" t="s">
        <v>1431</v>
      </c>
      <c r="D783" s="108" t="s">
        <v>1432</v>
      </c>
      <c r="E783" s="103"/>
      <c r="F783" s="2" t="s">
        <v>263</v>
      </c>
      <c r="G783" s="38">
        <v>265.98</v>
      </c>
      <c r="H783" s="70">
        <v>0</v>
      </c>
      <c r="I783" s="38">
        <f>G783*H783</f>
        <v>0</v>
      </c>
      <c r="J783" s="38">
        <v>3E-05</v>
      </c>
      <c r="K783" s="38">
        <f>G783*J783</f>
        <v>0.007979400000000001</v>
      </c>
      <c r="L783" s="71" t="s">
        <v>136</v>
      </c>
      <c r="Z783" s="38">
        <f>IF(AQ783="5",BJ783,0)</f>
        <v>0</v>
      </c>
      <c r="AB783" s="38">
        <f>IF(AQ783="1",BH783,0)</f>
        <v>0</v>
      </c>
      <c r="AC783" s="38">
        <f>IF(AQ783="1",BI783,0)</f>
        <v>0</v>
      </c>
      <c r="AD783" s="38">
        <f>IF(AQ783="7",BH783,0)</f>
        <v>0</v>
      </c>
      <c r="AE783" s="38">
        <f>IF(AQ783="7",BI783,0)</f>
        <v>0</v>
      </c>
      <c r="AF783" s="38">
        <f>IF(AQ783="2",BH783,0)</f>
        <v>0</v>
      </c>
      <c r="AG783" s="38">
        <f>IF(AQ783="2",BI783,0)</f>
        <v>0</v>
      </c>
      <c r="AH783" s="38">
        <f>IF(AQ783="0",BJ783,0)</f>
        <v>0</v>
      </c>
      <c r="AI783" s="50" t="s">
        <v>84</v>
      </c>
      <c r="AJ783" s="38">
        <f>IF(AN783=0,I783,0)</f>
        <v>0</v>
      </c>
      <c r="AK783" s="38">
        <f>IF(AN783=12,I783,0)</f>
        <v>0</v>
      </c>
      <c r="AL783" s="38">
        <f>IF(AN783=21,I783,0)</f>
        <v>0</v>
      </c>
      <c r="AN783" s="38">
        <v>21</v>
      </c>
      <c r="AO783" s="38">
        <f>H783*0.228366667</f>
        <v>0</v>
      </c>
      <c r="AP783" s="38">
        <f>H783*(1-0.228366667)</f>
        <v>0</v>
      </c>
      <c r="AQ783" s="72" t="s">
        <v>169</v>
      </c>
      <c r="AV783" s="38">
        <f>AW783+AX783</f>
        <v>0</v>
      </c>
      <c r="AW783" s="38">
        <f>G783*AO783</f>
        <v>0</v>
      </c>
      <c r="AX783" s="38">
        <f>G783*AP783</f>
        <v>0</v>
      </c>
      <c r="AY783" s="72" t="s">
        <v>1402</v>
      </c>
      <c r="AZ783" s="72" t="s">
        <v>1278</v>
      </c>
      <c r="BA783" s="50" t="s">
        <v>139</v>
      </c>
      <c r="BB783" s="73">
        <v>100009</v>
      </c>
      <c r="BC783" s="38">
        <f>AW783+AX783</f>
        <v>0</v>
      </c>
      <c r="BD783" s="38">
        <f>H783/(100-BE783)*100</f>
        <v>0</v>
      </c>
      <c r="BE783" s="38">
        <v>0</v>
      </c>
      <c r="BF783" s="38">
        <f>K783</f>
        <v>0.007979400000000001</v>
      </c>
      <c r="BH783" s="38">
        <f>G783*AO783</f>
        <v>0</v>
      </c>
      <c r="BI783" s="38">
        <f>G783*AP783</f>
        <v>0</v>
      </c>
      <c r="BJ783" s="38">
        <f>G783*H783</f>
        <v>0</v>
      </c>
      <c r="BK783" s="38"/>
      <c r="BL783" s="38">
        <v>776</v>
      </c>
      <c r="BW783" s="38">
        <v>21</v>
      </c>
    </row>
    <row r="784" spans="1:12" ht="15">
      <c r="A784" s="74"/>
      <c r="D784" s="75" t="s">
        <v>685</v>
      </c>
      <c r="E784" s="75" t="s">
        <v>686</v>
      </c>
      <c r="G784" s="76">
        <v>166.93</v>
      </c>
      <c r="L784" s="77"/>
    </row>
    <row r="785" spans="1:12" ht="15">
      <c r="A785" s="74"/>
      <c r="D785" s="75" t="s">
        <v>687</v>
      </c>
      <c r="E785" s="75" t="s">
        <v>688</v>
      </c>
      <c r="G785" s="76">
        <v>9.15</v>
      </c>
      <c r="L785" s="77"/>
    </row>
    <row r="786" spans="1:12" ht="15">
      <c r="A786" s="74"/>
      <c r="D786" s="75" t="s">
        <v>1416</v>
      </c>
      <c r="E786" s="75" t="s">
        <v>1319</v>
      </c>
      <c r="G786" s="76">
        <v>89.9</v>
      </c>
      <c r="L786" s="77"/>
    </row>
    <row r="787" spans="1:75" ht="13.5" customHeight="1">
      <c r="A787" s="1" t="s">
        <v>1433</v>
      </c>
      <c r="B787" s="2" t="s">
        <v>84</v>
      </c>
      <c r="C787" s="2" t="s">
        <v>1434</v>
      </c>
      <c r="D787" s="108" t="s">
        <v>1435</v>
      </c>
      <c r="E787" s="103"/>
      <c r="F787" s="2" t="s">
        <v>189</v>
      </c>
      <c r="G787" s="38">
        <v>1.14</v>
      </c>
      <c r="H787" s="70">
        <v>0</v>
      </c>
      <c r="I787" s="38">
        <f>G787*H787</f>
        <v>0</v>
      </c>
      <c r="J787" s="38">
        <v>0</v>
      </c>
      <c r="K787" s="38">
        <f>G787*J787</f>
        <v>0</v>
      </c>
      <c r="L787" s="71" t="s">
        <v>136</v>
      </c>
      <c r="Z787" s="38">
        <f>IF(AQ787="5",BJ787,0)</f>
        <v>0</v>
      </c>
      <c r="AB787" s="38">
        <f>IF(AQ787="1",BH787,0)</f>
        <v>0</v>
      </c>
      <c r="AC787" s="38">
        <f>IF(AQ787="1",BI787,0)</f>
        <v>0</v>
      </c>
      <c r="AD787" s="38">
        <f>IF(AQ787="7",BH787,0)</f>
        <v>0</v>
      </c>
      <c r="AE787" s="38">
        <f>IF(AQ787="7",BI787,0)</f>
        <v>0</v>
      </c>
      <c r="AF787" s="38">
        <f>IF(AQ787="2",BH787,0)</f>
        <v>0</v>
      </c>
      <c r="AG787" s="38">
        <f>IF(AQ787="2",BI787,0)</f>
        <v>0</v>
      </c>
      <c r="AH787" s="38">
        <f>IF(AQ787="0",BJ787,0)</f>
        <v>0</v>
      </c>
      <c r="AI787" s="50" t="s">
        <v>84</v>
      </c>
      <c r="AJ787" s="38">
        <f>IF(AN787=0,I787,0)</f>
        <v>0</v>
      </c>
      <c r="AK787" s="38">
        <f>IF(AN787=12,I787,0)</f>
        <v>0</v>
      </c>
      <c r="AL787" s="38">
        <f>IF(AN787=21,I787,0)</f>
        <v>0</v>
      </c>
      <c r="AN787" s="38">
        <v>21</v>
      </c>
      <c r="AO787" s="38">
        <f>H787*0</f>
        <v>0</v>
      </c>
      <c r="AP787" s="38">
        <f>H787*(1-0)</f>
        <v>0</v>
      </c>
      <c r="AQ787" s="72" t="s">
        <v>162</v>
      </c>
      <c r="AV787" s="38">
        <f>AW787+AX787</f>
        <v>0</v>
      </c>
      <c r="AW787" s="38">
        <f>G787*AO787</f>
        <v>0</v>
      </c>
      <c r="AX787" s="38">
        <f>G787*AP787</f>
        <v>0</v>
      </c>
      <c r="AY787" s="72" t="s">
        <v>1402</v>
      </c>
      <c r="AZ787" s="72" t="s">
        <v>1278</v>
      </c>
      <c r="BA787" s="50" t="s">
        <v>139</v>
      </c>
      <c r="BC787" s="38">
        <f>AW787+AX787</f>
        <v>0</v>
      </c>
      <c r="BD787" s="38">
        <f>H787/(100-BE787)*100</f>
        <v>0</v>
      </c>
      <c r="BE787" s="38">
        <v>0</v>
      </c>
      <c r="BF787" s="38">
        <f>K787</f>
        <v>0</v>
      </c>
      <c r="BH787" s="38">
        <f>G787*AO787</f>
        <v>0</v>
      </c>
      <c r="BI787" s="38">
        <f>G787*AP787</f>
        <v>0</v>
      </c>
      <c r="BJ787" s="38">
        <f>G787*H787</f>
        <v>0</v>
      </c>
      <c r="BK787" s="38"/>
      <c r="BL787" s="38">
        <v>776</v>
      </c>
      <c r="BW787" s="38">
        <v>21</v>
      </c>
    </row>
    <row r="788" spans="1:12" ht="15">
      <c r="A788" s="74"/>
      <c r="D788" s="75" t="s">
        <v>1436</v>
      </c>
      <c r="E788" s="75" t="s">
        <v>4</v>
      </c>
      <c r="G788" s="76">
        <v>1.14</v>
      </c>
      <c r="L788" s="77"/>
    </row>
    <row r="789" spans="1:47" ht="15">
      <c r="A789" s="65" t="s">
        <v>4</v>
      </c>
      <c r="B789" s="66" t="s">
        <v>84</v>
      </c>
      <c r="C789" s="66" t="s">
        <v>1437</v>
      </c>
      <c r="D789" s="192" t="s">
        <v>1438</v>
      </c>
      <c r="E789" s="193"/>
      <c r="F789" s="67" t="s">
        <v>78</v>
      </c>
      <c r="G789" s="67" t="s">
        <v>78</v>
      </c>
      <c r="H789" s="68" t="s">
        <v>78</v>
      </c>
      <c r="I789" s="44">
        <f>SUM(I790:I827)</f>
        <v>0</v>
      </c>
      <c r="J789" s="50" t="s">
        <v>4</v>
      </c>
      <c r="K789" s="44">
        <f>SUM(K790:K827)</f>
        <v>7.390169199999999</v>
      </c>
      <c r="L789" s="69" t="s">
        <v>4</v>
      </c>
      <c r="AI789" s="50" t="s">
        <v>84</v>
      </c>
      <c r="AS789" s="44">
        <f>SUM(AJ790:AJ827)</f>
        <v>0</v>
      </c>
      <c r="AT789" s="44">
        <f>SUM(AK790:AK827)</f>
        <v>0</v>
      </c>
      <c r="AU789" s="44">
        <f>SUM(AL790:AL827)</f>
        <v>0</v>
      </c>
    </row>
    <row r="790" spans="1:75" ht="13.5" customHeight="1">
      <c r="A790" s="1" t="s">
        <v>1439</v>
      </c>
      <c r="B790" s="2" t="s">
        <v>84</v>
      </c>
      <c r="C790" s="2" t="s">
        <v>1440</v>
      </c>
      <c r="D790" s="108" t="s">
        <v>1441</v>
      </c>
      <c r="E790" s="103"/>
      <c r="F790" s="2" t="s">
        <v>263</v>
      </c>
      <c r="G790" s="38">
        <v>14.06</v>
      </c>
      <c r="H790" s="70">
        <v>0</v>
      </c>
      <c r="I790" s="38">
        <f>G790*H790</f>
        <v>0</v>
      </c>
      <c r="J790" s="38">
        <v>0.06178</v>
      </c>
      <c r="K790" s="38">
        <f>G790*J790</f>
        <v>0.8686268</v>
      </c>
      <c r="L790" s="71" t="s">
        <v>207</v>
      </c>
      <c r="Z790" s="38">
        <f>IF(AQ790="5",BJ790,0)</f>
        <v>0</v>
      </c>
      <c r="AB790" s="38">
        <f>IF(AQ790="1",BH790,0)</f>
        <v>0</v>
      </c>
      <c r="AC790" s="38">
        <f>IF(AQ790="1",BI790,0)</f>
        <v>0</v>
      </c>
      <c r="AD790" s="38">
        <f>IF(AQ790="7",BH790,0)</f>
        <v>0</v>
      </c>
      <c r="AE790" s="38">
        <f>IF(AQ790="7",BI790,0)</f>
        <v>0</v>
      </c>
      <c r="AF790" s="38">
        <f>IF(AQ790="2",BH790,0)</f>
        <v>0</v>
      </c>
      <c r="AG790" s="38">
        <f>IF(AQ790="2",BI790,0)</f>
        <v>0</v>
      </c>
      <c r="AH790" s="38">
        <f>IF(AQ790="0",BJ790,0)</f>
        <v>0</v>
      </c>
      <c r="AI790" s="50" t="s">
        <v>84</v>
      </c>
      <c r="AJ790" s="38">
        <f>IF(AN790=0,I790,0)</f>
        <v>0</v>
      </c>
      <c r="AK790" s="38">
        <f>IF(AN790=12,I790,0)</f>
        <v>0</v>
      </c>
      <c r="AL790" s="38">
        <f>IF(AN790=21,I790,0)</f>
        <v>0</v>
      </c>
      <c r="AN790" s="38">
        <v>21</v>
      </c>
      <c r="AO790" s="38">
        <f>H790*0.096074801</f>
        <v>0</v>
      </c>
      <c r="AP790" s="38">
        <f>H790*(1-0.096074801)</f>
        <v>0</v>
      </c>
      <c r="AQ790" s="72" t="s">
        <v>169</v>
      </c>
      <c r="AV790" s="38">
        <f>AW790+AX790</f>
        <v>0</v>
      </c>
      <c r="AW790" s="38">
        <f>G790*AO790</f>
        <v>0</v>
      </c>
      <c r="AX790" s="38">
        <f>G790*AP790</f>
        <v>0</v>
      </c>
      <c r="AY790" s="72" t="s">
        <v>1442</v>
      </c>
      <c r="AZ790" s="72" t="s">
        <v>1443</v>
      </c>
      <c r="BA790" s="50" t="s">
        <v>139</v>
      </c>
      <c r="BB790" s="73">
        <v>100027</v>
      </c>
      <c r="BC790" s="38">
        <f>AW790+AX790</f>
        <v>0</v>
      </c>
      <c r="BD790" s="38">
        <f>H790/(100-BE790)*100</f>
        <v>0</v>
      </c>
      <c r="BE790" s="38">
        <v>0</v>
      </c>
      <c r="BF790" s="38">
        <f>K790</f>
        <v>0.8686268</v>
      </c>
      <c r="BH790" s="38">
        <f>G790*AO790</f>
        <v>0</v>
      </c>
      <c r="BI790" s="38">
        <f>G790*AP790</f>
        <v>0</v>
      </c>
      <c r="BJ790" s="38">
        <f>G790*H790</f>
        <v>0</v>
      </c>
      <c r="BK790" s="38"/>
      <c r="BL790" s="38">
        <v>781</v>
      </c>
      <c r="BW790" s="38">
        <v>21</v>
      </c>
    </row>
    <row r="791" spans="1:12" ht="15">
      <c r="A791" s="74"/>
      <c r="D791" s="75" t="s">
        <v>1444</v>
      </c>
      <c r="E791" s="75" t="s">
        <v>1445</v>
      </c>
      <c r="G791" s="76">
        <v>6.91</v>
      </c>
      <c r="L791" s="77"/>
    </row>
    <row r="792" spans="1:12" ht="15">
      <c r="A792" s="74"/>
      <c r="D792" s="75" t="s">
        <v>1446</v>
      </c>
      <c r="E792" s="75" t="s">
        <v>1447</v>
      </c>
      <c r="G792" s="76">
        <v>5.9</v>
      </c>
      <c r="L792" s="77"/>
    </row>
    <row r="793" spans="1:12" ht="15">
      <c r="A793" s="74"/>
      <c r="D793" s="75" t="s">
        <v>1448</v>
      </c>
      <c r="E793" s="75" t="s">
        <v>1449</v>
      </c>
      <c r="G793" s="76">
        <v>1.25</v>
      </c>
      <c r="L793" s="77"/>
    </row>
    <row r="794" spans="1:75" ht="13.5" customHeight="1">
      <c r="A794" s="78" t="s">
        <v>1450</v>
      </c>
      <c r="B794" s="79" t="s">
        <v>84</v>
      </c>
      <c r="C794" s="79" t="s">
        <v>1302</v>
      </c>
      <c r="D794" s="198" t="s">
        <v>1303</v>
      </c>
      <c r="E794" s="199"/>
      <c r="F794" s="79" t="s">
        <v>263</v>
      </c>
      <c r="G794" s="80">
        <v>14.73</v>
      </c>
      <c r="H794" s="81">
        <v>0</v>
      </c>
      <c r="I794" s="80">
        <f>G794*H794</f>
        <v>0</v>
      </c>
      <c r="J794" s="80">
        <v>0.059</v>
      </c>
      <c r="K794" s="80">
        <f>G794*J794</f>
        <v>0.86907</v>
      </c>
      <c r="L794" s="82" t="s">
        <v>136</v>
      </c>
      <c r="Z794" s="38">
        <f>IF(AQ794="5",BJ794,0)</f>
        <v>0</v>
      </c>
      <c r="AB794" s="38">
        <f>IF(AQ794="1",BH794,0)</f>
        <v>0</v>
      </c>
      <c r="AC794" s="38">
        <f>IF(AQ794="1",BI794,0)</f>
        <v>0</v>
      </c>
      <c r="AD794" s="38">
        <f>IF(AQ794="7",BH794,0)</f>
        <v>0</v>
      </c>
      <c r="AE794" s="38">
        <f>IF(AQ794="7",BI794,0)</f>
        <v>0</v>
      </c>
      <c r="AF794" s="38">
        <f>IF(AQ794="2",BH794,0)</f>
        <v>0</v>
      </c>
      <c r="AG794" s="38">
        <f>IF(AQ794="2",BI794,0)</f>
        <v>0</v>
      </c>
      <c r="AH794" s="38">
        <f>IF(AQ794="0",BJ794,0)</f>
        <v>0</v>
      </c>
      <c r="AI794" s="50" t="s">
        <v>84</v>
      </c>
      <c r="AJ794" s="80">
        <f>IF(AN794=0,I794,0)</f>
        <v>0</v>
      </c>
      <c r="AK794" s="80">
        <f>IF(AN794=12,I794,0)</f>
        <v>0</v>
      </c>
      <c r="AL794" s="80">
        <f>IF(AN794=21,I794,0)</f>
        <v>0</v>
      </c>
      <c r="AN794" s="38">
        <v>21</v>
      </c>
      <c r="AO794" s="38">
        <f>H794*1</f>
        <v>0</v>
      </c>
      <c r="AP794" s="38">
        <f>H794*(1-1)</f>
        <v>0</v>
      </c>
      <c r="AQ794" s="83" t="s">
        <v>169</v>
      </c>
      <c r="AV794" s="38">
        <f>AW794+AX794</f>
        <v>0</v>
      </c>
      <c r="AW794" s="38">
        <f>G794*AO794</f>
        <v>0</v>
      </c>
      <c r="AX794" s="38">
        <f>G794*AP794</f>
        <v>0</v>
      </c>
      <c r="AY794" s="72" t="s">
        <v>1442</v>
      </c>
      <c r="AZ794" s="72" t="s">
        <v>1443</v>
      </c>
      <c r="BA794" s="50" t="s">
        <v>139</v>
      </c>
      <c r="BC794" s="38">
        <f>AW794+AX794</f>
        <v>0</v>
      </c>
      <c r="BD794" s="38">
        <f>H794/(100-BE794)*100</f>
        <v>0</v>
      </c>
      <c r="BE794" s="38">
        <v>0</v>
      </c>
      <c r="BF794" s="38">
        <f>K794</f>
        <v>0.86907</v>
      </c>
      <c r="BH794" s="80">
        <f>G794*AO794</f>
        <v>0</v>
      </c>
      <c r="BI794" s="80">
        <f>G794*AP794</f>
        <v>0</v>
      </c>
      <c r="BJ794" s="80">
        <f>G794*H794</f>
        <v>0</v>
      </c>
      <c r="BK794" s="80"/>
      <c r="BL794" s="38">
        <v>781</v>
      </c>
      <c r="BW794" s="38">
        <v>21</v>
      </c>
    </row>
    <row r="795" spans="1:12" ht="15">
      <c r="A795" s="74"/>
      <c r="D795" s="75" t="s">
        <v>1451</v>
      </c>
      <c r="E795" s="75" t="s">
        <v>4</v>
      </c>
      <c r="G795" s="76">
        <v>12.81</v>
      </c>
      <c r="L795" s="77"/>
    </row>
    <row r="796" spans="1:12" ht="15">
      <c r="A796" s="74"/>
      <c r="D796" s="75" t="s">
        <v>1452</v>
      </c>
      <c r="E796" s="75" t="s">
        <v>4</v>
      </c>
      <c r="G796" s="76">
        <v>1.92</v>
      </c>
      <c r="L796" s="77"/>
    </row>
    <row r="797" spans="1:75" ht="13.5" customHeight="1">
      <c r="A797" s="1" t="s">
        <v>1453</v>
      </c>
      <c r="B797" s="2" t="s">
        <v>84</v>
      </c>
      <c r="C797" s="2" t="s">
        <v>1454</v>
      </c>
      <c r="D797" s="108" t="s">
        <v>1455</v>
      </c>
      <c r="E797" s="103"/>
      <c r="F797" s="2" t="s">
        <v>263</v>
      </c>
      <c r="G797" s="38">
        <v>5.9</v>
      </c>
      <c r="H797" s="70">
        <v>0</v>
      </c>
      <c r="I797" s="38">
        <f>G797*H797</f>
        <v>0</v>
      </c>
      <c r="J797" s="38">
        <v>0</v>
      </c>
      <c r="K797" s="38">
        <f>G797*J797</f>
        <v>0</v>
      </c>
      <c r="L797" s="71" t="s">
        <v>207</v>
      </c>
      <c r="Z797" s="38">
        <f>IF(AQ797="5",BJ797,0)</f>
        <v>0</v>
      </c>
      <c r="AB797" s="38">
        <f>IF(AQ797="1",BH797,0)</f>
        <v>0</v>
      </c>
      <c r="AC797" s="38">
        <f>IF(AQ797="1",BI797,0)</f>
        <v>0</v>
      </c>
      <c r="AD797" s="38">
        <f>IF(AQ797="7",BH797,0)</f>
        <v>0</v>
      </c>
      <c r="AE797" s="38">
        <f>IF(AQ797="7",BI797,0)</f>
        <v>0</v>
      </c>
      <c r="AF797" s="38">
        <f>IF(AQ797="2",BH797,0)</f>
        <v>0</v>
      </c>
      <c r="AG797" s="38">
        <f>IF(AQ797="2",BI797,0)</f>
        <v>0</v>
      </c>
      <c r="AH797" s="38">
        <f>IF(AQ797="0",BJ797,0)</f>
        <v>0</v>
      </c>
      <c r="AI797" s="50" t="s">
        <v>84</v>
      </c>
      <c r="AJ797" s="38">
        <f>IF(AN797=0,I797,0)</f>
        <v>0</v>
      </c>
      <c r="AK797" s="38">
        <f>IF(AN797=12,I797,0)</f>
        <v>0</v>
      </c>
      <c r="AL797" s="38">
        <f>IF(AN797=21,I797,0)</f>
        <v>0</v>
      </c>
      <c r="AN797" s="38">
        <v>21</v>
      </c>
      <c r="AO797" s="38">
        <f>H797*0</f>
        <v>0</v>
      </c>
      <c r="AP797" s="38">
        <f>H797*(1-0)</f>
        <v>0</v>
      </c>
      <c r="AQ797" s="72" t="s">
        <v>169</v>
      </c>
      <c r="AV797" s="38">
        <f>AW797+AX797</f>
        <v>0</v>
      </c>
      <c r="AW797" s="38">
        <f>G797*AO797</f>
        <v>0</v>
      </c>
      <c r="AX797" s="38">
        <f>G797*AP797</f>
        <v>0</v>
      </c>
      <c r="AY797" s="72" t="s">
        <v>1442</v>
      </c>
      <c r="AZ797" s="72" t="s">
        <v>1443</v>
      </c>
      <c r="BA797" s="50" t="s">
        <v>139</v>
      </c>
      <c r="BB797" s="73">
        <v>100027</v>
      </c>
      <c r="BC797" s="38">
        <f>AW797+AX797</f>
        <v>0</v>
      </c>
      <c r="BD797" s="38">
        <f>H797/(100-BE797)*100</f>
        <v>0</v>
      </c>
      <c r="BE797" s="38">
        <v>0</v>
      </c>
      <c r="BF797" s="38">
        <f>K797</f>
        <v>0</v>
      </c>
      <c r="BH797" s="38">
        <f>G797*AO797</f>
        <v>0</v>
      </c>
      <c r="BI797" s="38">
        <f>G797*AP797</f>
        <v>0</v>
      </c>
      <c r="BJ797" s="38">
        <f>G797*H797</f>
        <v>0</v>
      </c>
      <c r="BK797" s="38"/>
      <c r="BL797" s="38">
        <v>781</v>
      </c>
      <c r="BW797" s="38">
        <v>21</v>
      </c>
    </row>
    <row r="798" spans="1:12" ht="13.5" customHeight="1">
      <c r="A798" s="74"/>
      <c r="D798" s="194" t="s">
        <v>1456</v>
      </c>
      <c r="E798" s="195"/>
      <c r="F798" s="195"/>
      <c r="G798" s="195"/>
      <c r="H798" s="196"/>
      <c r="I798" s="195"/>
      <c r="J798" s="195"/>
      <c r="K798" s="195"/>
      <c r="L798" s="197"/>
    </row>
    <row r="799" spans="1:12" ht="15">
      <c r="A799" s="74"/>
      <c r="D799" s="75" t="s">
        <v>1446</v>
      </c>
      <c r="E799" s="75" t="s">
        <v>1447</v>
      </c>
      <c r="G799" s="76">
        <v>5.9</v>
      </c>
      <c r="L799" s="77"/>
    </row>
    <row r="800" spans="1:75" ht="13.5" customHeight="1">
      <c r="A800" s="1" t="s">
        <v>1457</v>
      </c>
      <c r="B800" s="2" t="s">
        <v>84</v>
      </c>
      <c r="C800" s="2" t="s">
        <v>1458</v>
      </c>
      <c r="D800" s="108" t="s">
        <v>1459</v>
      </c>
      <c r="E800" s="103"/>
      <c r="F800" s="2" t="s">
        <v>263</v>
      </c>
      <c r="G800" s="38">
        <v>25.2</v>
      </c>
      <c r="H800" s="70">
        <v>0</v>
      </c>
      <c r="I800" s="38">
        <f>G800*H800</f>
        <v>0</v>
      </c>
      <c r="J800" s="38">
        <v>0.06188</v>
      </c>
      <c r="K800" s="38">
        <f>G800*J800</f>
        <v>1.5593759999999999</v>
      </c>
      <c r="L800" s="71" t="s">
        <v>207</v>
      </c>
      <c r="Z800" s="38">
        <f>IF(AQ800="5",BJ800,0)</f>
        <v>0</v>
      </c>
      <c r="AB800" s="38">
        <f>IF(AQ800="1",BH800,0)</f>
        <v>0</v>
      </c>
      <c r="AC800" s="38">
        <f>IF(AQ800="1",BI800,0)</f>
        <v>0</v>
      </c>
      <c r="AD800" s="38">
        <f>IF(AQ800="7",BH800,0)</f>
        <v>0</v>
      </c>
      <c r="AE800" s="38">
        <f>IF(AQ800="7",BI800,0)</f>
        <v>0</v>
      </c>
      <c r="AF800" s="38">
        <f>IF(AQ800="2",BH800,0)</f>
        <v>0</v>
      </c>
      <c r="AG800" s="38">
        <f>IF(AQ800="2",BI800,0)</f>
        <v>0</v>
      </c>
      <c r="AH800" s="38">
        <f>IF(AQ800="0",BJ800,0)</f>
        <v>0</v>
      </c>
      <c r="AI800" s="50" t="s">
        <v>84</v>
      </c>
      <c r="AJ800" s="38">
        <f>IF(AN800=0,I800,0)</f>
        <v>0</v>
      </c>
      <c r="AK800" s="38">
        <f>IF(AN800=12,I800,0)</f>
        <v>0</v>
      </c>
      <c r="AL800" s="38">
        <f>IF(AN800=21,I800,0)</f>
        <v>0</v>
      </c>
      <c r="AN800" s="38">
        <v>21</v>
      </c>
      <c r="AO800" s="38">
        <f>H800*0.098208201</f>
        <v>0</v>
      </c>
      <c r="AP800" s="38">
        <f>H800*(1-0.098208201)</f>
        <v>0</v>
      </c>
      <c r="AQ800" s="72" t="s">
        <v>169</v>
      </c>
      <c r="AV800" s="38">
        <f>AW800+AX800</f>
        <v>0</v>
      </c>
      <c r="AW800" s="38">
        <f>G800*AO800</f>
        <v>0</v>
      </c>
      <c r="AX800" s="38">
        <f>G800*AP800</f>
        <v>0</v>
      </c>
      <c r="AY800" s="72" t="s">
        <v>1442</v>
      </c>
      <c r="AZ800" s="72" t="s">
        <v>1443</v>
      </c>
      <c r="BA800" s="50" t="s">
        <v>139</v>
      </c>
      <c r="BB800" s="73">
        <v>100027</v>
      </c>
      <c r="BC800" s="38">
        <f>AW800+AX800</f>
        <v>0</v>
      </c>
      <c r="BD800" s="38">
        <f>H800/(100-BE800)*100</f>
        <v>0</v>
      </c>
      <c r="BE800" s="38">
        <v>0</v>
      </c>
      <c r="BF800" s="38">
        <f>K800</f>
        <v>1.5593759999999999</v>
      </c>
      <c r="BH800" s="38">
        <f>G800*AO800</f>
        <v>0</v>
      </c>
      <c r="BI800" s="38">
        <f>G800*AP800</f>
        <v>0</v>
      </c>
      <c r="BJ800" s="38">
        <f>G800*H800</f>
        <v>0</v>
      </c>
      <c r="BK800" s="38"/>
      <c r="BL800" s="38">
        <v>781</v>
      </c>
      <c r="BW800" s="38">
        <v>21</v>
      </c>
    </row>
    <row r="801" spans="1:12" ht="15">
      <c r="A801" s="74"/>
      <c r="D801" s="75" t="s">
        <v>636</v>
      </c>
      <c r="E801" s="75" t="s">
        <v>1460</v>
      </c>
      <c r="G801" s="76">
        <v>25.2</v>
      </c>
      <c r="L801" s="77"/>
    </row>
    <row r="802" spans="1:75" ht="13.5" customHeight="1">
      <c r="A802" s="78" t="s">
        <v>1461</v>
      </c>
      <c r="B802" s="79" t="s">
        <v>84</v>
      </c>
      <c r="C802" s="79" t="s">
        <v>1302</v>
      </c>
      <c r="D802" s="198" t="s">
        <v>1303</v>
      </c>
      <c r="E802" s="199"/>
      <c r="F802" s="79" t="s">
        <v>263</v>
      </c>
      <c r="G802" s="80">
        <v>27.72</v>
      </c>
      <c r="H802" s="81">
        <v>0</v>
      </c>
      <c r="I802" s="80">
        <f>G802*H802</f>
        <v>0</v>
      </c>
      <c r="J802" s="80">
        <v>0.059</v>
      </c>
      <c r="K802" s="80">
        <f>G802*J802</f>
        <v>1.6354799999999998</v>
      </c>
      <c r="L802" s="82" t="s">
        <v>136</v>
      </c>
      <c r="Z802" s="38">
        <f>IF(AQ802="5",BJ802,0)</f>
        <v>0</v>
      </c>
      <c r="AB802" s="38">
        <f>IF(AQ802="1",BH802,0)</f>
        <v>0</v>
      </c>
      <c r="AC802" s="38">
        <f>IF(AQ802="1",BI802,0)</f>
        <v>0</v>
      </c>
      <c r="AD802" s="38">
        <f>IF(AQ802="7",BH802,0)</f>
        <v>0</v>
      </c>
      <c r="AE802" s="38">
        <f>IF(AQ802="7",BI802,0)</f>
        <v>0</v>
      </c>
      <c r="AF802" s="38">
        <f>IF(AQ802="2",BH802,0)</f>
        <v>0</v>
      </c>
      <c r="AG802" s="38">
        <f>IF(AQ802="2",BI802,0)</f>
        <v>0</v>
      </c>
      <c r="AH802" s="38">
        <f>IF(AQ802="0",BJ802,0)</f>
        <v>0</v>
      </c>
      <c r="AI802" s="50" t="s">
        <v>84</v>
      </c>
      <c r="AJ802" s="80">
        <f>IF(AN802=0,I802,0)</f>
        <v>0</v>
      </c>
      <c r="AK802" s="80">
        <f>IF(AN802=12,I802,0)</f>
        <v>0</v>
      </c>
      <c r="AL802" s="80">
        <f>IF(AN802=21,I802,0)</f>
        <v>0</v>
      </c>
      <c r="AN802" s="38">
        <v>21</v>
      </c>
      <c r="AO802" s="38">
        <f>H802*1</f>
        <v>0</v>
      </c>
      <c r="AP802" s="38">
        <f>H802*(1-1)</f>
        <v>0</v>
      </c>
      <c r="AQ802" s="83" t="s">
        <v>169</v>
      </c>
      <c r="AV802" s="38">
        <f>AW802+AX802</f>
        <v>0</v>
      </c>
      <c r="AW802" s="38">
        <f>G802*AO802</f>
        <v>0</v>
      </c>
      <c r="AX802" s="38">
        <f>G802*AP802</f>
        <v>0</v>
      </c>
      <c r="AY802" s="72" t="s">
        <v>1442</v>
      </c>
      <c r="AZ802" s="72" t="s">
        <v>1443</v>
      </c>
      <c r="BA802" s="50" t="s">
        <v>139</v>
      </c>
      <c r="BC802" s="38">
        <f>AW802+AX802</f>
        <v>0</v>
      </c>
      <c r="BD802" s="38">
        <f>H802/(100-BE802)*100</f>
        <v>0</v>
      </c>
      <c r="BE802" s="38">
        <v>0</v>
      </c>
      <c r="BF802" s="38">
        <f>K802</f>
        <v>1.6354799999999998</v>
      </c>
      <c r="BH802" s="80">
        <f>G802*AO802</f>
        <v>0</v>
      </c>
      <c r="BI802" s="80">
        <f>G802*AP802</f>
        <v>0</v>
      </c>
      <c r="BJ802" s="80">
        <f>G802*H802</f>
        <v>0</v>
      </c>
      <c r="BK802" s="80"/>
      <c r="BL802" s="38">
        <v>781</v>
      </c>
      <c r="BW802" s="38">
        <v>21</v>
      </c>
    </row>
    <row r="803" spans="1:12" ht="15">
      <c r="A803" s="74"/>
      <c r="D803" s="75" t="s">
        <v>636</v>
      </c>
      <c r="E803" s="75" t="s">
        <v>4</v>
      </c>
      <c r="G803" s="76">
        <v>25.2</v>
      </c>
      <c r="L803" s="77"/>
    </row>
    <row r="804" spans="1:12" ht="15">
      <c r="A804" s="74"/>
      <c r="D804" s="75" t="s">
        <v>1462</v>
      </c>
      <c r="E804" s="75" t="s">
        <v>4</v>
      </c>
      <c r="G804" s="76">
        <v>2.52</v>
      </c>
      <c r="L804" s="77"/>
    </row>
    <row r="805" spans="1:75" ht="13.5" customHeight="1">
      <c r="A805" s="1" t="s">
        <v>1463</v>
      </c>
      <c r="B805" s="2" t="s">
        <v>84</v>
      </c>
      <c r="C805" s="2" t="s">
        <v>1464</v>
      </c>
      <c r="D805" s="108" t="s">
        <v>1465</v>
      </c>
      <c r="E805" s="103"/>
      <c r="F805" s="2" t="s">
        <v>214</v>
      </c>
      <c r="G805" s="38">
        <v>5.35</v>
      </c>
      <c r="H805" s="70">
        <v>0</v>
      </c>
      <c r="I805" s="38">
        <f>G805*H805</f>
        <v>0</v>
      </c>
      <c r="J805" s="38">
        <v>0</v>
      </c>
      <c r="K805" s="38">
        <f>G805*J805</f>
        <v>0</v>
      </c>
      <c r="L805" s="71" t="s">
        <v>136</v>
      </c>
      <c r="Z805" s="38">
        <f>IF(AQ805="5",BJ805,0)</f>
        <v>0</v>
      </c>
      <c r="AB805" s="38">
        <f>IF(AQ805="1",BH805,0)</f>
        <v>0</v>
      </c>
      <c r="AC805" s="38">
        <f>IF(AQ805="1",BI805,0)</f>
        <v>0</v>
      </c>
      <c r="AD805" s="38">
        <f>IF(AQ805="7",BH805,0)</f>
        <v>0</v>
      </c>
      <c r="AE805" s="38">
        <f>IF(AQ805="7",BI805,0)</f>
        <v>0</v>
      </c>
      <c r="AF805" s="38">
        <f>IF(AQ805="2",BH805,0)</f>
        <v>0</v>
      </c>
      <c r="AG805" s="38">
        <f>IF(AQ805="2",BI805,0)</f>
        <v>0</v>
      </c>
      <c r="AH805" s="38">
        <f>IF(AQ805="0",BJ805,0)</f>
        <v>0</v>
      </c>
      <c r="AI805" s="50" t="s">
        <v>84</v>
      </c>
      <c r="AJ805" s="38">
        <f>IF(AN805=0,I805,0)</f>
        <v>0</v>
      </c>
      <c r="AK805" s="38">
        <f>IF(AN805=12,I805,0)</f>
        <v>0</v>
      </c>
      <c r="AL805" s="38">
        <f>IF(AN805=21,I805,0)</f>
        <v>0</v>
      </c>
      <c r="AN805" s="38">
        <v>21</v>
      </c>
      <c r="AO805" s="38">
        <f>H805*0.339084754</f>
        <v>0</v>
      </c>
      <c r="AP805" s="38">
        <f>H805*(1-0.339084754)</f>
        <v>0</v>
      </c>
      <c r="AQ805" s="72" t="s">
        <v>169</v>
      </c>
      <c r="AV805" s="38">
        <f>AW805+AX805</f>
        <v>0</v>
      </c>
      <c r="AW805" s="38">
        <f>G805*AO805</f>
        <v>0</v>
      </c>
      <c r="AX805" s="38">
        <f>G805*AP805</f>
        <v>0</v>
      </c>
      <c r="AY805" s="72" t="s">
        <v>1442</v>
      </c>
      <c r="AZ805" s="72" t="s">
        <v>1443</v>
      </c>
      <c r="BA805" s="50" t="s">
        <v>139</v>
      </c>
      <c r="BB805" s="73">
        <v>100027</v>
      </c>
      <c r="BC805" s="38">
        <f>AW805+AX805</f>
        <v>0</v>
      </c>
      <c r="BD805" s="38">
        <f>H805/(100-BE805)*100</f>
        <v>0</v>
      </c>
      <c r="BE805" s="38">
        <v>0</v>
      </c>
      <c r="BF805" s="38">
        <f>K805</f>
        <v>0</v>
      </c>
      <c r="BH805" s="38">
        <f>G805*AO805</f>
        <v>0</v>
      </c>
      <c r="BI805" s="38">
        <f>G805*AP805</f>
        <v>0</v>
      </c>
      <c r="BJ805" s="38">
        <f>G805*H805</f>
        <v>0</v>
      </c>
      <c r="BK805" s="38"/>
      <c r="BL805" s="38">
        <v>781</v>
      </c>
      <c r="BW805" s="38">
        <v>21</v>
      </c>
    </row>
    <row r="806" spans="1:12" ht="13.5" customHeight="1">
      <c r="A806" s="74"/>
      <c r="D806" s="194" t="s">
        <v>1466</v>
      </c>
      <c r="E806" s="195"/>
      <c r="F806" s="195"/>
      <c r="G806" s="195"/>
      <c r="H806" s="196"/>
      <c r="I806" s="195"/>
      <c r="J806" s="195"/>
      <c r="K806" s="195"/>
      <c r="L806" s="197"/>
    </row>
    <row r="807" spans="1:12" ht="15">
      <c r="A807" s="74"/>
      <c r="D807" s="75" t="s">
        <v>1467</v>
      </c>
      <c r="E807" s="75" t="s">
        <v>4</v>
      </c>
      <c r="G807" s="76">
        <v>5.35</v>
      </c>
      <c r="L807" s="77"/>
    </row>
    <row r="808" spans="1:75" ht="13.5" customHeight="1">
      <c r="A808" s="1" t="s">
        <v>1468</v>
      </c>
      <c r="B808" s="2" t="s">
        <v>84</v>
      </c>
      <c r="C808" s="2" t="s">
        <v>1469</v>
      </c>
      <c r="D808" s="108" t="s">
        <v>1470</v>
      </c>
      <c r="E808" s="103"/>
      <c r="F808" s="2" t="s">
        <v>263</v>
      </c>
      <c r="G808" s="38">
        <v>86.99</v>
      </c>
      <c r="H808" s="70">
        <v>0</v>
      </c>
      <c r="I808" s="38">
        <f>G808*H808</f>
        <v>0</v>
      </c>
      <c r="J808" s="38">
        <v>0.00535</v>
      </c>
      <c r="K808" s="38">
        <f>G808*J808</f>
        <v>0.46539649999999994</v>
      </c>
      <c r="L808" s="71" t="s">
        <v>136</v>
      </c>
      <c r="Z808" s="38">
        <f>IF(AQ808="5",BJ808,0)</f>
        <v>0</v>
      </c>
      <c r="AB808" s="38">
        <f>IF(AQ808="1",BH808,0)</f>
        <v>0</v>
      </c>
      <c r="AC808" s="38">
        <f>IF(AQ808="1",BI808,0)</f>
        <v>0</v>
      </c>
      <c r="AD808" s="38">
        <f>IF(AQ808="7",BH808,0)</f>
        <v>0</v>
      </c>
      <c r="AE808" s="38">
        <f>IF(AQ808="7",BI808,0)</f>
        <v>0</v>
      </c>
      <c r="AF808" s="38">
        <f>IF(AQ808="2",BH808,0)</f>
        <v>0</v>
      </c>
      <c r="AG808" s="38">
        <f>IF(AQ808="2",BI808,0)</f>
        <v>0</v>
      </c>
      <c r="AH808" s="38">
        <f>IF(AQ808="0",BJ808,0)</f>
        <v>0</v>
      </c>
      <c r="AI808" s="50" t="s">
        <v>84</v>
      </c>
      <c r="AJ808" s="38">
        <f>IF(AN808=0,I808,0)</f>
        <v>0</v>
      </c>
      <c r="AK808" s="38">
        <f>IF(AN808=12,I808,0)</f>
        <v>0</v>
      </c>
      <c r="AL808" s="38">
        <f>IF(AN808=21,I808,0)</f>
        <v>0</v>
      </c>
      <c r="AN808" s="38">
        <v>21</v>
      </c>
      <c r="AO808" s="38">
        <f>H808*0.214536839</f>
        <v>0</v>
      </c>
      <c r="AP808" s="38">
        <f>H808*(1-0.214536839)</f>
        <v>0</v>
      </c>
      <c r="AQ808" s="72" t="s">
        <v>169</v>
      </c>
      <c r="AV808" s="38">
        <f>AW808+AX808</f>
        <v>0</v>
      </c>
      <c r="AW808" s="38">
        <f>G808*AO808</f>
        <v>0</v>
      </c>
      <c r="AX808" s="38">
        <f>G808*AP808</f>
        <v>0</v>
      </c>
      <c r="AY808" s="72" t="s">
        <v>1442</v>
      </c>
      <c r="AZ808" s="72" t="s">
        <v>1443</v>
      </c>
      <c r="BA808" s="50" t="s">
        <v>139</v>
      </c>
      <c r="BB808" s="73">
        <v>100027</v>
      </c>
      <c r="BC808" s="38">
        <f>AW808+AX808</f>
        <v>0</v>
      </c>
      <c r="BD808" s="38">
        <f>H808/(100-BE808)*100</f>
        <v>0</v>
      </c>
      <c r="BE808" s="38">
        <v>0</v>
      </c>
      <c r="BF808" s="38">
        <f>K808</f>
        <v>0.46539649999999994</v>
      </c>
      <c r="BH808" s="38">
        <f>G808*AO808</f>
        <v>0</v>
      </c>
      <c r="BI808" s="38">
        <f>G808*AP808</f>
        <v>0</v>
      </c>
      <c r="BJ808" s="38">
        <f>G808*H808</f>
        <v>0</v>
      </c>
      <c r="BK808" s="38"/>
      <c r="BL808" s="38">
        <v>781</v>
      </c>
      <c r="BW808" s="38">
        <v>21</v>
      </c>
    </row>
    <row r="809" spans="1:12" ht="15">
      <c r="A809" s="74"/>
      <c r="D809" s="75" t="s">
        <v>1471</v>
      </c>
      <c r="E809" s="75" t="s">
        <v>847</v>
      </c>
      <c r="G809" s="76">
        <v>2.27</v>
      </c>
      <c r="L809" s="77"/>
    </row>
    <row r="810" spans="1:12" ht="15">
      <c r="A810" s="74"/>
      <c r="D810" s="75" t="s">
        <v>1472</v>
      </c>
      <c r="E810" s="75" t="s">
        <v>1347</v>
      </c>
      <c r="G810" s="76">
        <v>84.72</v>
      </c>
      <c r="L810" s="77"/>
    </row>
    <row r="811" spans="1:75" ht="13.5" customHeight="1">
      <c r="A811" s="78" t="s">
        <v>1473</v>
      </c>
      <c r="B811" s="79" t="s">
        <v>84</v>
      </c>
      <c r="C811" s="79" t="s">
        <v>1474</v>
      </c>
      <c r="D811" s="198" t="s">
        <v>1475</v>
      </c>
      <c r="E811" s="199"/>
      <c r="F811" s="79" t="s">
        <v>263</v>
      </c>
      <c r="G811" s="80">
        <v>100.73</v>
      </c>
      <c r="H811" s="81">
        <v>0</v>
      </c>
      <c r="I811" s="80">
        <f>G811*H811</f>
        <v>0</v>
      </c>
      <c r="J811" s="80">
        <v>0.01943</v>
      </c>
      <c r="K811" s="80">
        <f>G811*J811</f>
        <v>1.9571839</v>
      </c>
      <c r="L811" s="82" t="s">
        <v>207</v>
      </c>
      <c r="Z811" s="38">
        <f>IF(AQ811="5",BJ811,0)</f>
        <v>0</v>
      </c>
      <c r="AB811" s="38">
        <f>IF(AQ811="1",BH811,0)</f>
        <v>0</v>
      </c>
      <c r="AC811" s="38">
        <f>IF(AQ811="1",BI811,0)</f>
        <v>0</v>
      </c>
      <c r="AD811" s="38">
        <f>IF(AQ811="7",BH811,0)</f>
        <v>0</v>
      </c>
      <c r="AE811" s="38">
        <f>IF(AQ811="7",BI811,0)</f>
        <v>0</v>
      </c>
      <c r="AF811" s="38">
        <f>IF(AQ811="2",BH811,0)</f>
        <v>0</v>
      </c>
      <c r="AG811" s="38">
        <f>IF(AQ811="2",BI811,0)</f>
        <v>0</v>
      </c>
      <c r="AH811" s="38">
        <f>IF(AQ811="0",BJ811,0)</f>
        <v>0</v>
      </c>
      <c r="AI811" s="50" t="s">
        <v>84</v>
      </c>
      <c r="AJ811" s="80">
        <f>IF(AN811=0,I811,0)</f>
        <v>0</v>
      </c>
      <c r="AK811" s="80">
        <f>IF(AN811=12,I811,0)</f>
        <v>0</v>
      </c>
      <c r="AL811" s="80">
        <f>IF(AN811=21,I811,0)</f>
        <v>0</v>
      </c>
      <c r="AN811" s="38">
        <v>21</v>
      </c>
      <c r="AO811" s="38">
        <f>H811*1</f>
        <v>0</v>
      </c>
      <c r="AP811" s="38">
        <f>H811*(1-1)</f>
        <v>0</v>
      </c>
      <c r="AQ811" s="83" t="s">
        <v>169</v>
      </c>
      <c r="AV811" s="38">
        <f>AW811+AX811</f>
        <v>0</v>
      </c>
      <c r="AW811" s="38">
        <f>G811*AO811</f>
        <v>0</v>
      </c>
      <c r="AX811" s="38">
        <f>G811*AP811</f>
        <v>0</v>
      </c>
      <c r="AY811" s="72" t="s">
        <v>1442</v>
      </c>
      <c r="AZ811" s="72" t="s">
        <v>1443</v>
      </c>
      <c r="BA811" s="50" t="s">
        <v>139</v>
      </c>
      <c r="BC811" s="38">
        <f>AW811+AX811</f>
        <v>0</v>
      </c>
      <c r="BD811" s="38">
        <f>H811/(100-BE811)*100</f>
        <v>0</v>
      </c>
      <c r="BE811" s="38">
        <v>0</v>
      </c>
      <c r="BF811" s="38">
        <f>K811</f>
        <v>1.9571839</v>
      </c>
      <c r="BH811" s="80">
        <f>G811*AO811</f>
        <v>0</v>
      </c>
      <c r="BI811" s="80">
        <f>G811*AP811</f>
        <v>0</v>
      </c>
      <c r="BJ811" s="80">
        <f>G811*H811</f>
        <v>0</v>
      </c>
      <c r="BK811" s="80"/>
      <c r="BL811" s="38">
        <v>781</v>
      </c>
      <c r="BW811" s="38">
        <v>21</v>
      </c>
    </row>
    <row r="812" spans="1:12" ht="15">
      <c r="A812" s="74"/>
      <c r="D812" s="75" t="s">
        <v>1476</v>
      </c>
      <c r="E812" s="75" t="s">
        <v>1477</v>
      </c>
      <c r="G812" s="76">
        <v>86.99</v>
      </c>
      <c r="L812" s="77"/>
    </row>
    <row r="813" spans="1:12" ht="15">
      <c r="A813" s="74"/>
      <c r="D813" s="75" t="s">
        <v>1478</v>
      </c>
      <c r="E813" s="75" t="s">
        <v>1479</v>
      </c>
      <c r="G813" s="76">
        <v>0.6</v>
      </c>
      <c r="L813" s="77"/>
    </row>
    <row r="814" spans="1:12" ht="15">
      <c r="A814" s="74"/>
      <c r="D814" s="75" t="s">
        <v>1480</v>
      </c>
      <c r="E814" s="75" t="s">
        <v>4</v>
      </c>
      <c r="G814" s="76">
        <v>13.14</v>
      </c>
      <c r="L814" s="77"/>
    </row>
    <row r="815" spans="1:75" ht="13.5" customHeight="1">
      <c r="A815" s="1" t="s">
        <v>1481</v>
      </c>
      <c r="B815" s="2" t="s">
        <v>84</v>
      </c>
      <c r="C815" s="2" t="s">
        <v>1482</v>
      </c>
      <c r="D815" s="108" t="s">
        <v>1483</v>
      </c>
      <c r="E815" s="103"/>
      <c r="F815" s="2" t="s">
        <v>214</v>
      </c>
      <c r="G815" s="38">
        <v>1.58</v>
      </c>
      <c r="H815" s="70">
        <v>0</v>
      </c>
      <c r="I815" s="38">
        <f>G815*H815</f>
        <v>0</v>
      </c>
      <c r="J815" s="38">
        <v>0</v>
      </c>
      <c r="K815" s="38">
        <f>G815*J815</f>
        <v>0</v>
      </c>
      <c r="L815" s="71" t="s">
        <v>136</v>
      </c>
      <c r="Z815" s="38">
        <f>IF(AQ815="5",BJ815,0)</f>
        <v>0</v>
      </c>
      <c r="AB815" s="38">
        <f>IF(AQ815="1",BH815,0)</f>
        <v>0</v>
      </c>
      <c r="AC815" s="38">
        <f>IF(AQ815="1",BI815,0)</f>
        <v>0</v>
      </c>
      <c r="AD815" s="38">
        <f>IF(AQ815="7",BH815,0)</f>
        <v>0</v>
      </c>
      <c r="AE815" s="38">
        <f>IF(AQ815="7",BI815,0)</f>
        <v>0</v>
      </c>
      <c r="AF815" s="38">
        <f>IF(AQ815="2",BH815,0)</f>
        <v>0</v>
      </c>
      <c r="AG815" s="38">
        <f>IF(AQ815="2",BI815,0)</f>
        <v>0</v>
      </c>
      <c r="AH815" s="38">
        <f>IF(AQ815="0",BJ815,0)</f>
        <v>0</v>
      </c>
      <c r="AI815" s="50" t="s">
        <v>84</v>
      </c>
      <c r="AJ815" s="38">
        <f>IF(AN815=0,I815,0)</f>
        <v>0</v>
      </c>
      <c r="AK815" s="38">
        <f>IF(AN815=12,I815,0)</f>
        <v>0</v>
      </c>
      <c r="AL815" s="38">
        <f>IF(AN815=21,I815,0)</f>
        <v>0</v>
      </c>
      <c r="AN815" s="38">
        <v>21</v>
      </c>
      <c r="AO815" s="38">
        <f>H815*0</f>
        <v>0</v>
      </c>
      <c r="AP815" s="38">
        <f>H815*(1-0)</f>
        <v>0</v>
      </c>
      <c r="AQ815" s="72" t="s">
        <v>169</v>
      </c>
      <c r="AV815" s="38">
        <f>AW815+AX815</f>
        <v>0</v>
      </c>
      <c r="AW815" s="38">
        <f>G815*AO815</f>
        <v>0</v>
      </c>
      <c r="AX815" s="38">
        <f>G815*AP815</f>
        <v>0</v>
      </c>
      <c r="AY815" s="72" t="s">
        <v>1442</v>
      </c>
      <c r="AZ815" s="72" t="s">
        <v>1443</v>
      </c>
      <c r="BA815" s="50" t="s">
        <v>139</v>
      </c>
      <c r="BB815" s="73">
        <v>100027</v>
      </c>
      <c r="BC815" s="38">
        <f>AW815+AX815</f>
        <v>0</v>
      </c>
      <c r="BD815" s="38">
        <f>H815/(100-BE815)*100</f>
        <v>0</v>
      </c>
      <c r="BE815" s="38">
        <v>0</v>
      </c>
      <c r="BF815" s="38">
        <f>K815</f>
        <v>0</v>
      </c>
      <c r="BH815" s="38">
        <f>G815*AO815</f>
        <v>0</v>
      </c>
      <c r="BI815" s="38">
        <f>G815*AP815</f>
        <v>0</v>
      </c>
      <c r="BJ815" s="38">
        <f>G815*H815</f>
        <v>0</v>
      </c>
      <c r="BK815" s="38"/>
      <c r="BL815" s="38">
        <v>781</v>
      </c>
      <c r="BW815" s="38">
        <v>21</v>
      </c>
    </row>
    <row r="816" spans="1:12" ht="15">
      <c r="A816" s="74"/>
      <c r="D816" s="75" t="s">
        <v>1013</v>
      </c>
      <c r="E816" s="75" t="s">
        <v>1484</v>
      </c>
      <c r="G816" s="76">
        <v>0.98</v>
      </c>
      <c r="L816" s="77"/>
    </row>
    <row r="817" spans="1:12" ht="15">
      <c r="A817" s="74"/>
      <c r="D817" s="75" t="s">
        <v>1485</v>
      </c>
      <c r="E817" s="75" t="s">
        <v>1486</v>
      </c>
      <c r="G817" s="76">
        <v>0.6</v>
      </c>
      <c r="L817" s="77"/>
    </row>
    <row r="818" spans="1:75" ht="13.5" customHeight="1">
      <c r="A818" s="1" t="s">
        <v>1487</v>
      </c>
      <c r="B818" s="2" t="s">
        <v>84</v>
      </c>
      <c r="C818" s="2" t="s">
        <v>1488</v>
      </c>
      <c r="D818" s="108" t="s">
        <v>1489</v>
      </c>
      <c r="E818" s="103"/>
      <c r="F818" s="2" t="s">
        <v>214</v>
      </c>
      <c r="G818" s="38">
        <v>0.6</v>
      </c>
      <c r="H818" s="70">
        <v>0</v>
      </c>
      <c r="I818" s="38">
        <f>G818*H818</f>
        <v>0</v>
      </c>
      <c r="J818" s="38">
        <v>0</v>
      </c>
      <c r="K818" s="38">
        <f>G818*J818</f>
        <v>0</v>
      </c>
      <c r="L818" s="71" t="s">
        <v>207</v>
      </c>
      <c r="Z818" s="38">
        <f>IF(AQ818="5",BJ818,0)</f>
        <v>0</v>
      </c>
      <c r="AB818" s="38">
        <f>IF(AQ818="1",BH818,0)</f>
        <v>0</v>
      </c>
      <c r="AC818" s="38">
        <f>IF(AQ818="1",BI818,0)</f>
        <v>0</v>
      </c>
      <c r="AD818" s="38">
        <f>IF(AQ818="7",BH818,0)</f>
        <v>0</v>
      </c>
      <c r="AE818" s="38">
        <f>IF(AQ818="7",BI818,0)</f>
        <v>0</v>
      </c>
      <c r="AF818" s="38">
        <f>IF(AQ818="2",BH818,0)</f>
        <v>0</v>
      </c>
      <c r="AG818" s="38">
        <f>IF(AQ818="2",BI818,0)</f>
        <v>0</v>
      </c>
      <c r="AH818" s="38">
        <f>IF(AQ818="0",BJ818,0)</f>
        <v>0</v>
      </c>
      <c r="AI818" s="50" t="s">
        <v>84</v>
      </c>
      <c r="AJ818" s="38">
        <f>IF(AN818=0,I818,0)</f>
        <v>0</v>
      </c>
      <c r="AK818" s="38">
        <f>IF(AN818=12,I818,0)</f>
        <v>0</v>
      </c>
      <c r="AL818" s="38">
        <f>IF(AN818=21,I818,0)</f>
        <v>0</v>
      </c>
      <c r="AN818" s="38">
        <v>21</v>
      </c>
      <c r="AO818" s="38">
        <f>H818*0.146341463</f>
        <v>0</v>
      </c>
      <c r="AP818" s="38">
        <f>H818*(1-0.146341463)</f>
        <v>0</v>
      </c>
      <c r="AQ818" s="72" t="s">
        <v>169</v>
      </c>
      <c r="AV818" s="38">
        <f>AW818+AX818</f>
        <v>0</v>
      </c>
      <c r="AW818" s="38">
        <f>G818*AO818</f>
        <v>0</v>
      </c>
      <c r="AX818" s="38">
        <f>G818*AP818</f>
        <v>0</v>
      </c>
      <c r="AY818" s="72" t="s">
        <v>1442</v>
      </c>
      <c r="AZ818" s="72" t="s">
        <v>1443</v>
      </c>
      <c r="BA818" s="50" t="s">
        <v>139</v>
      </c>
      <c r="BB818" s="73">
        <v>100027</v>
      </c>
      <c r="BC818" s="38">
        <f>AW818+AX818</f>
        <v>0</v>
      </c>
      <c r="BD818" s="38">
        <f>H818/(100-BE818)*100</f>
        <v>0</v>
      </c>
      <c r="BE818" s="38">
        <v>0</v>
      </c>
      <c r="BF818" s="38">
        <f>K818</f>
        <v>0</v>
      </c>
      <c r="BH818" s="38">
        <f>G818*AO818</f>
        <v>0</v>
      </c>
      <c r="BI818" s="38">
        <f>G818*AP818</f>
        <v>0</v>
      </c>
      <c r="BJ818" s="38">
        <f>G818*H818</f>
        <v>0</v>
      </c>
      <c r="BK818" s="38"/>
      <c r="BL818" s="38">
        <v>781</v>
      </c>
      <c r="BW818" s="38">
        <v>21</v>
      </c>
    </row>
    <row r="819" spans="1:12" ht="13.5" customHeight="1">
      <c r="A819" s="74"/>
      <c r="D819" s="194" t="s">
        <v>1490</v>
      </c>
      <c r="E819" s="195"/>
      <c r="F819" s="195"/>
      <c r="G819" s="195"/>
      <c r="H819" s="196"/>
      <c r="I819" s="195"/>
      <c r="J819" s="195"/>
      <c r="K819" s="195"/>
      <c r="L819" s="197"/>
    </row>
    <row r="820" spans="1:12" ht="15">
      <c r="A820" s="74"/>
      <c r="D820" s="75" t="s">
        <v>1485</v>
      </c>
      <c r="E820" s="75" t="s">
        <v>1486</v>
      </c>
      <c r="G820" s="76">
        <v>0.6</v>
      </c>
      <c r="L820" s="77"/>
    </row>
    <row r="821" spans="1:75" ht="13.5" customHeight="1">
      <c r="A821" s="1" t="s">
        <v>1491</v>
      </c>
      <c r="B821" s="2" t="s">
        <v>84</v>
      </c>
      <c r="C821" s="2" t="s">
        <v>1492</v>
      </c>
      <c r="D821" s="108" t="s">
        <v>1493</v>
      </c>
      <c r="E821" s="103"/>
      <c r="F821" s="2" t="s">
        <v>263</v>
      </c>
      <c r="G821" s="38">
        <v>87.59</v>
      </c>
      <c r="H821" s="70">
        <v>0</v>
      </c>
      <c r="I821" s="38">
        <f>G821*H821</f>
        <v>0</v>
      </c>
      <c r="J821" s="38">
        <v>0.0004</v>
      </c>
      <c r="K821" s="38">
        <f>G821*J821</f>
        <v>0.035036000000000005</v>
      </c>
      <c r="L821" s="71" t="s">
        <v>136</v>
      </c>
      <c r="Z821" s="38">
        <f>IF(AQ821="5",BJ821,0)</f>
        <v>0</v>
      </c>
      <c r="AB821" s="38">
        <f>IF(AQ821="1",BH821,0)</f>
        <v>0</v>
      </c>
      <c r="AC821" s="38">
        <f>IF(AQ821="1",BI821,0)</f>
        <v>0</v>
      </c>
      <c r="AD821" s="38">
        <f>IF(AQ821="7",BH821,0)</f>
        <v>0</v>
      </c>
      <c r="AE821" s="38">
        <f>IF(AQ821="7",BI821,0)</f>
        <v>0</v>
      </c>
      <c r="AF821" s="38">
        <f>IF(AQ821="2",BH821,0)</f>
        <v>0</v>
      </c>
      <c r="AG821" s="38">
        <f>IF(AQ821="2",BI821,0)</f>
        <v>0</v>
      </c>
      <c r="AH821" s="38">
        <f>IF(AQ821="0",BJ821,0)</f>
        <v>0</v>
      </c>
      <c r="AI821" s="50" t="s">
        <v>84</v>
      </c>
      <c r="AJ821" s="38">
        <f>IF(AN821=0,I821,0)</f>
        <v>0</v>
      </c>
      <c r="AK821" s="38">
        <f>IF(AN821=12,I821,0)</f>
        <v>0</v>
      </c>
      <c r="AL821" s="38">
        <f>IF(AN821=21,I821,0)</f>
        <v>0</v>
      </c>
      <c r="AN821" s="38">
        <v>21</v>
      </c>
      <c r="AO821" s="38">
        <f>H821*1.000002927</f>
        <v>0</v>
      </c>
      <c r="AP821" s="38">
        <f>H821*(1-1.000002927)</f>
        <v>0</v>
      </c>
      <c r="AQ821" s="72" t="s">
        <v>169</v>
      </c>
      <c r="AV821" s="38">
        <f>AW821+AX821</f>
        <v>0</v>
      </c>
      <c r="AW821" s="38">
        <f>G821*AO821</f>
        <v>0</v>
      </c>
      <c r="AX821" s="38">
        <f>G821*AP821</f>
        <v>0</v>
      </c>
      <c r="AY821" s="72" t="s">
        <v>1442</v>
      </c>
      <c r="AZ821" s="72" t="s">
        <v>1443</v>
      </c>
      <c r="BA821" s="50" t="s">
        <v>139</v>
      </c>
      <c r="BB821" s="73">
        <v>100027</v>
      </c>
      <c r="BC821" s="38">
        <f>AW821+AX821</f>
        <v>0</v>
      </c>
      <c r="BD821" s="38">
        <f>H821/(100-BE821)*100</f>
        <v>0</v>
      </c>
      <c r="BE821" s="38">
        <v>0</v>
      </c>
      <c r="BF821" s="38">
        <f>K821</f>
        <v>0.035036000000000005</v>
      </c>
      <c r="BH821" s="38">
        <f>G821*AO821</f>
        <v>0</v>
      </c>
      <c r="BI821" s="38">
        <f>G821*AP821</f>
        <v>0</v>
      </c>
      <c r="BJ821" s="38">
        <f>G821*H821</f>
        <v>0</v>
      </c>
      <c r="BK821" s="38"/>
      <c r="BL821" s="38">
        <v>781</v>
      </c>
      <c r="BW821" s="38">
        <v>21</v>
      </c>
    </row>
    <row r="822" spans="1:12" ht="13.5" customHeight="1">
      <c r="A822" s="74"/>
      <c r="D822" s="194" t="s">
        <v>1494</v>
      </c>
      <c r="E822" s="195"/>
      <c r="F822" s="195"/>
      <c r="G822" s="195"/>
      <c r="H822" s="196"/>
      <c r="I822" s="195"/>
      <c r="J822" s="195"/>
      <c r="K822" s="195"/>
      <c r="L822" s="197"/>
    </row>
    <row r="823" spans="1:12" ht="15">
      <c r="A823" s="74"/>
      <c r="D823" s="75" t="s">
        <v>1495</v>
      </c>
      <c r="E823" s="75" t="s">
        <v>4</v>
      </c>
      <c r="G823" s="76">
        <v>87.59</v>
      </c>
      <c r="L823" s="77"/>
    </row>
    <row r="824" spans="1:75" ht="13.5" customHeight="1">
      <c r="A824" s="1" t="s">
        <v>1496</v>
      </c>
      <c r="B824" s="2" t="s">
        <v>84</v>
      </c>
      <c r="C824" s="2" t="s">
        <v>1497</v>
      </c>
      <c r="D824" s="108" t="s">
        <v>1465</v>
      </c>
      <c r="E824" s="103"/>
      <c r="F824" s="2" t="s">
        <v>214</v>
      </c>
      <c r="G824" s="38">
        <v>3.68</v>
      </c>
      <c r="H824" s="70">
        <v>0</v>
      </c>
      <c r="I824" s="38">
        <f>G824*H824</f>
        <v>0</v>
      </c>
      <c r="J824" s="38">
        <v>0</v>
      </c>
      <c r="K824" s="38">
        <f>G824*J824</f>
        <v>0</v>
      </c>
      <c r="L824" s="71" t="s">
        <v>136</v>
      </c>
      <c r="Z824" s="38">
        <f>IF(AQ824="5",BJ824,0)</f>
        <v>0</v>
      </c>
      <c r="AB824" s="38">
        <f>IF(AQ824="1",BH824,0)</f>
        <v>0</v>
      </c>
      <c r="AC824" s="38">
        <f>IF(AQ824="1",BI824,0)</f>
        <v>0</v>
      </c>
      <c r="AD824" s="38">
        <f>IF(AQ824="7",BH824,0)</f>
        <v>0</v>
      </c>
      <c r="AE824" s="38">
        <f>IF(AQ824="7",BI824,0)</f>
        <v>0</v>
      </c>
      <c r="AF824" s="38">
        <f>IF(AQ824="2",BH824,0)</f>
        <v>0</v>
      </c>
      <c r="AG824" s="38">
        <f>IF(AQ824="2",BI824,0)</f>
        <v>0</v>
      </c>
      <c r="AH824" s="38">
        <f>IF(AQ824="0",BJ824,0)</f>
        <v>0</v>
      </c>
      <c r="AI824" s="50" t="s">
        <v>84</v>
      </c>
      <c r="AJ824" s="38">
        <f>IF(AN824=0,I824,0)</f>
        <v>0</v>
      </c>
      <c r="AK824" s="38">
        <f>IF(AN824=12,I824,0)</f>
        <v>0</v>
      </c>
      <c r="AL824" s="38">
        <f>IF(AN824=21,I824,0)</f>
        <v>0</v>
      </c>
      <c r="AN824" s="38">
        <v>21</v>
      </c>
      <c r="AO824" s="38">
        <f>H824*0.245517027</f>
        <v>0</v>
      </c>
      <c r="AP824" s="38">
        <f>H824*(1-0.245517027)</f>
        <v>0</v>
      </c>
      <c r="AQ824" s="72" t="s">
        <v>169</v>
      </c>
      <c r="AV824" s="38">
        <f>AW824+AX824</f>
        <v>0</v>
      </c>
      <c r="AW824" s="38">
        <f>G824*AO824</f>
        <v>0</v>
      </c>
      <c r="AX824" s="38">
        <f>G824*AP824</f>
        <v>0</v>
      </c>
      <c r="AY824" s="72" t="s">
        <v>1442</v>
      </c>
      <c r="AZ824" s="72" t="s">
        <v>1443</v>
      </c>
      <c r="BA824" s="50" t="s">
        <v>139</v>
      </c>
      <c r="BB824" s="73">
        <v>100027</v>
      </c>
      <c r="BC824" s="38">
        <f>AW824+AX824</f>
        <v>0</v>
      </c>
      <c r="BD824" s="38">
        <f>H824/(100-BE824)*100</f>
        <v>0</v>
      </c>
      <c r="BE824" s="38">
        <v>0</v>
      </c>
      <c r="BF824" s="38">
        <f>K824</f>
        <v>0</v>
      </c>
      <c r="BH824" s="38">
        <f>G824*AO824</f>
        <v>0</v>
      </c>
      <c r="BI824" s="38">
        <f>G824*AP824</f>
        <v>0</v>
      </c>
      <c r="BJ824" s="38">
        <f>G824*H824</f>
        <v>0</v>
      </c>
      <c r="BK824" s="38"/>
      <c r="BL824" s="38">
        <v>781</v>
      </c>
      <c r="BW824" s="38">
        <v>21</v>
      </c>
    </row>
    <row r="825" spans="1:12" ht="13.5" customHeight="1">
      <c r="A825" s="74"/>
      <c r="D825" s="194" t="s">
        <v>1498</v>
      </c>
      <c r="E825" s="195"/>
      <c r="F825" s="195"/>
      <c r="G825" s="195"/>
      <c r="H825" s="196"/>
      <c r="I825" s="195"/>
      <c r="J825" s="195"/>
      <c r="K825" s="195"/>
      <c r="L825" s="197"/>
    </row>
    <row r="826" spans="1:12" ht="15">
      <c r="A826" s="74"/>
      <c r="D826" s="75" t="s">
        <v>1499</v>
      </c>
      <c r="E826" s="75" t="s">
        <v>4</v>
      </c>
      <c r="G826" s="76">
        <v>3.68</v>
      </c>
      <c r="L826" s="77"/>
    </row>
    <row r="827" spans="1:75" ht="13.5" customHeight="1">
      <c r="A827" s="1" t="s">
        <v>1500</v>
      </c>
      <c r="B827" s="2" t="s">
        <v>84</v>
      </c>
      <c r="C827" s="2" t="s">
        <v>1501</v>
      </c>
      <c r="D827" s="108" t="s">
        <v>1502</v>
      </c>
      <c r="E827" s="103"/>
      <c r="F827" s="2" t="s">
        <v>189</v>
      </c>
      <c r="G827" s="38">
        <v>7.39</v>
      </c>
      <c r="H827" s="70">
        <v>0</v>
      </c>
      <c r="I827" s="38">
        <f>G827*H827</f>
        <v>0</v>
      </c>
      <c r="J827" s="38">
        <v>0</v>
      </c>
      <c r="K827" s="38">
        <f>G827*J827</f>
        <v>0</v>
      </c>
      <c r="L827" s="71" t="s">
        <v>136</v>
      </c>
      <c r="Z827" s="38">
        <f>IF(AQ827="5",BJ827,0)</f>
        <v>0</v>
      </c>
      <c r="AB827" s="38">
        <f>IF(AQ827="1",BH827,0)</f>
        <v>0</v>
      </c>
      <c r="AC827" s="38">
        <f>IF(AQ827="1",BI827,0)</f>
        <v>0</v>
      </c>
      <c r="AD827" s="38">
        <f>IF(AQ827="7",BH827,0)</f>
        <v>0</v>
      </c>
      <c r="AE827" s="38">
        <f>IF(AQ827="7",BI827,0)</f>
        <v>0</v>
      </c>
      <c r="AF827" s="38">
        <f>IF(AQ827="2",BH827,0)</f>
        <v>0</v>
      </c>
      <c r="AG827" s="38">
        <f>IF(AQ827="2",BI827,0)</f>
        <v>0</v>
      </c>
      <c r="AH827" s="38">
        <f>IF(AQ827="0",BJ827,0)</f>
        <v>0</v>
      </c>
      <c r="AI827" s="50" t="s">
        <v>84</v>
      </c>
      <c r="AJ827" s="38">
        <f>IF(AN827=0,I827,0)</f>
        <v>0</v>
      </c>
      <c r="AK827" s="38">
        <f>IF(AN827=12,I827,0)</f>
        <v>0</v>
      </c>
      <c r="AL827" s="38">
        <f>IF(AN827=21,I827,0)</f>
        <v>0</v>
      </c>
      <c r="AN827" s="38">
        <v>21</v>
      </c>
      <c r="AO827" s="38">
        <f>H827*0</f>
        <v>0</v>
      </c>
      <c r="AP827" s="38">
        <f>H827*(1-0)</f>
        <v>0</v>
      </c>
      <c r="AQ827" s="72" t="s">
        <v>162</v>
      </c>
      <c r="AV827" s="38">
        <f>AW827+AX827</f>
        <v>0</v>
      </c>
      <c r="AW827" s="38">
        <f>G827*AO827</f>
        <v>0</v>
      </c>
      <c r="AX827" s="38">
        <f>G827*AP827</f>
        <v>0</v>
      </c>
      <c r="AY827" s="72" t="s">
        <v>1442</v>
      </c>
      <c r="AZ827" s="72" t="s">
        <v>1443</v>
      </c>
      <c r="BA827" s="50" t="s">
        <v>139</v>
      </c>
      <c r="BC827" s="38">
        <f>AW827+AX827</f>
        <v>0</v>
      </c>
      <c r="BD827" s="38">
        <f>H827/(100-BE827)*100</f>
        <v>0</v>
      </c>
      <c r="BE827" s="38">
        <v>0</v>
      </c>
      <c r="BF827" s="38">
        <f>K827</f>
        <v>0</v>
      </c>
      <c r="BH827" s="38">
        <f>G827*AO827</f>
        <v>0</v>
      </c>
      <c r="BI827" s="38">
        <f>G827*AP827</f>
        <v>0</v>
      </c>
      <c r="BJ827" s="38">
        <f>G827*H827</f>
        <v>0</v>
      </c>
      <c r="BK827" s="38"/>
      <c r="BL827" s="38">
        <v>781</v>
      </c>
      <c r="BW827" s="38">
        <v>21</v>
      </c>
    </row>
    <row r="828" spans="1:12" ht="15">
      <c r="A828" s="74"/>
      <c r="D828" s="75" t="s">
        <v>1503</v>
      </c>
      <c r="E828" s="75" t="s">
        <v>4</v>
      </c>
      <c r="G828" s="76">
        <v>7.39</v>
      </c>
      <c r="L828" s="77"/>
    </row>
    <row r="829" spans="1:47" ht="15">
      <c r="A829" s="65" t="s">
        <v>4</v>
      </c>
      <c r="B829" s="66" t="s">
        <v>84</v>
      </c>
      <c r="C829" s="66" t="s">
        <v>1504</v>
      </c>
      <c r="D829" s="192" t="s">
        <v>1505</v>
      </c>
      <c r="E829" s="193"/>
      <c r="F829" s="67" t="s">
        <v>78</v>
      </c>
      <c r="G829" s="67" t="s">
        <v>78</v>
      </c>
      <c r="H829" s="68" t="s">
        <v>78</v>
      </c>
      <c r="I829" s="44">
        <f>SUM(I830:I843)</f>
        <v>0</v>
      </c>
      <c r="J829" s="50" t="s">
        <v>4</v>
      </c>
      <c r="K829" s="44">
        <f>SUM(K830:K843)</f>
        <v>0.054904999999999995</v>
      </c>
      <c r="L829" s="69" t="s">
        <v>4</v>
      </c>
      <c r="AI829" s="50" t="s">
        <v>84</v>
      </c>
      <c r="AS829" s="44">
        <f>SUM(AJ830:AJ843)</f>
        <v>0</v>
      </c>
      <c r="AT829" s="44">
        <f>SUM(AK830:AK843)</f>
        <v>0</v>
      </c>
      <c r="AU829" s="44">
        <f>SUM(AL830:AL843)</f>
        <v>0</v>
      </c>
    </row>
    <row r="830" spans="1:75" ht="13.5" customHeight="1">
      <c r="A830" s="1" t="s">
        <v>1506</v>
      </c>
      <c r="B830" s="2" t="s">
        <v>84</v>
      </c>
      <c r="C830" s="2" t="s">
        <v>1507</v>
      </c>
      <c r="D830" s="108" t="s">
        <v>1508</v>
      </c>
      <c r="E830" s="103"/>
      <c r="F830" s="2" t="s">
        <v>263</v>
      </c>
      <c r="G830" s="38">
        <v>117.41</v>
      </c>
      <c r="H830" s="70">
        <v>0</v>
      </c>
      <c r="I830" s="38">
        <f>G830*H830</f>
        <v>0</v>
      </c>
      <c r="J830" s="38">
        <v>0.0003</v>
      </c>
      <c r="K830" s="38">
        <f>G830*J830</f>
        <v>0.035223</v>
      </c>
      <c r="L830" s="71" t="s">
        <v>136</v>
      </c>
      <c r="Z830" s="38">
        <f>IF(AQ830="5",BJ830,0)</f>
        <v>0</v>
      </c>
      <c r="AB830" s="38">
        <f>IF(AQ830="1",BH830,0)</f>
        <v>0</v>
      </c>
      <c r="AC830" s="38">
        <f>IF(AQ830="1",BI830,0)</f>
        <v>0</v>
      </c>
      <c r="AD830" s="38">
        <f>IF(AQ830="7",BH830,0)</f>
        <v>0</v>
      </c>
      <c r="AE830" s="38">
        <f>IF(AQ830="7",BI830,0)</f>
        <v>0</v>
      </c>
      <c r="AF830" s="38">
        <f>IF(AQ830="2",BH830,0)</f>
        <v>0</v>
      </c>
      <c r="AG830" s="38">
        <f>IF(AQ830="2",BI830,0)</f>
        <v>0</v>
      </c>
      <c r="AH830" s="38">
        <f>IF(AQ830="0",BJ830,0)</f>
        <v>0</v>
      </c>
      <c r="AI830" s="50" t="s">
        <v>84</v>
      </c>
      <c r="AJ830" s="38">
        <f>IF(AN830=0,I830,0)</f>
        <v>0</v>
      </c>
      <c r="AK830" s="38">
        <f>IF(AN830=12,I830,0)</f>
        <v>0</v>
      </c>
      <c r="AL830" s="38">
        <f>IF(AN830=21,I830,0)</f>
        <v>0</v>
      </c>
      <c r="AN830" s="38">
        <v>21</v>
      </c>
      <c r="AO830" s="38">
        <f>H830*0.273895465</f>
        <v>0</v>
      </c>
      <c r="AP830" s="38">
        <f>H830*(1-0.273895465)</f>
        <v>0</v>
      </c>
      <c r="AQ830" s="72" t="s">
        <v>169</v>
      </c>
      <c r="AV830" s="38">
        <f>AW830+AX830</f>
        <v>0</v>
      </c>
      <c r="AW830" s="38">
        <f>G830*AO830</f>
        <v>0</v>
      </c>
      <c r="AX830" s="38">
        <f>G830*AP830</f>
        <v>0</v>
      </c>
      <c r="AY830" s="72" t="s">
        <v>1509</v>
      </c>
      <c r="AZ830" s="72" t="s">
        <v>1443</v>
      </c>
      <c r="BA830" s="50" t="s">
        <v>139</v>
      </c>
      <c r="BB830" s="73">
        <v>100047</v>
      </c>
      <c r="BC830" s="38">
        <f>AW830+AX830</f>
        <v>0</v>
      </c>
      <c r="BD830" s="38">
        <f>H830/(100-BE830)*100</f>
        <v>0</v>
      </c>
      <c r="BE830" s="38">
        <v>0</v>
      </c>
      <c r="BF830" s="38">
        <f>K830</f>
        <v>0.035223</v>
      </c>
      <c r="BH830" s="38">
        <f>G830*AO830</f>
        <v>0</v>
      </c>
      <c r="BI830" s="38">
        <f>G830*AP830</f>
        <v>0</v>
      </c>
      <c r="BJ830" s="38">
        <f>G830*H830</f>
        <v>0</v>
      </c>
      <c r="BK830" s="38"/>
      <c r="BL830" s="38">
        <v>783</v>
      </c>
      <c r="BW830" s="38">
        <v>21</v>
      </c>
    </row>
    <row r="831" spans="1:12" ht="13.5" customHeight="1">
      <c r="A831" s="74"/>
      <c r="D831" s="194" t="s">
        <v>1510</v>
      </c>
      <c r="E831" s="195"/>
      <c r="F831" s="195"/>
      <c r="G831" s="195"/>
      <c r="H831" s="196"/>
      <c r="I831" s="195"/>
      <c r="J831" s="195"/>
      <c r="K831" s="195"/>
      <c r="L831" s="197"/>
    </row>
    <row r="832" spans="1:12" ht="15">
      <c r="A832" s="74"/>
      <c r="D832" s="75" t="s">
        <v>1511</v>
      </c>
      <c r="E832" s="75" t="s">
        <v>1512</v>
      </c>
      <c r="G832" s="76">
        <v>9</v>
      </c>
      <c r="L832" s="77"/>
    </row>
    <row r="833" spans="1:12" ht="15">
      <c r="A833" s="74"/>
      <c r="D833" s="75" t="s">
        <v>1167</v>
      </c>
      <c r="E833" s="75" t="s">
        <v>1513</v>
      </c>
      <c r="G833" s="76">
        <v>22.5</v>
      </c>
      <c r="L833" s="77"/>
    </row>
    <row r="834" spans="1:12" ht="15">
      <c r="A834" s="74"/>
      <c r="D834" s="75" t="s">
        <v>1514</v>
      </c>
      <c r="E834" s="75" t="s">
        <v>1515</v>
      </c>
      <c r="G834" s="76">
        <v>33.71</v>
      </c>
      <c r="L834" s="77"/>
    </row>
    <row r="835" spans="1:12" ht="15">
      <c r="A835" s="74"/>
      <c r="D835" s="75" t="s">
        <v>1516</v>
      </c>
      <c r="E835" s="75" t="s">
        <v>1517</v>
      </c>
      <c r="G835" s="76">
        <v>52.2</v>
      </c>
      <c r="L835" s="77"/>
    </row>
    <row r="836" spans="1:75" ht="13.5" customHeight="1">
      <c r="A836" s="1" t="s">
        <v>1518</v>
      </c>
      <c r="B836" s="2" t="s">
        <v>84</v>
      </c>
      <c r="C836" s="2" t="s">
        <v>1519</v>
      </c>
      <c r="D836" s="108" t="s">
        <v>1520</v>
      </c>
      <c r="E836" s="103"/>
      <c r="F836" s="2" t="s">
        <v>263</v>
      </c>
      <c r="G836" s="38">
        <v>22.5</v>
      </c>
      <c r="H836" s="70">
        <v>0</v>
      </c>
      <c r="I836" s="38">
        <f>G836*H836</f>
        <v>0</v>
      </c>
      <c r="J836" s="38">
        <v>0.00032</v>
      </c>
      <c r="K836" s="38">
        <f>G836*J836</f>
        <v>0.007200000000000001</v>
      </c>
      <c r="L836" s="71" t="s">
        <v>136</v>
      </c>
      <c r="Z836" s="38">
        <f>IF(AQ836="5",BJ836,0)</f>
        <v>0</v>
      </c>
      <c r="AB836" s="38">
        <f>IF(AQ836="1",BH836,0)</f>
        <v>0</v>
      </c>
      <c r="AC836" s="38">
        <f>IF(AQ836="1",BI836,0)</f>
        <v>0</v>
      </c>
      <c r="AD836" s="38">
        <f>IF(AQ836="7",BH836,0)</f>
        <v>0</v>
      </c>
      <c r="AE836" s="38">
        <f>IF(AQ836="7",BI836,0)</f>
        <v>0</v>
      </c>
      <c r="AF836" s="38">
        <f>IF(AQ836="2",BH836,0)</f>
        <v>0</v>
      </c>
      <c r="AG836" s="38">
        <f>IF(AQ836="2",BI836,0)</f>
        <v>0</v>
      </c>
      <c r="AH836" s="38">
        <f>IF(AQ836="0",BJ836,0)</f>
        <v>0</v>
      </c>
      <c r="AI836" s="50" t="s">
        <v>84</v>
      </c>
      <c r="AJ836" s="38">
        <f>IF(AN836=0,I836,0)</f>
        <v>0</v>
      </c>
      <c r="AK836" s="38">
        <f>IF(AN836=12,I836,0)</f>
        <v>0</v>
      </c>
      <c r="AL836" s="38">
        <f>IF(AN836=21,I836,0)</f>
        <v>0</v>
      </c>
      <c r="AN836" s="38">
        <v>21</v>
      </c>
      <c r="AO836" s="38">
        <f>H836*0.423356712</f>
        <v>0</v>
      </c>
      <c r="AP836" s="38">
        <f>H836*(1-0.423356712)</f>
        <v>0</v>
      </c>
      <c r="AQ836" s="72" t="s">
        <v>169</v>
      </c>
      <c r="AV836" s="38">
        <f>AW836+AX836</f>
        <v>0</v>
      </c>
      <c r="AW836" s="38">
        <f>G836*AO836</f>
        <v>0</v>
      </c>
      <c r="AX836" s="38">
        <f>G836*AP836</f>
        <v>0</v>
      </c>
      <c r="AY836" s="72" t="s">
        <v>1509</v>
      </c>
      <c r="AZ836" s="72" t="s">
        <v>1443</v>
      </c>
      <c r="BA836" s="50" t="s">
        <v>139</v>
      </c>
      <c r="BB836" s="73">
        <v>100047</v>
      </c>
      <c r="BC836" s="38">
        <f>AW836+AX836</f>
        <v>0</v>
      </c>
      <c r="BD836" s="38">
        <f>H836/(100-BE836)*100</f>
        <v>0</v>
      </c>
      <c r="BE836" s="38">
        <v>0</v>
      </c>
      <c r="BF836" s="38">
        <f>K836</f>
        <v>0.007200000000000001</v>
      </c>
      <c r="BH836" s="38">
        <f>G836*AO836</f>
        <v>0</v>
      </c>
      <c r="BI836" s="38">
        <f>G836*AP836</f>
        <v>0</v>
      </c>
      <c r="BJ836" s="38">
        <f>G836*H836</f>
        <v>0</v>
      </c>
      <c r="BK836" s="38"/>
      <c r="BL836" s="38">
        <v>783</v>
      </c>
      <c r="BW836" s="38">
        <v>21</v>
      </c>
    </row>
    <row r="837" spans="1:12" ht="13.5" customHeight="1">
      <c r="A837" s="74"/>
      <c r="D837" s="194" t="s">
        <v>1521</v>
      </c>
      <c r="E837" s="195"/>
      <c r="F837" s="195"/>
      <c r="G837" s="195"/>
      <c r="H837" s="196"/>
      <c r="I837" s="195"/>
      <c r="J837" s="195"/>
      <c r="K837" s="195"/>
      <c r="L837" s="197"/>
    </row>
    <row r="838" spans="1:12" ht="15">
      <c r="A838" s="74"/>
      <c r="D838" s="75" t="s">
        <v>1167</v>
      </c>
      <c r="E838" s="75" t="s">
        <v>1522</v>
      </c>
      <c r="G838" s="76">
        <v>22.5</v>
      </c>
      <c r="L838" s="77"/>
    </row>
    <row r="839" spans="1:75" ht="13.5" customHeight="1">
      <c r="A839" s="1" t="s">
        <v>1523</v>
      </c>
      <c r="B839" s="2" t="s">
        <v>84</v>
      </c>
      <c r="C839" s="2" t="s">
        <v>1524</v>
      </c>
      <c r="D839" s="108" t="s">
        <v>1525</v>
      </c>
      <c r="E839" s="103"/>
      <c r="F839" s="2" t="s">
        <v>263</v>
      </c>
      <c r="G839" s="38">
        <v>27.85</v>
      </c>
      <c r="H839" s="70">
        <v>0</v>
      </c>
      <c r="I839" s="38">
        <f>G839*H839</f>
        <v>0</v>
      </c>
      <c r="J839" s="38">
        <v>0.00041</v>
      </c>
      <c r="K839" s="38">
        <f>G839*J839</f>
        <v>0.0114185</v>
      </c>
      <c r="L839" s="71" t="s">
        <v>136</v>
      </c>
      <c r="Z839" s="38">
        <f>IF(AQ839="5",BJ839,0)</f>
        <v>0</v>
      </c>
      <c r="AB839" s="38">
        <f>IF(AQ839="1",BH839,0)</f>
        <v>0</v>
      </c>
      <c r="AC839" s="38">
        <f>IF(AQ839="1",BI839,0)</f>
        <v>0</v>
      </c>
      <c r="AD839" s="38">
        <f>IF(AQ839="7",BH839,0)</f>
        <v>0</v>
      </c>
      <c r="AE839" s="38">
        <f>IF(AQ839="7",BI839,0)</f>
        <v>0</v>
      </c>
      <c r="AF839" s="38">
        <f>IF(AQ839="2",BH839,0)</f>
        <v>0</v>
      </c>
      <c r="AG839" s="38">
        <f>IF(AQ839="2",BI839,0)</f>
        <v>0</v>
      </c>
      <c r="AH839" s="38">
        <f>IF(AQ839="0",BJ839,0)</f>
        <v>0</v>
      </c>
      <c r="AI839" s="50" t="s">
        <v>84</v>
      </c>
      <c r="AJ839" s="38">
        <f>IF(AN839=0,I839,0)</f>
        <v>0</v>
      </c>
      <c r="AK839" s="38">
        <f>IF(AN839=12,I839,0)</f>
        <v>0</v>
      </c>
      <c r="AL839" s="38">
        <f>IF(AN839=21,I839,0)</f>
        <v>0</v>
      </c>
      <c r="AN839" s="38">
        <v>21</v>
      </c>
      <c r="AO839" s="38">
        <f>H839*0.372432929</f>
        <v>0</v>
      </c>
      <c r="AP839" s="38">
        <f>H839*(1-0.372432929)</f>
        <v>0</v>
      </c>
      <c r="AQ839" s="72" t="s">
        <v>169</v>
      </c>
      <c r="AV839" s="38">
        <f>AW839+AX839</f>
        <v>0</v>
      </c>
      <c r="AW839" s="38">
        <f>G839*AO839</f>
        <v>0</v>
      </c>
      <c r="AX839" s="38">
        <f>G839*AP839</f>
        <v>0</v>
      </c>
      <c r="AY839" s="72" t="s">
        <v>1509</v>
      </c>
      <c r="AZ839" s="72" t="s">
        <v>1443</v>
      </c>
      <c r="BA839" s="50" t="s">
        <v>139</v>
      </c>
      <c r="BB839" s="73">
        <v>100047</v>
      </c>
      <c r="BC839" s="38">
        <f>AW839+AX839</f>
        <v>0</v>
      </c>
      <c r="BD839" s="38">
        <f>H839/(100-BE839)*100</f>
        <v>0</v>
      </c>
      <c r="BE839" s="38">
        <v>0</v>
      </c>
      <c r="BF839" s="38">
        <f>K839</f>
        <v>0.0114185</v>
      </c>
      <c r="BH839" s="38">
        <f>G839*AO839</f>
        <v>0</v>
      </c>
      <c r="BI839" s="38">
        <f>G839*AP839</f>
        <v>0</v>
      </c>
      <c r="BJ839" s="38">
        <f>G839*H839</f>
        <v>0</v>
      </c>
      <c r="BK839" s="38"/>
      <c r="BL839" s="38">
        <v>783</v>
      </c>
      <c r="BW839" s="38">
        <v>21</v>
      </c>
    </row>
    <row r="840" spans="1:12" ht="13.5" customHeight="1">
      <c r="A840" s="74"/>
      <c r="D840" s="194" t="s">
        <v>1526</v>
      </c>
      <c r="E840" s="195"/>
      <c r="F840" s="195"/>
      <c r="G840" s="195"/>
      <c r="H840" s="196"/>
      <c r="I840" s="195"/>
      <c r="J840" s="195"/>
      <c r="K840" s="195"/>
      <c r="L840" s="197"/>
    </row>
    <row r="841" spans="1:12" ht="15">
      <c r="A841" s="74"/>
      <c r="D841" s="75" t="s">
        <v>1527</v>
      </c>
      <c r="E841" s="75" t="s">
        <v>1528</v>
      </c>
      <c r="G841" s="76">
        <v>20.76</v>
      </c>
      <c r="L841" s="77"/>
    </row>
    <row r="842" spans="1:12" ht="15">
      <c r="A842" s="74"/>
      <c r="D842" s="75" t="s">
        <v>1529</v>
      </c>
      <c r="E842" s="75" t="s">
        <v>1530</v>
      </c>
      <c r="G842" s="76">
        <v>7.09</v>
      </c>
      <c r="L842" s="77"/>
    </row>
    <row r="843" spans="1:75" ht="13.5" customHeight="1">
      <c r="A843" s="1" t="s">
        <v>1531</v>
      </c>
      <c r="B843" s="2" t="s">
        <v>84</v>
      </c>
      <c r="C843" s="2" t="s">
        <v>1532</v>
      </c>
      <c r="D843" s="108" t="s">
        <v>1533</v>
      </c>
      <c r="E843" s="103"/>
      <c r="F843" s="2" t="s">
        <v>263</v>
      </c>
      <c r="G843" s="38">
        <v>7.09</v>
      </c>
      <c r="H843" s="70">
        <v>0</v>
      </c>
      <c r="I843" s="38">
        <f>G843*H843</f>
        <v>0</v>
      </c>
      <c r="J843" s="38">
        <v>0.00015</v>
      </c>
      <c r="K843" s="38">
        <f>G843*J843</f>
        <v>0.0010635</v>
      </c>
      <c r="L843" s="71" t="s">
        <v>136</v>
      </c>
      <c r="Z843" s="38">
        <f>IF(AQ843="5",BJ843,0)</f>
        <v>0</v>
      </c>
      <c r="AB843" s="38">
        <f>IF(AQ843="1",BH843,0)</f>
        <v>0</v>
      </c>
      <c r="AC843" s="38">
        <f>IF(AQ843="1",BI843,0)</f>
        <v>0</v>
      </c>
      <c r="AD843" s="38">
        <f>IF(AQ843="7",BH843,0)</f>
        <v>0</v>
      </c>
      <c r="AE843" s="38">
        <f>IF(AQ843="7",BI843,0)</f>
        <v>0</v>
      </c>
      <c r="AF843" s="38">
        <f>IF(AQ843="2",BH843,0)</f>
        <v>0</v>
      </c>
      <c r="AG843" s="38">
        <f>IF(AQ843="2",BI843,0)</f>
        <v>0</v>
      </c>
      <c r="AH843" s="38">
        <f>IF(AQ843="0",BJ843,0)</f>
        <v>0</v>
      </c>
      <c r="AI843" s="50" t="s">
        <v>84</v>
      </c>
      <c r="AJ843" s="38">
        <f>IF(AN843=0,I843,0)</f>
        <v>0</v>
      </c>
      <c r="AK843" s="38">
        <f>IF(AN843=12,I843,0)</f>
        <v>0</v>
      </c>
      <c r="AL843" s="38">
        <f>IF(AN843=21,I843,0)</f>
        <v>0</v>
      </c>
      <c r="AN843" s="38">
        <v>21</v>
      </c>
      <c r="AO843" s="38">
        <f>H843*0.339446783</f>
        <v>0</v>
      </c>
      <c r="AP843" s="38">
        <f>H843*(1-0.339446783)</f>
        <v>0</v>
      </c>
      <c r="AQ843" s="72" t="s">
        <v>169</v>
      </c>
      <c r="AV843" s="38">
        <f>AW843+AX843</f>
        <v>0</v>
      </c>
      <c r="AW843" s="38">
        <f>G843*AO843</f>
        <v>0</v>
      </c>
      <c r="AX843" s="38">
        <f>G843*AP843</f>
        <v>0</v>
      </c>
      <c r="AY843" s="72" t="s">
        <v>1509</v>
      </c>
      <c r="AZ843" s="72" t="s">
        <v>1443</v>
      </c>
      <c r="BA843" s="50" t="s">
        <v>139</v>
      </c>
      <c r="BB843" s="73">
        <v>100047</v>
      </c>
      <c r="BC843" s="38">
        <f>AW843+AX843</f>
        <v>0</v>
      </c>
      <c r="BD843" s="38">
        <f>H843/(100-BE843)*100</f>
        <v>0</v>
      </c>
      <c r="BE843" s="38">
        <v>0</v>
      </c>
      <c r="BF843" s="38">
        <f>K843</f>
        <v>0.0010635</v>
      </c>
      <c r="BH843" s="38">
        <f>G843*AO843</f>
        <v>0</v>
      </c>
      <c r="BI843" s="38">
        <f>G843*AP843</f>
        <v>0</v>
      </c>
      <c r="BJ843" s="38">
        <f>G843*H843</f>
        <v>0</v>
      </c>
      <c r="BK843" s="38"/>
      <c r="BL843" s="38">
        <v>783</v>
      </c>
      <c r="BW843" s="38">
        <v>21</v>
      </c>
    </row>
    <row r="844" spans="1:12" ht="13.5" customHeight="1">
      <c r="A844" s="74"/>
      <c r="D844" s="194" t="s">
        <v>1534</v>
      </c>
      <c r="E844" s="195"/>
      <c r="F844" s="195"/>
      <c r="G844" s="195"/>
      <c r="H844" s="196"/>
      <c r="I844" s="195"/>
      <c r="J844" s="195"/>
      <c r="K844" s="195"/>
      <c r="L844" s="197"/>
    </row>
    <row r="845" spans="1:12" ht="15">
      <c r="A845" s="74"/>
      <c r="D845" s="75" t="s">
        <v>1529</v>
      </c>
      <c r="E845" s="75" t="s">
        <v>1530</v>
      </c>
      <c r="G845" s="76">
        <v>7.09</v>
      </c>
      <c r="L845" s="77"/>
    </row>
    <row r="846" spans="1:47" ht="15">
      <c r="A846" s="65" t="s">
        <v>4</v>
      </c>
      <c r="B846" s="66" t="s">
        <v>84</v>
      </c>
      <c r="C846" s="66" t="s">
        <v>1535</v>
      </c>
      <c r="D846" s="192" t="s">
        <v>1536</v>
      </c>
      <c r="E846" s="193"/>
      <c r="F846" s="67" t="s">
        <v>78</v>
      </c>
      <c r="G846" s="67" t="s">
        <v>78</v>
      </c>
      <c r="H846" s="68" t="s">
        <v>78</v>
      </c>
      <c r="I846" s="44">
        <f>SUM(I847:I878)</f>
        <v>0</v>
      </c>
      <c r="J846" s="50" t="s">
        <v>4</v>
      </c>
      <c r="K846" s="44">
        <f>SUM(K847:K878)</f>
        <v>0.4325177</v>
      </c>
      <c r="L846" s="69" t="s">
        <v>4</v>
      </c>
      <c r="AI846" s="50" t="s">
        <v>84</v>
      </c>
      <c r="AS846" s="44">
        <f>SUM(AJ847:AJ878)</f>
        <v>0</v>
      </c>
      <c r="AT846" s="44">
        <f>SUM(AK847:AK878)</f>
        <v>0</v>
      </c>
      <c r="AU846" s="44">
        <f>SUM(AL847:AL878)</f>
        <v>0</v>
      </c>
    </row>
    <row r="847" spans="1:75" ht="13.5" customHeight="1">
      <c r="A847" s="1" t="s">
        <v>1537</v>
      </c>
      <c r="B847" s="2" t="s">
        <v>84</v>
      </c>
      <c r="C847" s="2" t="s">
        <v>1538</v>
      </c>
      <c r="D847" s="108" t="s">
        <v>1539</v>
      </c>
      <c r="E847" s="103"/>
      <c r="F847" s="2" t="s">
        <v>263</v>
      </c>
      <c r="G847" s="38">
        <v>987.62</v>
      </c>
      <c r="H847" s="70">
        <v>0</v>
      </c>
      <c r="I847" s="38">
        <f>G847*H847</f>
        <v>0</v>
      </c>
      <c r="J847" s="38">
        <v>0</v>
      </c>
      <c r="K847" s="38">
        <f>G847*J847</f>
        <v>0</v>
      </c>
      <c r="L847" s="71" t="s">
        <v>136</v>
      </c>
      <c r="Z847" s="38">
        <f>IF(AQ847="5",BJ847,0)</f>
        <v>0</v>
      </c>
      <c r="AB847" s="38">
        <f>IF(AQ847="1",BH847,0)</f>
        <v>0</v>
      </c>
      <c r="AC847" s="38">
        <f>IF(AQ847="1",BI847,0)</f>
        <v>0</v>
      </c>
      <c r="AD847" s="38">
        <f>IF(AQ847="7",BH847,0)</f>
        <v>0</v>
      </c>
      <c r="AE847" s="38">
        <f>IF(AQ847="7",BI847,0)</f>
        <v>0</v>
      </c>
      <c r="AF847" s="38">
        <f>IF(AQ847="2",BH847,0)</f>
        <v>0</v>
      </c>
      <c r="AG847" s="38">
        <f>IF(AQ847="2",BI847,0)</f>
        <v>0</v>
      </c>
      <c r="AH847" s="38">
        <f>IF(AQ847="0",BJ847,0)</f>
        <v>0</v>
      </c>
      <c r="AI847" s="50" t="s">
        <v>84</v>
      </c>
      <c r="AJ847" s="38">
        <f>IF(AN847=0,I847,0)</f>
        <v>0</v>
      </c>
      <c r="AK847" s="38">
        <f>IF(AN847=12,I847,0)</f>
        <v>0</v>
      </c>
      <c r="AL847" s="38">
        <f>IF(AN847=21,I847,0)</f>
        <v>0</v>
      </c>
      <c r="AN847" s="38">
        <v>21</v>
      </c>
      <c r="AO847" s="38">
        <f>H847*0.00421454</f>
        <v>0</v>
      </c>
      <c r="AP847" s="38">
        <f>H847*(1-0.00421454)</f>
        <v>0</v>
      </c>
      <c r="AQ847" s="72" t="s">
        <v>169</v>
      </c>
      <c r="AV847" s="38">
        <f>AW847+AX847</f>
        <v>0</v>
      </c>
      <c r="AW847" s="38">
        <f>G847*AO847</f>
        <v>0</v>
      </c>
      <c r="AX847" s="38">
        <f>G847*AP847</f>
        <v>0</v>
      </c>
      <c r="AY847" s="72" t="s">
        <v>1540</v>
      </c>
      <c r="AZ847" s="72" t="s">
        <v>1443</v>
      </c>
      <c r="BA847" s="50" t="s">
        <v>139</v>
      </c>
      <c r="BB847" s="73">
        <v>100017</v>
      </c>
      <c r="BC847" s="38">
        <f>AW847+AX847</f>
        <v>0</v>
      </c>
      <c r="BD847" s="38">
        <f>H847/(100-BE847)*100</f>
        <v>0</v>
      </c>
      <c r="BE847" s="38">
        <v>0</v>
      </c>
      <c r="BF847" s="38">
        <f>K847</f>
        <v>0</v>
      </c>
      <c r="BH847" s="38">
        <f>G847*AO847</f>
        <v>0</v>
      </c>
      <c r="BI847" s="38">
        <f>G847*AP847</f>
        <v>0</v>
      </c>
      <c r="BJ847" s="38">
        <f>G847*H847</f>
        <v>0</v>
      </c>
      <c r="BK847" s="38"/>
      <c r="BL847" s="38">
        <v>784</v>
      </c>
      <c r="BW847" s="38">
        <v>21</v>
      </c>
    </row>
    <row r="848" spans="1:12" ht="15">
      <c r="A848" s="74"/>
      <c r="D848" s="75" t="s">
        <v>595</v>
      </c>
      <c r="E848" s="75" t="s">
        <v>1541</v>
      </c>
      <c r="G848" s="76">
        <v>108.43</v>
      </c>
      <c r="L848" s="77"/>
    </row>
    <row r="849" spans="1:12" ht="15">
      <c r="A849" s="74"/>
      <c r="D849" s="75" t="s">
        <v>1542</v>
      </c>
      <c r="E849" s="75" t="s">
        <v>1543</v>
      </c>
      <c r="G849" s="76">
        <v>28.8</v>
      </c>
      <c r="L849" s="77"/>
    </row>
    <row r="850" spans="1:12" ht="15">
      <c r="A850" s="74"/>
      <c r="D850" s="75" t="s">
        <v>1544</v>
      </c>
      <c r="E850" s="75" t="s">
        <v>1545</v>
      </c>
      <c r="G850" s="76">
        <v>61.48</v>
      </c>
      <c r="L850" s="77"/>
    </row>
    <row r="851" spans="1:12" ht="15">
      <c r="A851" s="74"/>
      <c r="D851" s="75" t="s">
        <v>593</v>
      </c>
      <c r="E851" s="75" t="s">
        <v>1546</v>
      </c>
      <c r="G851" s="76">
        <v>75.54</v>
      </c>
      <c r="L851" s="77"/>
    </row>
    <row r="852" spans="1:12" ht="15">
      <c r="A852" s="74"/>
      <c r="D852" s="75" t="s">
        <v>619</v>
      </c>
      <c r="E852" s="75" t="s">
        <v>620</v>
      </c>
      <c r="G852" s="76">
        <v>64.6</v>
      </c>
      <c r="L852" s="77"/>
    </row>
    <row r="853" spans="1:12" ht="15">
      <c r="A853" s="74"/>
      <c r="D853" s="75" t="s">
        <v>1547</v>
      </c>
      <c r="E853" s="75" t="s">
        <v>1548</v>
      </c>
      <c r="G853" s="76">
        <v>56.65</v>
      </c>
      <c r="L853" s="77"/>
    </row>
    <row r="854" spans="1:12" ht="15">
      <c r="A854" s="74"/>
      <c r="D854" s="75" t="s">
        <v>599</v>
      </c>
      <c r="E854" s="75" t="s">
        <v>1549</v>
      </c>
      <c r="G854" s="76">
        <v>49.2</v>
      </c>
      <c r="L854" s="77"/>
    </row>
    <row r="855" spans="1:12" ht="15">
      <c r="A855" s="74"/>
      <c r="D855" s="75" t="s">
        <v>614</v>
      </c>
      <c r="E855" s="75" t="s">
        <v>1550</v>
      </c>
      <c r="G855" s="76">
        <v>122.4</v>
      </c>
      <c r="L855" s="77"/>
    </row>
    <row r="856" spans="1:12" ht="15">
      <c r="A856" s="74"/>
      <c r="D856" s="75" t="s">
        <v>1551</v>
      </c>
      <c r="E856" s="75" t="s">
        <v>1552</v>
      </c>
      <c r="G856" s="76">
        <v>35.5</v>
      </c>
      <c r="L856" s="77"/>
    </row>
    <row r="857" spans="1:12" ht="15">
      <c r="A857" s="74"/>
      <c r="D857" s="75" t="s">
        <v>1553</v>
      </c>
      <c r="E857" s="75" t="s">
        <v>609</v>
      </c>
      <c r="G857" s="76">
        <v>14.82</v>
      </c>
      <c r="L857" s="77"/>
    </row>
    <row r="858" spans="1:12" ht="15">
      <c r="A858" s="74"/>
      <c r="D858" s="75" t="s">
        <v>621</v>
      </c>
      <c r="E858" s="75" t="s">
        <v>622</v>
      </c>
      <c r="G858" s="76">
        <v>20</v>
      </c>
      <c r="L858" s="77"/>
    </row>
    <row r="859" spans="1:12" ht="15">
      <c r="A859" s="74"/>
      <c r="D859" s="75" t="s">
        <v>612</v>
      </c>
      <c r="E859" s="75" t="s">
        <v>613</v>
      </c>
      <c r="G859" s="76">
        <v>87.8</v>
      </c>
      <c r="L859" s="77"/>
    </row>
    <row r="860" spans="1:12" ht="15">
      <c r="A860" s="74"/>
      <c r="D860" s="75" t="s">
        <v>623</v>
      </c>
      <c r="E860" s="75" t="s">
        <v>624</v>
      </c>
      <c r="G860" s="76">
        <v>7</v>
      </c>
      <c r="L860" s="77"/>
    </row>
    <row r="861" spans="1:12" ht="15">
      <c r="A861" s="74"/>
      <c r="D861" s="75" t="s">
        <v>615</v>
      </c>
      <c r="E861" s="75" t="s">
        <v>616</v>
      </c>
      <c r="G861" s="76">
        <v>61.2</v>
      </c>
      <c r="L861" s="77"/>
    </row>
    <row r="862" spans="1:12" ht="15">
      <c r="A862" s="74"/>
      <c r="D862" s="75" t="s">
        <v>1554</v>
      </c>
      <c r="E862" s="75" t="s">
        <v>618</v>
      </c>
      <c r="G862" s="76">
        <v>69.93</v>
      </c>
      <c r="L862" s="77"/>
    </row>
    <row r="863" spans="1:12" ht="15">
      <c r="A863" s="74"/>
      <c r="D863" s="75" t="s">
        <v>1555</v>
      </c>
      <c r="E863" s="75" t="s">
        <v>1556</v>
      </c>
      <c r="G863" s="76">
        <v>124.27</v>
      </c>
      <c r="L863" s="77"/>
    </row>
    <row r="864" spans="1:75" ht="13.5" customHeight="1">
      <c r="A864" s="1" t="s">
        <v>1557</v>
      </c>
      <c r="B864" s="2" t="s">
        <v>84</v>
      </c>
      <c r="C864" s="2" t="s">
        <v>1558</v>
      </c>
      <c r="D864" s="108" t="s">
        <v>1559</v>
      </c>
      <c r="E864" s="103"/>
      <c r="F864" s="2" t="s">
        <v>263</v>
      </c>
      <c r="G864" s="38">
        <v>43</v>
      </c>
      <c r="H864" s="70">
        <v>0</v>
      </c>
      <c r="I864" s="38">
        <f>G864*H864</f>
        <v>0</v>
      </c>
      <c r="J864" s="38">
        <v>0</v>
      </c>
      <c r="K864" s="38">
        <f>G864*J864</f>
        <v>0</v>
      </c>
      <c r="L864" s="71" t="s">
        <v>136</v>
      </c>
      <c r="Z864" s="38">
        <f>IF(AQ864="5",BJ864,0)</f>
        <v>0</v>
      </c>
      <c r="AB864" s="38">
        <f>IF(AQ864="1",BH864,0)</f>
        <v>0</v>
      </c>
      <c r="AC864" s="38">
        <f>IF(AQ864="1",BI864,0)</f>
        <v>0</v>
      </c>
      <c r="AD864" s="38">
        <f>IF(AQ864="7",BH864,0)</f>
        <v>0</v>
      </c>
      <c r="AE864" s="38">
        <f>IF(AQ864="7",BI864,0)</f>
        <v>0</v>
      </c>
      <c r="AF864" s="38">
        <f>IF(AQ864="2",BH864,0)</f>
        <v>0</v>
      </c>
      <c r="AG864" s="38">
        <f>IF(AQ864="2",BI864,0)</f>
        <v>0</v>
      </c>
      <c r="AH864" s="38">
        <f>IF(AQ864="0",BJ864,0)</f>
        <v>0</v>
      </c>
      <c r="AI864" s="50" t="s">
        <v>84</v>
      </c>
      <c r="AJ864" s="38">
        <f>IF(AN864=0,I864,0)</f>
        <v>0</v>
      </c>
      <c r="AK864" s="38">
        <f>IF(AN864=12,I864,0)</f>
        <v>0</v>
      </c>
      <c r="AL864" s="38">
        <f>IF(AN864=21,I864,0)</f>
        <v>0</v>
      </c>
      <c r="AN864" s="38">
        <v>21</v>
      </c>
      <c r="AO864" s="38">
        <f>H864*0.003845528</f>
        <v>0</v>
      </c>
      <c r="AP864" s="38">
        <f>H864*(1-0.003845528)</f>
        <v>0</v>
      </c>
      <c r="AQ864" s="72" t="s">
        <v>169</v>
      </c>
      <c r="AV864" s="38">
        <f>AW864+AX864</f>
        <v>0</v>
      </c>
      <c r="AW864" s="38">
        <f>G864*AO864</f>
        <v>0</v>
      </c>
      <c r="AX864" s="38">
        <f>G864*AP864</f>
        <v>0</v>
      </c>
      <c r="AY864" s="72" t="s">
        <v>1540</v>
      </c>
      <c r="AZ864" s="72" t="s">
        <v>1443</v>
      </c>
      <c r="BA864" s="50" t="s">
        <v>139</v>
      </c>
      <c r="BB864" s="73">
        <v>100017</v>
      </c>
      <c r="BC864" s="38">
        <f>AW864+AX864</f>
        <v>0</v>
      </c>
      <c r="BD864" s="38">
        <f>H864/(100-BE864)*100</f>
        <v>0</v>
      </c>
      <c r="BE864" s="38">
        <v>0</v>
      </c>
      <c r="BF864" s="38">
        <f>K864</f>
        <v>0</v>
      </c>
      <c r="BH864" s="38">
        <f>G864*AO864</f>
        <v>0</v>
      </c>
      <c r="BI864" s="38">
        <f>G864*AP864</f>
        <v>0</v>
      </c>
      <c r="BJ864" s="38">
        <f>G864*H864</f>
        <v>0</v>
      </c>
      <c r="BK864" s="38"/>
      <c r="BL864" s="38">
        <v>784</v>
      </c>
      <c r="BW864" s="38">
        <v>21</v>
      </c>
    </row>
    <row r="865" spans="1:12" ht="15">
      <c r="A865" s="74"/>
      <c r="D865" s="75" t="s">
        <v>606</v>
      </c>
      <c r="E865" s="75" t="s">
        <v>266</v>
      </c>
      <c r="G865" s="76">
        <v>43</v>
      </c>
      <c r="L865" s="77"/>
    </row>
    <row r="866" spans="1:75" ht="13.5" customHeight="1">
      <c r="A866" s="1" t="s">
        <v>1560</v>
      </c>
      <c r="B866" s="2" t="s">
        <v>84</v>
      </c>
      <c r="C866" s="2" t="s">
        <v>1561</v>
      </c>
      <c r="D866" s="108" t="s">
        <v>1562</v>
      </c>
      <c r="E866" s="103"/>
      <c r="F866" s="2" t="s">
        <v>263</v>
      </c>
      <c r="G866" s="38">
        <v>2109.85</v>
      </c>
      <c r="H866" s="70">
        <v>0</v>
      </c>
      <c r="I866" s="38">
        <f>G866*H866</f>
        <v>0</v>
      </c>
      <c r="J866" s="38">
        <v>5E-05</v>
      </c>
      <c r="K866" s="38">
        <f>G866*J866</f>
        <v>0.1054925</v>
      </c>
      <c r="L866" s="71" t="s">
        <v>136</v>
      </c>
      <c r="Z866" s="38">
        <f>IF(AQ866="5",BJ866,0)</f>
        <v>0</v>
      </c>
      <c r="AB866" s="38">
        <f>IF(AQ866="1",BH866,0)</f>
        <v>0</v>
      </c>
      <c r="AC866" s="38">
        <f>IF(AQ866="1",BI866,0)</f>
        <v>0</v>
      </c>
      <c r="AD866" s="38">
        <f>IF(AQ866="7",BH866,0)</f>
        <v>0</v>
      </c>
      <c r="AE866" s="38">
        <f>IF(AQ866="7",BI866,0)</f>
        <v>0</v>
      </c>
      <c r="AF866" s="38">
        <f>IF(AQ866="2",BH866,0)</f>
        <v>0</v>
      </c>
      <c r="AG866" s="38">
        <f>IF(AQ866="2",BI866,0)</f>
        <v>0</v>
      </c>
      <c r="AH866" s="38">
        <f>IF(AQ866="0",BJ866,0)</f>
        <v>0</v>
      </c>
      <c r="AI866" s="50" t="s">
        <v>84</v>
      </c>
      <c r="AJ866" s="38">
        <f>IF(AN866=0,I866,0)</f>
        <v>0</v>
      </c>
      <c r="AK866" s="38">
        <f>IF(AN866=12,I866,0)</f>
        <v>0</v>
      </c>
      <c r="AL866" s="38">
        <f>IF(AN866=21,I866,0)</f>
        <v>0</v>
      </c>
      <c r="AN866" s="38">
        <v>21</v>
      </c>
      <c r="AO866" s="38">
        <f>H866*0.156681155</f>
        <v>0</v>
      </c>
      <c r="AP866" s="38">
        <f>H866*(1-0.156681155)</f>
        <v>0</v>
      </c>
      <c r="AQ866" s="72" t="s">
        <v>169</v>
      </c>
      <c r="AV866" s="38">
        <f>AW866+AX866</f>
        <v>0</v>
      </c>
      <c r="AW866" s="38">
        <f>G866*AO866</f>
        <v>0</v>
      </c>
      <c r="AX866" s="38">
        <f>G866*AP866</f>
        <v>0</v>
      </c>
      <c r="AY866" s="72" t="s">
        <v>1540</v>
      </c>
      <c r="AZ866" s="72" t="s">
        <v>1443</v>
      </c>
      <c r="BA866" s="50" t="s">
        <v>139</v>
      </c>
      <c r="BB866" s="73">
        <v>100017</v>
      </c>
      <c r="BC866" s="38">
        <f>AW866+AX866</f>
        <v>0</v>
      </c>
      <c r="BD866" s="38">
        <f>H866/(100-BE866)*100</f>
        <v>0</v>
      </c>
      <c r="BE866" s="38">
        <v>0</v>
      </c>
      <c r="BF866" s="38">
        <f>K866</f>
        <v>0.1054925</v>
      </c>
      <c r="BH866" s="38">
        <f>G866*AO866</f>
        <v>0</v>
      </c>
      <c r="BI866" s="38">
        <f>G866*AP866</f>
        <v>0</v>
      </c>
      <c r="BJ866" s="38">
        <f>G866*H866</f>
        <v>0</v>
      </c>
      <c r="BK866" s="38"/>
      <c r="BL866" s="38">
        <v>784</v>
      </c>
      <c r="BW866" s="38">
        <v>21</v>
      </c>
    </row>
    <row r="867" spans="1:12" ht="15">
      <c r="A867" s="74"/>
      <c r="D867" s="75" t="s">
        <v>1563</v>
      </c>
      <c r="E867" s="75" t="s">
        <v>1564</v>
      </c>
      <c r="G867" s="76">
        <v>484.37</v>
      </c>
      <c r="L867" s="77"/>
    </row>
    <row r="868" spans="1:12" ht="15">
      <c r="A868" s="74"/>
      <c r="D868" s="75" t="s">
        <v>1565</v>
      </c>
      <c r="E868" s="75" t="s">
        <v>1566</v>
      </c>
      <c r="G868" s="76">
        <v>898.9</v>
      </c>
      <c r="L868" s="77"/>
    </row>
    <row r="869" spans="1:12" ht="15">
      <c r="A869" s="74"/>
      <c r="D869" s="75" t="s">
        <v>1567</v>
      </c>
      <c r="E869" s="75" t="s">
        <v>1568</v>
      </c>
      <c r="G869" s="76">
        <v>12.05</v>
      </c>
      <c r="L869" s="77"/>
    </row>
    <row r="870" spans="1:12" ht="15">
      <c r="A870" s="74"/>
      <c r="D870" s="75" t="s">
        <v>628</v>
      </c>
      <c r="E870" s="75" t="s">
        <v>1569</v>
      </c>
      <c r="G870" s="76">
        <v>4.31</v>
      </c>
      <c r="L870" s="77"/>
    </row>
    <row r="871" spans="1:12" ht="15">
      <c r="A871" s="74"/>
      <c r="D871" s="75" t="s">
        <v>1570</v>
      </c>
      <c r="E871" s="75" t="s">
        <v>1571</v>
      </c>
      <c r="G871" s="76">
        <v>175.23</v>
      </c>
      <c r="L871" s="77"/>
    </row>
    <row r="872" spans="1:12" ht="15">
      <c r="A872" s="74"/>
      <c r="D872" s="75" t="s">
        <v>1572</v>
      </c>
      <c r="E872" s="75" t="s">
        <v>1573</v>
      </c>
      <c r="G872" s="76">
        <v>95.01</v>
      </c>
      <c r="L872" s="77"/>
    </row>
    <row r="873" spans="1:12" ht="15">
      <c r="A873" s="74"/>
      <c r="D873" s="75" t="s">
        <v>1574</v>
      </c>
      <c r="E873" s="75" t="s">
        <v>1575</v>
      </c>
      <c r="G873" s="76">
        <v>345.78</v>
      </c>
      <c r="L873" s="77"/>
    </row>
    <row r="874" spans="1:12" ht="15">
      <c r="A874" s="74"/>
      <c r="D874" s="75" t="s">
        <v>1576</v>
      </c>
      <c r="E874" s="75" t="s">
        <v>1577</v>
      </c>
      <c r="G874" s="76">
        <v>94.2</v>
      </c>
      <c r="L874" s="77"/>
    </row>
    <row r="875" spans="1:75" ht="13.5" customHeight="1">
      <c r="A875" s="1" t="s">
        <v>1578</v>
      </c>
      <c r="B875" s="2" t="s">
        <v>84</v>
      </c>
      <c r="C875" s="2" t="s">
        <v>1579</v>
      </c>
      <c r="D875" s="108" t="s">
        <v>1580</v>
      </c>
      <c r="E875" s="103"/>
      <c r="F875" s="2" t="s">
        <v>263</v>
      </c>
      <c r="G875" s="38">
        <v>1054.92</v>
      </c>
      <c r="H875" s="70">
        <v>0</v>
      </c>
      <c r="I875" s="38">
        <f>G875*H875</f>
        <v>0</v>
      </c>
      <c r="J875" s="38">
        <v>0.00015</v>
      </c>
      <c r="K875" s="38">
        <f>G875*J875</f>
        <v>0.158238</v>
      </c>
      <c r="L875" s="71" t="s">
        <v>136</v>
      </c>
      <c r="Z875" s="38">
        <f>IF(AQ875="5",BJ875,0)</f>
        <v>0</v>
      </c>
      <c r="AB875" s="38">
        <f>IF(AQ875="1",BH875,0)</f>
        <v>0</v>
      </c>
      <c r="AC875" s="38">
        <f>IF(AQ875="1",BI875,0)</f>
        <v>0</v>
      </c>
      <c r="AD875" s="38">
        <f>IF(AQ875="7",BH875,0)</f>
        <v>0</v>
      </c>
      <c r="AE875" s="38">
        <f>IF(AQ875="7",BI875,0)</f>
        <v>0</v>
      </c>
      <c r="AF875" s="38">
        <f>IF(AQ875="2",BH875,0)</f>
        <v>0</v>
      </c>
      <c r="AG875" s="38">
        <f>IF(AQ875="2",BI875,0)</f>
        <v>0</v>
      </c>
      <c r="AH875" s="38">
        <f>IF(AQ875="0",BJ875,0)</f>
        <v>0</v>
      </c>
      <c r="AI875" s="50" t="s">
        <v>84</v>
      </c>
      <c r="AJ875" s="38">
        <f>IF(AN875=0,I875,0)</f>
        <v>0</v>
      </c>
      <c r="AK875" s="38">
        <f>IF(AN875=12,I875,0)</f>
        <v>0</v>
      </c>
      <c r="AL875" s="38">
        <f>IF(AN875=21,I875,0)</f>
        <v>0</v>
      </c>
      <c r="AN875" s="38">
        <v>21</v>
      </c>
      <c r="AO875" s="38">
        <f>H875*0.104361161</f>
        <v>0</v>
      </c>
      <c r="AP875" s="38">
        <f>H875*(1-0.104361161)</f>
        <v>0</v>
      </c>
      <c r="AQ875" s="72" t="s">
        <v>169</v>
      </c>
      <c r="AV875" s="38">
        <f>AW875+AX875</f>
        <v>0</v>
      </c>
      <c r="AW875" s="38">
        <f>G875*AO875</f>
        <v>0</v>
      </c>
      <c r="AX875" s="38">
        <f>G875*AP875</f>
        <v>0</v>
      </c>
      <c r="AY875" s="72" t="s">
        <v>1540</v>
      </c>
      <c r="AZ875" s="72" t="s">
        <v>1443</v>
      </c>
      <c r="BA875" s="50" t="s">
        <v>139</v>
      </c>
      <c r="BB875" s="73">
        <v>100017</v>
      </c>
      <c r="BC875" s="38">
        <f>AW875+AX875</f>
        <v>0</v>
      </c>
      <c r="BD875" s="38">
        <f>H875/(100-BE875)*100</f>
        <v>0</v>
      </c>
      <c r="BE875" s="38">
        <v>0</v>
      </c>
      <c r="BF875" s="38">
        <f>K875</f>
        <v>0.158238</v>
      </c>
      <c r="BH875" s="38">
        <f>G875*AO875</f>
        <v>0</v>
      </c>
      <c r="BI875" s="38">
        <f>G875*AP875</f>
        <v>0</v>
      </c>
      <c r="BJ875" s="38">
        <f>G875*H875</f>
        <v>0</v>
      </c>
      <c r="BK875" s="38"/>
      <c r="BL875" s="38">
        <v>784</v>
      </c>
      <c r="BW875" s="38">
        <v>21</v>
      </c>
    </row>
    <row r="876" spans="1:12" ht="13.5" customHeight="1">
      <c r="A876" s="74"/>
      <c r="D876" s="194" t="s">
        <v>1581</v>
      </c>
      <c r="E876" s="195"/>
      <c r="F876" s="195"/>
      <c r="G876" s="195"/>
      <c r="H876" s="196"/>
      <c r="I876" s="195"/>
      <c r="J876" s="195"/>
      <c r="K876" s="195"/>
      <c r="L876" s="197"/>
    </row>
    <row r="877" spans="1:12" ht="15">
      <c r="A877" s="74"/>
      <c r="D877" s="75" t="s">
        <v>1582</v>
      </c>
      <c r="E877" s="75" t="s">
        <v>1583</v>
      </c>
      <c r="G877" s="76">
        <v>1054.92</v>
      </c>
      <c r="L877" s="77"/>
    </row>
    <row r="878" spans="1:75" ht="13.5" customHeight="1">
      <c r="A878" s="1" t="s">
        <v>1584</v>
      </c>
      <c r="B878" s="2" t="s">
        <v>84</v>
      </c>
      <c r="C878" s="2" t="s">
        <v>1585</v>
      </c>
      <c r="D878" s="108" t="s">
        <v>1586</v>
      </c>
      <c r="E878" s="103"/>
      <c r="F878" s="2" t="s">
        <v>263</v>
      </c>
      <c r="G878" s="38">
        <v>1054.92</v>
      </c>
      <c r="H878" s="70">
        <v>0</v>
      </c>
      <c r="I878" s="38">
        <f>G878*H878</f>
        <v>0</v>
      </c>
      <c r="J878" s="38">
        <v>0.00016</v>
      </c>
      <c r="K878" s="38">
        <f>G878*J878</f>
        <v>0.16878720000000003</v>
      </c>
      <c r="L878" s="71" t="s">
        <v>136</v>
      </c>
      <c r="Z878" s="38">
        <f>IF(AQ878="5",BJ878,0)</f>
        <v>0</v>
      </c>
      <c r="AB878" s="38">
        <f>IF(AQ878="1",BH878,0)</f>
        <v>0</v>
      </c>
      <c r="AC878" s="38">
        <f>IF(AQ878="1",BI878,0)</f>
        <v>0</v>
      </c>
      <c r="AD878" s="38">
        <f>IF(AQ878="7",BH878,0)</f>
        <v>0</v>
      </c>
      <c r="AE878" s="38">
        <f>IF(AQ878="7",BI878,0)</f>
        <v>0</v>
      </c>
      <c r="AF878" s="38">
        <f>IF(AQ878="2",BH878,0)</f>
        <v>0</v>
      </c>
      <c r="AG878" s="38">
        <f>IF(AQ878="2",BI878,0)</f>
        <v>0</v>
      </c>
      <c r="AH878" s="38">
        <f>IF(AQ878="0",BJ878,0)</f>
        <v>0</v>
      </c>
      <c r="AI878" s="50" t="s">
        <v>84</v>
      </c>
      <c r="AJ878" s="38">
        <f>IF(AN878=0,I878,0)</f>
        <v>0</v>
      </c>
      <c r="AK878" s="38">
        <f>IF(AN878=12,I878,0)</f>
        <v>0</v>
      </c>
      <c r="AL878" s="38">
        <f>IF(AN878=21,I878,0)</f>
        <v>0</v>
      </c>
      <c r="AN878" s="38">
        <v>21</v>
      </c>
      <c r="AO878" s="38">
        <f>H878*0.126563127</f>
        <v>0</v>
      </c>
      <c r="AP878" s="38">
        <f>H878*(1-0.126563127)</f>
        <v>0</v>
      </c>
      <c r="AQ878" s="72" t="s">
        <v>169</v>
      </c>
      <c r="AV878" s="38">
        <f>AW878+AX878</f>
        <v>0</v>
      </c>
      <c r="AW878" s="38">
        <f>G878*AO878</f>
        <v>0</v>
      </c>
      <c r="AX878" s="38">
        <f>G878*AP878</f>
        <v>0</v>
      </c>
      <c r="AY878" s="72" t="s">
        <v>1540</v>
      </c>
      <c r="AZ878" s="72" t="s">
        <v>1443</v>
      </c>
      <c r="BA878" s="50" t="s">
        <v>139</v>
      </c>
      <c r="BB878" s="73">
        <v>100017</v>
      </c>
      <c r="BC878" s="38">
        <f>AW878+AX878</f>
        <v>0</v>
      </c>
      <c r="BD878" s="38">
        <f>H878/(100-BE878)*100</f>
        <v>0</v>
      </c>
      <c r="BE878" s="38">
        <v>0</v>
      </c>
      <c r="BF878" s="38">
        <f>K878</f>
        <v>0.16878720000000003</v>
      </c>
      <c r="BH878" s="38">
        <f>G878*AO878</f>
        <v>0</v>
      </c>
      <c r="BI878" s="38">
        <f>G878*AP878</f>
        <v>0</v>
      </c>
      <c r="BJ878" s="38">
        <f>G878*H878</f>
        <v>0</v>
      </c>
      <c r="BK878" s="38"/>
      <c r="BL878" s="38">
        <v>784</v>
      </c>
      <c r="BW878" s="38">
        <v>21</v>
      </c>
    </row>
    <row r="879" spans="1:12" ht="13.5" customHeight="1">
      <c r="A879" s="74"/>
      <c r="D879" s="194" t="s">
        <v>1587</v>
      </c>
      <c r="E879" s="195"/>
      <c r="F879" s="195"/>
      <c r="G879" s="195"/>
      <c r="H879" s="196"/>
      <c r="I879" s="195"/>
      <c r="J879" s="195"/>
      <c r="K879" s="195"/>
      <c r="L879" s="197"/>
    </row>
    <row r="880" spans="1:12" ht="15">
      <c r="A880" s="74"/>
      <c r="D880" s="75" t="s">
        <v>1582</v>
      </c>
      <c r="E880" s="75" t="s">
        <v>1588</v>
      </c>
      <c r="G880" s="76">
        <v>1054.92</v>
      </c>
      <c r="L880" s="77"/>
    </row>
    <row r="881" spans="1:47" ht="15">
      <c r="A881" s="65" t="s">
        <v>4</v>
      </c>
      <c r="B881" s="66" t="s">
        <v>84</v>
      </c>
      <c r="C881" s="66" t="s">
        <v>625</v>
      </c>
      <c r="D881" s="192" t="s">
        <v>1589</v>
      </c>
      <c r="E881" s="193"/>
      <c r="F881" s="67" t="s">
        <v>78</v>
      </c>
      <c r="G881" s="67" t="s">
        <v>78</v>
      </c>
      <c r="H881" s="68" t="s">
        <v>78</v>
      </c>
      <c r="I881" s="44">
        <f>SUM(I882:I906)</f>
        <v>0</v>
      </c>
      <c r="J881" s="50" t="s">
        <v>4</v>
      </c>
      <c r="K881" s="44">
        <f>SUM(K882:K906)</f>
        <v>3.3514</v>
      </c>
      <c r="L881" s="69" t="s">
        <v>4</v>
      </c>
      <c r="AI881" s="50" t="s">
        <v>84</v>
      </c>
      <c r="AS881" s="44">
        <f>SUM(AJ882:AJ906)</f>
        <v>0</v>
      </c>
      <c r="AT881" s="44">
        <f>SUM(AK882:AK906)</f>
        <v>0</v>
      </c>
      <c r="AU881" s="44">
        <f>SUM(AL882:AL906)</f>
        <v>0</v>
      </c>
    </row>
    <row r="882" spans="1:75" ht="13.5" customHeight="1">
      <c r="A882" s="1" t="s">
        <v>1590</v>
      </c>
      <c r="B882" s="2" t="s">
        <v>84</v>
      </c>
      <c r="C882" s="2" t="s">
        <v>1591</v>
      </c>
      <c r="D882" s="108" t="s">
        <v>1592</v>
      </c>
      <c r="E882" s="103"/>
      <c r="F882" s="2" t="s">
        <v>1593</v>
      </c>
      <c r="G882" s="38">
        <v>1</v>
      </c>
      <c r="H882" s="70">
        <v>0</v>
      </c>
      <c r="I882" s="38">
        <f>G882*H882</f>
        <v>0</v>
      </c>
      <c r="J882" s="38">
        <v>0</v>
      </c>
      <c r="K882" s="38">
        <f>G882*J882</f>
        <v>0</v>
      </c>
      <c r="L882" s="71" t="s">
        <v>207</v>
      </c>
      <c r="Z882" s="38">
        <f>IF(AQ882="5",BJ882,0)</f>
        <v>0</v>
      </c>
      <c r="AB882" s="38">
        <f>IF(AQ882="1",BH882,0)</f>
        <v>0</v>
      </c>
      <c r="AC882" s="38">
        <f>IF(AQ882="1",BI882,0)</f>
        <v>0</v>
      </c>
      <c r="AD882" s="38">
        <f>IF(AQ882="7",BH882,0)</f>
        <v>0</v>
      </c>
      <c r="AE882" s="38">
        <f>IF(AQ882="7",BI882,0)</f>
        <v>0</v>
      </c>
      <c r="AF882" s="38">
        <f>IF(AQ882="2",BH882,0)</f>
        <v>0</v>
      </c>
      <c r="AG882" s="38">
        <f>IF(AQ882="2",BI882,0)</f>
        <v>0</v>
      </c>
      <c r="AH882" s="38">
        <f>IF(AQ882="0",BJ882,0)</f>
        <v>0</v>
      </c>
      <c r="AI882" s="50" t="s">
        <v>84</v>
      </c>
      <c r="AJ882" s="38">
        <f>IF(AN882=0,I882,0)</f>
        <v>0</v>
      </c>
      <c r="AK882" s="38">
        <f>IF(AN882=12,I882,0)</f>
        <v>0</v>
      </c>
      <c r="AL882" s="38">
        <f>IF(AN882=21,I882,0)</f>
        <v>0</v>
      </c>
      <c r="AN882" s="38">
        <v>21</v>
      </c>
      <c r="AO882" s="38">
        <f>H882*0</f>
        <v>0</v>
      </c>
      <c r="AP882" s="38">
        <f>H882*(1-0)</f>
        <v>0</v>
      </c>
      <c r="AQ882" s="72" t="s">
        <v>169</v>
      </c>
      <c r="AV882" s="38">
        <f>AW882+AX882</f>
        <v>0</v>
      </c>
      <c r="AW882" s="38">
        <f>G882*AO882</f>
        <v>0</v>
      </c>
      <c r="AX882" s="38">
        <f>G882*AP882</f>
        <v>0</v>
      </c>
      <c r="AY882" s="72" t="s">
        <v>1594</v>
      </c>
      <c r="AZ882" s="72" t="s">
        <v>1595</v>
      </c>
      <c r="BA882" s="50" t="s">
        <v>139</v>
      </c>
      <c r="BB882" s="73">
        <v>100002</v>
      </c>
      <c r="BC882" s="38">
        <f>AW882+AX882</f>
        <v>0</v>
      </c>
      <c r="BD882" s="38">
        <f>H882/(100-BE882)*100</f>
        <v>0</v>
      </c>
      <c r="BE882" s="38">
        <v>0</v>
      </c>
      <c r="BF882" s="38">
        <f>K882</f>
        <v>0</v>
      </c>
      <c r="BH882" s="38">
        <f>G882*AO882</f>
        <v>0</v>
      </c>
      <c r="BI882" s="38">
        <f>G882*AP882</f>
        <v>0</v>
      </c>
      <c r="BJ882" s="38">
        <f>G882*H882</f>
        <v>0</v>
      </c>
      <c r="BK882" s="38"/>
      <c r="BL882" s="38">
        <v>79</v>
      </c>
      <c r="BW882" s="38">
        <v>21</v>
      </c>
    </row>
    <row r="883" spans="1:12" ht="13.5" customHeight="1">
      <c r="A883" s="74"/>
      <c r="D883" s="194" t="s">
        <v>1596</v>
      </c>
      <c r="E883" s="195"/>
      <c r="F883" s="195"/>
      <c r="G883" s="195"/>
      <c r="H883" s="196"/>
      <c r="I883" s="195"/>
      <c r="J883" s="195"/>
      <c r="K883" s="195"/>
      <c r="L883" s="197"/>
    </row>
    <row r="884" spans="1:12" ht="15">
      <c r="A884" s="74"/>
      <c r="D884" s="75" t="s">
        <v>132</v>
      </c>
      <c r="E884" s="75" t="s">
        <v>4</v>
      </c>
      <c r="G884" s="76">
        <v>1</v>
      </c>
      <c r="L884" s="77"/>
    </row>
    <row r="885" spans="1:75" ht="27" customHeight="1">
      <c r="A885" s="78" t="s">
        <v>1597</v>
      </c>
      <c r="B885" s="79" t="s">
        <v>84</v>
      </c>
      <c r="C885" s="79" t="s">
        <v>1598</v>
      </c>
      <c r="D885" s="198" t="s">
        <v>1599</v>
      </c>
      <c r="E885" s="199"/>
      <c r="F885" s="79" t="s">
        <v>199</v>
      </c>
      <c r="G885" s="80">
        <v>6</v>
      </c>
      <c r="H885" s="81">
        <v>0</v>
      </c>
      <c r="I885" s="80">
        <f>G885*H885</f>
        <v>0</v>
      </c>
      <c r="J885" s="80">
        <v>0.024</v>
      </c>
      <c r="K885" s="80">
        <f>G885*J885</f>
        <v>0.14400000000000002</v>
      </c>
      <c r="L885" s="82" t="s">
        <v>207</v>
      </c>
      <c r="Z885" s="38">
        <f>IF(AQ885="5",BJ885,0)</f>
        <v>0</v>
      </c>
      <c r="AB885" s="38">
        <f>IF(AQ885="1",BH885,0)</f>
        <v>0</v>
      </c>
      <c r="AC885" s="38">
        <f>IF(AQ885="1",BI885,0)</f>
        <v>0</v>
      </c>
      <c r="AD885" s="38">
        <f>IF(AQ885="7",BH885,0)</f>
        <v>0</v>
      </c>
      <c r="AE885" s="38">
        <f>IF(AQ885="7",BI885,0)</f>
        <v>0</v>
      </c>
      <c r="AF885" s="38">
        <f>IF(AQ885="2",BH885,0)</f>
        <v>0</v>
      </c>
      <c r="AG885" s="38">
        <f>IF(AQ885="2",BI885,0)</f>
        <v>0</v>
      </c>
      <c r="AH885" s="38">
        <f>IF(AQ885="0",BJ885,0)</f>
        <v>0</v>
      </c>
      <c r="AI885" s="50" t="s">
        <v>84</v>
      </c>
      <c r="AJ885" s="80">
        <f>IF(AN885=0,I885,0)</f>
        <v>0</v>
      </c>
      <c r="AK885" s="80">
        <f>IF(AN885=12,I885,0)</f>
        <v>0</v>
      </c>
      <c r="AL885" s="80">
        <f>IF(AN885=21,I885,0)</f>
        <v>0</v>
      </c>
      <c r="AN885" s="38">
        <v>21</v>
      </c>
      <c r="AO885" s="38">
        <f>H885*1</f>
        <v>0</v>
      </c>
      <c r="AP885" s="38">
        <f>H885*(1-1)</f>
        <v>0</v>
      </c>
      <c r="AQ885" s="83" t="s">
        <v>169</v>
      </c>
      <c r="AV885" s="38">
        <f>AW885+AX885</f>
        <v>0</v>
      </c>
      <c r="AW885" s="38">
        <f>G885*AO885</f>
        <v>0</v>
      </c>
      <c r="AX885" s="38">
        <f>G885*AP885</f>
        <v>0</v>
      </c>
      <c r="AY885" s="72" t="s">
        <v>1594</v>
      </c>
      <c r="AZ885" s="72" t="s">
        <v>1595</v>
      </c>
      <c r="BA885" s="50" t="s">
        <v>139</v>
      </c>
      <c r="BC885" s="38">
        <f>AW885+AX885</f>
        <v>0</v>
      </c>
      <c r="BD885" s="38">
        <f>H885/(100-BE885)*100</f>
        <v>0</v>
      </c>
      <c r="BE885" s="38">
        <v>0</v>
      </c>
      <c r="BF885" s="38">
        <f>K885</f>
        <v>0.14400000000000002</v>
      </c>
      <c r="BH885" s="80">
        <f>G885*AO885</f>
        <v>0</v>
      </c>
      <c r="BI885" s="80">
        <f>G885*AP885</f>
        <v>0</v>
      </c>
      <c r="BJ885" s="80">
        <f>G885*H885</f>
        <v>0</v>
      </c>
      <c r="BK885" s="80"/>
      <c r="BL885" s="38">
        <v>79</v>
      </c>
      <c r="BW885" s="38">
        <v>21</v>
      </c>
    </row>
    <row r="886" spans="1:12" ht="15">
      <c r="A886" s="74"/>
      <c r="D886" s="75" t="s">
        <v>166</v>
      </c>
      <c r="E886" s="75" t="s">
        <v>4</v>
      </c>
      <c r="G886" s="76">
        <v>6</v>
      </c>
      <c r="L886" s="77"/>
    </row>
    <row r="887" spans="1:75" ht="27" customHeight="1">
      <c r="A887" s="78" t="s">
        <v>1600</v>
      </c>
      <c r="B887" s="79" t="s">
        <v>84</v>
      </c>
      <c r="C887" s="79" t="s">
        <v>1601</v>
      </c>
      <c r="D887" s="198" t="s">
        <v>1602</v>
      </c>
      <c r="E887" s="199"/>
      <c r="F887" s="79" t="s">
        <v>199</v>
      </c>
      <c r="G887" s="80">
        <v>106</v>
      </c>
      <c r="H887" s="81">
        <v>0</v>
      </c>
      <c r="I887" s="80">
        <f>G887*H887</f>
        <v>0</v>
      </c>
      <c r="J887" s="80">
        <v>0.024</v>
      </c>
      <c r="K887" s="80">
        <f>G887*J887</f>
        <v>2.544</v>
      </c>
      <c r="L887" s="82" t="s">
        <v>207</v>
      </c>
      <c r="Z887" s="38">
        <f>IF(AQ887="5",BJ887,0)</f>
        <v>0</v>
      </c>
      <c r="AB887" s="38">
        <f>IF(AQ887="1",BH887,0)</f>
        <v>0</v>
      </c>
      <c r="AC887" s="38">
        <f>IF(AQ887="1",BI887,0)</f>
        <v>0</v>
      </c>
      <c r="AD887" s="38">
        <f>IF(AQ887="7",BH887,0)</f>
        <v>0</v>
      </c>
      <c r="AE887" s="38">
        <f>IF(AQ887="7",BI887,0)</f>
        <v>0</v>
      </c>
      <c r="AF887" s="38">
        <f>IF(AQ887="2",BH887,0)</f>
        <v>0</v>
      </c>
      <c r="AG887" s="38">
        <f>IF(AQ887="2",BI887,0)</f>
        <v>0</v>
      </c>
      <c r="AH887" s="38">
        <f>IF(AQ887="0",BJ887,0)</f>
        <v>0</v>
      </c>
      <c r="AI887" s="50" t="s">
        <v>84</v>
      </c>
      <c r="AJ887" s="80">
        <f>IF(AN887=0,I887,0)</f>
        <v>0</v>
      </c>
      <c r="AK887" s="80">
        <f>IF(AN887=12,I887,0)</f>
        <v>0</v>
      </c>
      <c r="AL887" s="80">
        <f>IF(AN887=21,I887,0)</f>
        <v>0</v>
      </c>
      <c r="AN887" s="38">
        <v>21</v>
      </c>
      <c r="AO887" s="38">
        <f>H887*1</f>
        <v>0</v>
      </c>
      <c r="AP887" s="38">
        <f>H887*(1-1)</f>
        <v>0</v>
      </c>
      <c r="AQ887" s="83" t="s">
        <v>169</v>
      </c>
      <c r="AV887" s="38">
        <f>AW887+AX887</f>
        <v>0</v>
      </c>
      <c r="AW887" s="38">
        <f>G887*AO887</f>
        <v>0</v>
      </c>
      <c r="AX887" s="38">
        <f>G887*AP887</f>
        <v>0</v>
      </c>
      <c r="AY887" s="72" t="s">
        <v>1594</v>
      </c>
      <c r="AZ887" s="72" t="s">
        <v>1595</v>
      </c>
      <c r="BA887" s="50" t="s">
        <v>139</v>
      </c>
      <c r="BC887" s="38">
        <f>AW887+AX887</f>
        <v>0</v>
      </c>
      <c r="BD887" s="38">
        <f>H887/(100-BE887)*100</f>
        <v>0</v>
      </c>
      <c r="BE887" s="38">
        <v>0</v>
      </c>
      <c r="BF887" s="38">
        <f>K887</f>
        <v>2.544</v>
      </c>
      <c r="BH887" s="80">
        <f>G887*AO887</f>
        <v>0</v>
      </c>
      <c r="BI887" s="80">
        <f>G887*AP887</f>
        <v>0</v>
      </c>
      <c r="BJ887" s="80">
        <f>G887*H887</f>
        <v>0</v>
      </c>
      <c r="BK887" s="80"/>
      <c r="BL887" s="38">
        <v>79</v>
      </c>
      <c r="BW887" s="38">
        <v>21</v>
      </c>
    </row>
    <row r="888" spans="1:12" ht="15">
      <c r="A888" s="74"/>
      <c r="D888" s="75" t="s">
        <v>776</v>
      </c>
      <c r="E888" s="75" t="s">
        <v>4</v>
      </c>
      <c r="G888" s="76">
        <v>106</v>
      </c>
      <c r="L888" s="77"/>
    </row>
    <row r="889" spans="1:75" ht="27" customHeight="1">
      <c r="A889" s="78" t="s">
        <v>1603</v>
      </c>
      <c r="B889" s="79" t="s">
        <v>84</v>
      </c>
      <c r="C889" s="79" t="s">
        <v>1604</v>
      </c>
      <c r="D889" s="198" t="s">
        <v>1605</v>
      </c>
      <c r="E889" s="199"/>
      <c r="F889" s="79" t="s">
        <v>199</v>
      </c>
      <c r="G889" s="80">
        <v>22</v>
      </c>
      <c r="H889" s="81">
        <v>0</v>
      </c>
      <c r="I889" s="80">
        <f>G889*H889</f>
        <v>0</v>
      </c>
      <c r="J889" s="80">
        <v>0.0297</v>
      </c>
      <c r="K889" s="80">
        <f>G889*J889</f>
        <v>0.6534</v>
      </c>
      <c r="L889" s="82" t="s">
        <v>207</v>
      </c>
      <c r="Z889" s="38">
        <f>IF(AQ889="5",BJ889,0)</f>
        <v>0</v>
      </c>
      <c r="AB889" s="38">
        <f>IF(AQ889="1",BH889,0)</f>
        <v>0</v>
      </c>
      <c r="AC889" s="38">
        <f>IF(AQ889="1",BI889,0)</f>
        <v>0</v>
      </c>
      <c r="AD889" s="38">
        <f>IF(AQ889="7",BH889,0)</f>
        <v>0</v>
      </c>
      <c r="AE889" s="38">
        <f>IF(AQ889="7",BI889,0)</f>
        <v>0</v>
      </c>
      <c r="AF889" s="38">
        <f>IF(AQ889="2",BH889,0)</f>
        <v>0</v>
      </c>
      <c r="AG889" s="38">
        <f>IF(AQ889="2",BI889,0)</f>
        <v>0</v>
      </c>
      <c r="AH889" s="38">
        <f>IF(AQ889="0",BJ889,0)</f>
        <v>0</v>
      </c>
      <c r="AI889" s="50" t="s">
        <v>84</v>
      </c>
      <c r="AJ889" s="80">
        <f>IF(AN889=0,I889,0)</f>
        <v>0</v>
      </c>
      <c r="AK889" s="80">
        <f>IF(AN889=12,I889,0)</f>
        <v>0</v>
      </c>
      <c r="AL889" s="80">
        <f>IF(AN889=21,I889,0)</f>
        <v>0</v>
      </c>
      <c r="AN889" s="38">
        <v>21</v>
      </c>
      <c r="AO889" s="38">
        <f>H889*1</f>
        <v>0</v>
      </c>
      <c r="AP889" s="38">
        <f>H889*(1-1)</f>
        <v>0</v>
      </c>
      <c r="AQ889" s="83" t="s">
        <v>169</v>
      </c>
      <c r="AV889" s="38">
        <f>AW889+AX889</f>
        <v>0</v>
      </c>
      <c r="AW889" s="38">
        <f>G889*AO889</f>
        <v>0</v>
      </c>
      <c r="AX889" s="38">
        <f>G889*AP889</f>
        <v>0</v>
      </c>
      <c r="AY889" s="72" t="s">
        <v>1594</v>
      </c>
      <c r="AZ889" s="72" t="s">
        <v>1595</v>
      </c>
      <c r="BA889" s="50" t="s">
        <v>139</v>
      </c>
      <c r="BC889" s="38">
        <f>AW889+AX889</f>
        <v>0</v>
      </c>
      <c r="BD889" s="38">
        <f>H889/(100-BE889)*100</f>
        <v>0</v>
      </c>
      <c r="BE889" s="38">
        <v>0</v>
      </c>
      <c r="BF889" s="38">
        <f>K889</f>
        <v>0.6534</v>
      </c>
      <c r="BH889" s="80">
        <f>G889*AO889</f>
        <v>0</v>
      </c>
      <c r="BI889" s="80">
        <f>G889*AP889</f>
        <v>0</v>
      </c>
      <c r="BJ889" s="80">
        <f>G889*H889</f>
        <v>0</v>
      </c>
      <c r="BK889" s="80"/>
      <c r="BL889" s="38">
        <v>79</v>
      </c>
      <c r="BW889" s="38">
        <v>21</v>
      </c>
    </row>
    <row r="890" spans="1:12" ht="15">
      <c r="A890" s="74"/>
      <c r="D890" s="75" t="s">
        <v>267</v>
      </c>
      <c r="E890" s="75" t="s">
        <v>4</v>
      </c>
      <c r="G890" s="76">
        <v>22</v>
      </c>
      <c r="L890" s="77"/>
    </row>
    <row r="891" spans="1:75" ht="13.5" customHeight="1">
      <c r="A891" s="1" t="s">
        <v>1606</v>
      </c>
      <c r="B891" s="2" t="s">
        <v>84</v>
      </c>
      <c r="C891" s="2" t="s">
        <v>1607</v>
      </c>
      <c r="D891" s="108" t="s">
        <v>1608</v>
      </c>
      <c r="E891" s="103"/>
      <c r="F891" s="2" t="s">
        <v>1593</v>
      </c>
      <c r="G891" s="38">
        <v>9</v>
      </c>
      <c r="H891" s="70">
        <v>0</v>
      </c>
      <c r="I891" s="38">
        <f>G891*H891</f>
        <v>0</v>
      </c>
      <c r="J891" s="38">
        <v>0</v>
      </c>
      <c r="K891" s="38">
        <f>G891*J891</f>
        <v>0</v>
      </c>
      <c r="L891" s="71" t="s">
        <v>207</v>
      </c>
      <c r="Z891" s="38">
        <f>IF(AQ891="5",BJ891,0)</f>
        <v>0</v>
      </c>
      <c r="AB891" s="38">
        <f>IF(AQ891="1",BH891,0)</f>
        <v>0</v>
      </c>
      <c r="AC891" s="38">
        <f>IF(AQ891="1",BI891,0)</f>
        <v>0</v>
      </c>
      <c r="AD891" s="38">
        <f>IF(AQ891="7",BH891,0)</f>
        <v>0</v>
      </c>
      <c r="AE891" s="38">
        <f>IF(AQ891="7",BI891,0)</f>
        <v>0</v>
      </c>
      <c r="AF891" s="38">
        <f>IF(AQ891="2",BH891,0)</f>
        <v>0</v>
      </c>
      <c r="AG891" s="38">
        <f>IF(AQ891="2",BI891,0)</f>
        <v>0</v>
      </c>
      <c r="AH891" s="38">
        <f>IF(AQ891="0",BJ891,0)</f>
        <v>0</v>
      </c>
      <c r="AI891" s="50" t="s">
        <v>84</v>
      </c>
      <c r="AJ891" s="38">
        <f>IF(AN891=0,I891,0)</f>
        <v>0</v>
      </c>
      <c r="AK891" s="38">
        <f>IF(AN891=12,I891,0)</f>
        <v>0</v>
      </c>
      <c r="AL891" s="38">
        <f>IF(AN891=21,I891,0)</f>
        <v>0</v>
      </c>
      <c r="AN891" s="38">
        <v>21</v>
      </c>
      <c r="AO891" s="38">
        <f>H891*1</f>
        <v>0</v>
      </c>
      <c r="AP891" s="38">
        <f>H891*(1-1)</f>
        <v>0</v>
      </c>
      <c r="AQ891" s="72" t="s">
        <v>169</v>
      </c>
      <c r="AV891" s="38">
        <f>AW891+AX891</f>
        <v>0</v>
      </c>
      <c r="AW891" s="38">
        <f>G891*AO891</f>
        <v>0</v>
      </c>
      <c r="AX891" s="38">
        <f>G891*AP891</f>
        <v>0</v>
      </c>
      <c r="AY891" s="72" t="s">
        <v>1594</v>
      </c>
      <c r="AZ891" s="72" t="s">
        <v>1595</v>
      </c>
      <c r="BA891" s="50" t="s">
        <v>139</v>
      </c>
      <c r="BB891" s="73">
        <v>100002</v>
      </c>
      <c r="BC891" s="38">
        <f>AW891+AX891</f>
        <v>0</v>
      </c>
      <c r="BD891" s="38">
        <f>H891/(100-BE891)*100</f>
        <v>0</v>
      </c>
      <c r="BE891" s="38">
        <v>0</v>
      </c>
      <c r="BF891" s="38">
        <f>K891</f>
        <v>0</v>
      </c>
      <c r="BH891" s="38">
        <f>G891*AO891</f>
        <v>0</v>
      </c>
      <c r="BI891" s="38">
        <f>G891*AP891</f>
        <v>0</v>
      </c>
      <c r="BJ891" s="38">
        <f>G891*H891</f>
        <v>0</v>
      </c>
      <c r="BK891" s="38"/>
      <c r="BL891" s="38">
        <v>79</v>
      </c>
      <c r="BW891" s="38">
        <v>21</v>
      </c>
    </row>
    <row r="892" spans="1:12" ht="13.5" customHeight="1">
      <c r="A892" s="74"/>
      <c r="D892" s="194" t="s">
        <v>1609</v>
      </c>
      <c r="E892" s="195"/>
      <c r="F892" s="195"/>
      <c r="G892" s="195"/>
      <c r="H892" s="196"/>
      <c r="I892" s="195"/>
      <c r="J892" s="195"/>
      <c r="K892" s="195"/>
      <c r="L892" s="197"/>
    </row>
    <row r="893" spans="1:12" ht="15">
      <c r="A893" s="74"/>
      <c r="D893" s="75" t="s">
        <v>180</v>
      </c>
      <c r="E893" s="75" t="s">
        <v>4</v>
      </c>
      <c r="G893" s="76">
        <v>9</v>
      </c>
      <c r="L893" s="77"/>
    </row>
    <row r="894" spans="1:75" ht="13.5" customHeight="1">
      <c r="A894" s="1" t="s">
        <v>1610</v>
      </c>
      <c r="B894" s="2" t="s">
        <v>84</v>
      </c>
      <c r="C894" s="2" t="s">
        <v>1611</v>
      </c>
      <c r="D894" s="108" t="s">
        <v>1612</v>
      </c>
      <c r="E894" s="103"/>
      <c r="F894" s="2" t="s">
        <v>199</v>
      </c>
      <c r="G894" s="38">
        <v>1</v>
      </c>
      <c r="H894" s="70">
        <v>0</v>
      </c>
      <c r="I894" s="38">
        <f>G894*H894</f>
        <v>0</v>
      </c>
      <c r="J894" s="38">
        <v>0</v>
      </c>
      <c r="K894" s="38">
        <f>G894*J894</f>
        <v>0</v>
      </c>
      <c r="L894" s="71" t="s">
        <v>207</v>
      </c>
      <c r="Z894" s="38">
        <f>IF(AQ894="5",BJ894,0)</f>
        <v>0</v>
      </c>
      <c r="AB894" s="38">
        <f>IF(AQ894="1",BH894,0)</f>
        <v>0</v>
      </c>
      <c r="AC894" s="38">
        <f>IF(AQ894="1",BI894,0)</f>
        <v>0</v>
      </c>
      <c r="AD894" s="38">
        <f>IF(AQ894="7",BH894,0)</f>
        <v>0</v>
      </c>
      <c r="AE894" s="38">
        <f>IF(AQ894="7",BI894,0)</f>
        <v>0</v>
      </c>
      <c r="AF894" s="38">
        <f>IF(AQ894="2",BH894,0)</f>
        <v>0</v>
      </c>
      <c r="AG894" s="38">
        <f>IF(AQ894="2",BI894,0)</f>
        <v>0</v>
      </c>
      <c r="AH894" s="38">
        <f>IF(AQ894="0",BJ894,0)</f>
        <v>0</v>
      </c>
      <c r="AI894" s="50" t="s">
        <v>84</v>
      </c>
      <c r="AJ894" s="38">
        <f>IF(AN894=0,I894,0)</f>
        <v>0</v>
      </c>
      <c r="AK894" s="38">
        <f>IF(AN894=12,I894,0)</f>
        <v>0</v>
      </c>
      <c r="AL894" s="38">
        <f>IF(AN894=21,I894,0)</f>
        <v>0</v>
      </c>
      <c r="AN894" s="38">
        <v>21</v>
      </c>
      <c r="AO894" s="38">
        <f>H894*1</f>
        <v>0</v>
      </c>
      <c r="AP894" s="38">
        <f>H894*(1-1)</f>
        <v>0</v>
      </c>
      <c r="AQ894" s="72" t="s">
        <v>169</v>
      </c>
      <c r="AV894" s="38">
        <f>AW894+AX894</f>
        <v>0</v>
      </c>
      <c r="AW894" s="38">
        <f>G894*AO894</f>
        <v>0</v>
      </c>
      <c r="AX894" s="38">
        <f>G894*AP894</f>
        <v>0</v>
      </c>
      <c r="AY894" s="72" t="s">
        <v>1594</v>
      </c>
      <c r="AZ894" s="72" t="s">
        <v>1595</v>
      </c>
      <c r="BA894" s="50" t="s">
        <v>139</v>
      </c>
      <c r="BB894" s="73">
        <v>100002</v>
      </c>
      <c r="BC894" s="38">
        <f>AW894+AX894</f>
        <v>0</v>
      </c>
      <c r="BD894" s="38">
        <f>H894/(100-BE894)*100</f>
        <v>0</v>
      </c>
      <c r="BE894" s="38">
        <v>0</v>
      </c>
      <c r="BF894" s="38">
        <f>K894</f>
        <v>0</v>
      </c>
      <c r="BH894" s="38">
        <f>G894*AO894</f>
        <v>0</v>
      </c>
      <c r="BI894" s="38">
        <f>G894*AP894</f>
        <v>0</v>
      </c>
      <c r="BJ894" s="38">
        <f>G894*H894</f>
        <v>0</v>
      </c>
      <c r="BK894" s="38"/>
      <c r="BL894" s="38">
        <v>79</v>
      </c>
      <c r="BW894" s="38">
        <v>21</v>
      </c>
    </row>
    <row r="895" spans="1:12" ht="13.5" customHeight="1">
      <c r="A895" s="74"/>
      <c r="D895" s="194" t="s">
        <v>1609</v>
      </c>
      <c r="E895" s="195"/>
      <c r="F895" s="195"/>
      <c r="G895" s="195"/>
      <c r="H895" s="196"/>
      <c r="I895" s="195"/>
      <c r="J895" s="195"/>
      <c r="K895" s="195"/>
      <c r="L895" s="197"/>
    </row>
    <row r="896" spans="1:12" ht="15">
      <c r="A896" s="74"/>
      <c r="D896" s="75" t="s">
        <v>132</v>
      </c>
      <c r="E896" s="75" t="s">
        <v>4</v>
      </c>
      <c r="G896" s="76">
        <v>1</v>
      </c>
      <c r="L896" s="77"/>
    </row>
    <row r="897" spans="1:75" ht="13.5" customHeight="1">
      <c r="A897" s="1" t="s">
        <v>1613</v>
      </c>
      <c r="B897" s="2" t="s">
        <v>84</v>
      </c>
      <c r="C897" s="2" t="s">
        <v>1614</v>
      </c>
      <c r="D897" s="108" t="s">
        <v>1615</v>
      </c>
      <c r="E897" s="103"/>
      <c r="F897" s="2" t="s">
        <v>199</v>
      </c>
      <c r="G897" s="38">
        <v>1</v>
      </c>
      <c r="H897" s="70">
        <v>0</v>
      </c>
      <c r="I897" s="38">
        <f>G897*H897</f>
        <v>0</v>
      </c>
      <c r="J897" s="38">
        <v>0</v>
      </c>
      <c r="K897" s="38">
        <f>G897*J897</f>
        <v>0</v>
      </c>
      <c r="L897" s="71" t="s">
        <v>207</v>
      </c>
      <c r="Z897" s="38">
        <f>IF(AQ897="5",BJ897,0)</f>
        <v>0</v>
      </c>
      <c r="AB897" s="38">
        <f>IF(AQ897="1",BH897,0)</f>
        <v>0</v>
      </c>
      <c r="AC897" s="38">
        <f>IF(AQ897="1",BI897,0)</f>
        <v>0</v>
      </c>
      <c r="AD897" s="38">
        <f>IF(AQ897="7",BH897,0)</f>
        <v>0</v>
      </c>
      <c r="AE897" s="38">
        <f>IF(AQ897="7",BI897,0)</f>
        <v>0</v>
      </c>
      <c r="AF897" s="38">
        <f>IF(AQ897="2",BH897,0)</f>
        <v>0</v>
      </c>
      <c r="AG897" s="38">
        <f>IF(AQ897="2",BI897,0)</f>
        <v>0</v>
      </c>
      <c r="AH897" s="38">
        <f>IF(AQ897="0",BJ897,0)</f>
        <v>0</v>
      </c>
      <c r="AI897" s="50" t="s">
        <v>84</v>
      </c>
      <c r="AJ897" s="38">
        <f>IF(AN897=0,I897,0)</f>
        <v>0</v>
      </c>
      <c r="AK897" s="38">
        <f>IF(AN897=12,I897,0)</f>
        <v>0</v>
      </c>
      <c r="AL897" s="38">
        <f>IF(AN897=21,I897,0)</f>
        <v>0</v>
      </c>
      <c r="AN897" s="38">
        <v>21</v>
      </c>
      <c r="AO897" s="38">
        <f>H897*0.877192982</f>
        <v>0</v>
      </c>
      <c r="AP897" s="38">
        <f>H897*(1-0.877192982)</f>
        <v>0</v>
      </c>
      <c r="AQ897" s="72" t="s">
        <v>169</v>
      </c>
      <c r="AV897" s="38">
        <f>AW897+AX897</f>
        <v>0</v>
      </c>
      <c r="AW897" s="38">
        <f>G897*AO897</f>
        <v>0</v>
      </c>
      <c r="AX897" s="38">
        <f>G897*AP897</f>
        <v>0</v>
      </c>
      <c r="AY897" s="72" t="s">
        <v>1594</v>
      </c>
      <c r="AZ897" s="72" t="s">
        <v>1595</v>
      </c>
      <c r="BA897" s="50" t="s">
        <v>139</v>
      </c>
      <c r="BB897" s="73">
        <v>100002</v>
      </c>
      <c r="BC897" s="38">
        <f>AW897+AX897</f>
        <v>0</v>
      </c>
      <c r="BD897" s="38">
        <f>H897/(100-BE897)*100</f>
        <v>0</v>
      </c>
      <c r="BE897" s="38">
        <v>0</v>
      </c>
      <c r="BF897" s="38">
        <f>K897</f>
        <v>0</v>
      </c>
      <c r="BH897" s="38">
        <f>G897*AO897</f>
        <v>0</v>
      </c>
      <c r="BI897" s="38">
        <f>G897*AP897</f>
        <v>0</v>
      </c>
      <c r="BJ897" s="38">
        <f>G897*H897</f>
        <v>0</v>
      </c>
      <c r="BK897" s="38"/>
      <c r="BL897" s="38">
        <v>79</v>
      </c>
      <c r="BW897" s="38">
        <v>21</v>
      </c>
    </row>
    <row r="898" spans="1:12" ht="13.5" customHeight="1">
      <c r="A898" s="74"/>
      <c r="D898" s="194" t="s">
        <v>1609</v>
      </c>
      <c r="E898" s="195"/>
      <c r="F898" s="195"/>
      <c r="G898" s="195"/>
      <c r="H898" s="196"/>
      <c r="I898" s="195"/>
      <c r="J898" s="195"/>
      <c r="K898" s="195"/>
      <c r="L898" s="197"/>
    </row>
    <row r="899" spans="1:12" ht="15">
      <c r="A899" s="74"/>
      <c r="D899" s="75" t="s">
        <v>132</v>
      </c>
      <c r="E899" s="75" t="s">
        <v>4</v>
      </c>
      <c r="G899" s="76">
        <v>1</v>
      </c>
      <c r="L899" s="77"/>
    </row>
    <row r="900" spans="1:75" ht="13.5" customHeight="1">
      <c r="A900" s="1" t="s">
        <v>1616</v>
      </c>
      <c r="B900" s="2" t="s">
        <v>84</v>
      </c>
      <c r="C900" s="2" t="s">
        <v>1614</v>
      </c>
      <c r="D900" s="108" t="s">
        <v>1617</v>
      </c>
      <c r="E900" s="103"/>
      <c r="F900" s="2" t="s">
        <v>199</v>
      </c>
      <c r="G900" s="38">
        <v>2</v>
      </c>
      <c r="H900" s="70">
        <v>0</v>
      </c>
      <c r="I900" s="38">
        <f>G900*H900</f>
        <v>0</v>
      </c>
      <c r="J900" s="38">
        <v>0</v>
      </c>
      <c r="K900" s="38">
        <f>G900*J900</f>
        <v>0</v>
      </c>
      <c r="L900" s="71" t="s">
        <v>207</v>
      </c>
      <c r="Z900" s="38">
        <f>IF(AQ900="5",BJ900,0)</f>
        <v>0</v>
      </c>
      <c r="AB900" s="38">
        <f>IF(AQ900="1",BH900,0)</f>
        <v>0</v>
      </c>
      <c r="AC900" s="38">
        <f>IF(AQ900="1",BI900,0)</f>
        <v>0</v>
      </c>
      <c r="AD900" s="38">
        <f>IF(AQ900="7",BH900,0)</f>
        <v>0</v>
      </c>
      <c r="AE900" s="38">
        <f>IF(AQ900="7",BI900,0)</f>
        <v>0</v>
      </c>
      <c r="AF900" s="38">
        <f>IF(AQ900="2",BH900,0)</f>
        <v>0</v>
      </c>
      <c r="AG900" s="38">
        <f>IF(AQ900="2",BI900,0)</f>
        <v>0</v>
      </c>
      <c r="AH900" s="38">
        <f>IF(AQ900="0",BJ900,0)</f>
        <v>0</v>
      </c>
      <c r="AI900" s="50" t="s">
        <v>84</v>
      </c>
      <c r="AJ900" s="38">
        <f>IF(AN900=0,I900,0)</f>
        <v>0</v>
      </c>
      <c r="AK900" s="38">
        <f>IF(AN900=12,I900,0)</f>
        <v>0</v>
      </c>
      <c r="AL900" s="38">
        <f>IF(AN900=21,I900,0)</f>
        <v>0</v>
      </c>
      <c r="AN900" s="38">
        <v>21</v>
      </c>
      <c r="AO900" s="38">
        <f>H900*0.927835052</f>
        <v>0</v>
      </c>
      <c r="AP900" s="38">
        <f>H900*(1-0.927835052)</f>
        <v>0</v>
      </c>
      <c r="AQ900" s="72" t="s">
        <v>169</v>
      </c>
      <c r="AV900" s="38">
        <f>AW900+AX900</f>
        <v>0</v>
      </c>
      <c r="AW900" s="38">
        <f>G900*AO900</f>
        <v>0</v>
      </c>
      <c r="AX900" s="38">
        <f>G900*AP900</f>
        <v>0</v>
      </c>
      <c r="AY900" s="72" t="s">
        <v>1594</v>
      </c>
      <c r="AZ900" s="72" t="s">
        <v>1595</v>
      </c>
      <c r="BA900" s="50" t="s">
        <v>139</v>
      </c>
      <c r="BB900" s="73">
        <v>100002</v>
      </c>
      <c r="BC900" s="38">
        <f>AW900+AX900</f>
        <v>0</v>
      </c>
      <c r="BD900" s="38">
        <f>H900/(100-BE900)*100</f>
        <v>0</v>
      </c>
      <c r="BE900" s="38">
        <v>0</v>
      </c>
      <c r="BF900" s="38">
        <f>K900</f>
        <v>0</v>
      </c>
      <c r="BH900" s="38">
        <f>G900*AO900</f>
        <v>0</v>
      </c>
      <c r="BI900" s="38">
        <f>G900*AP900</f>
        <v>0</v>
      </c>
      <c r="BJ900" s="38">
        <f>G900*H900</f>
        <v>0</v>
      </c>
      <c r="BK900" s="38"/>
      <c r="BL900" s="38">
        <v>79</v>
      </c>
      <c r="BW900" s="38">
        <v>21</v>
      </c>
    </row>
    <row r="901" spans="1:12" ht="13.5" customHeight="1">
      <c r="A901" s="74"/>
      <c r="D901" s="194" t="s">
        <v>1609</v>
      </c>
      <c r="E901" s="195"/>
      <c r="F901" s="195"/>
      <c r="G901" s="195"/>
      <c r="H901" s="196"/>
      <c r="I901" s="195"/>
      <c r="J901" s="195"/>
      <c r="K901" s="195"/>
      <c r="L901" s="197"/>
    </row>
    <row r="902" spans="1:12" ht="15">
      <c r="A902" s="74"/>
      <c r="D902" s="75" t="s">
        <v>143</v>
      </c>
      <c r="E902" s="75" t="s">
        <v>4</v>
      </c>
      <c r="G902" s="76">
        <v>2</v>
      </c>
      <c r="L902" s="77"/>
    </row>
    <row r="903" spans="1:75" ht="13.5" customHeight="1">
      <c r="A903" s="1" t="s">
        <v>1618</v>
      </c>
      <c r="B903" s="2" t="s">
        <v>84</v>
      </c>
      <c r="C903" s="2" t="s">
        <v>1614</v>
      </c>
      <c r="D903" s="108" t="s">
        <v>1619</v>
      </c>
      <c r="E903" s="103"/>
      <c r="F903" s="2" t="s">
        <v>199</v>
      </c>
      <c r="G903" s="38">
        <v>1</v>
      </c>
      <c r="H903" s="70">
        <v>0</v>
      </c>
      <c r="I903" s="38">
        <f>G903*H903</f>
        <v>0</v>
      </c>
      <c r="J903" s="38">
        <v>0.005</v>
      </c>
      <c r="K903" s="38">
        <f>G903*J903</f>
        <v>0.005</v>
      </c>
      <c r="L903" s="71" t="s">
        <v>207</v>
      </c>
      <c r="Z903" s="38">
        <f>IF(AQ903="5",BJ903,0)</f>
        <v>0</v>
      </c>
      <c r="AB903" s="38">
        <f>IF(AQ903="1",BH903,0)</f>
        <v>0</v>
      </c>
      <c r="AC903" s="38">
        <f>IF(AQ903="1",BI903,0)</f>
        <v>0</v>
      </c>
      <c r="AD903" s="38">
        <f>IF(AQ903="7",BH903,0)</f>
        <v>0</v>
      </c>
      <c r="AE903" s="38">
        <f>IF(AQ903="7",BI903,0)</f>
        <v>0</v>
      </c>
      <c r="AF903" s="38">
        <f>IF(AQ903="2",BH903,0)</f>
        <v>0</v>
      </c>
      <c r="AG903" s="38">
        <f>IF(AQ903="2",BI903,0)</f>
        <v>0</v>
      </c>
      <c r="AH903" s="38">
        <f>IF(AQ903="0",BJ903,0)</f>
        <v>0</v>
      </c>
      <c r="AI903" s="50" t="s">
        <v>84</v>
      </c>
      <c r="AJ903" s="38">
        <f>IF(AN903=0,I903,0)</f>
        <v>0</v>
      </c>
      <c r="AK903" s="38">
        <f>IF(AN903=12,I903,0)</f>
        <v>0</v>
      </c>
      <c r="AL903" s="38">
        <f>IF(AN903=21,I903,0)</f>
        <v>0</v>
      </c>
      <c r="AN903" s="38">
        <v>21</v>
      </c>
      <c r="AO903" s="38">
        <f>H903*0.630252101</f>
        <v>0</v>
      </c>
      <c r="AP903" s="38">
        <f>H903*(1-0.630252101)</f>
        <v>0</v>
      </c>
      <c r="AQ903" s="72" t="s">
        <v>169</v>
      </c>
      <c r="AV903" s="38">
        <f>AW903+AX903</f>
        <v>0</v>
      </c>
      <c r="AW903" s="38">
        <f>G903*AO903</f>
        <v>0</v>
      </c>
      <c r="AX903" s="38">
        <f>G903*AP903</f>
        <v>0</v>
      </c>
      <c r="AY903" s="72" t="s">
        <v>1594</v>
      </c>
      <c r="AZ903" s="72" t="s">
        <v>1595</v>
      </c>
      <c r="BA903" s="50" t="s">
        <v>139</v>
      </c>
      <c r="BB903" s="73">
        <v>100002</v>
      </c>
      <c r="BC903" s="38">
        <f>AW903+AX903</f>
        <v>0</v>
      </c>
      <c r="BD903" s="38">
        <f>H903/(100-BE903)*100</f>
        <v>0</v>
      </c>
      <c r="BE903" s="38">
        <v>0</v>
      </c>
      <c r="BF903" s="38">
        <f>K903</f>
        <v>0.005</v>
      </c>
      <c r="BH903" s="38">
        <f>G903*AO903</f>
        <v>0</v>
      </c>
      <c r="BI903" s="38">
        <f>G903*AP903</f>
        <v>0</v>
      </c>
      <c r="BJ903" s="38">
        <f>G903*H903</f>
        <v>0</v>
      </c>
      <c r="BK903" s="38"/>
      <c r="BL903" s="38">
        <v>79</v>
      </c>
      <c r="BW903" s="38">
        <v>21</v>
      </c>
    </row>
    <row r="904" spans="1:12" ht="13.5" customHeight="1">
      <c r="A904" s="74"/>
      <c r="D904" s="194" t="s">
        <v>1609</v>
      </c>
      <c r="E904" s="195"/>
      <c r="F904" s="195"/>
      <c r="G904" s="195"/>
      <c r="H904" s="196"/>
      <c r="I904" s="195"/>
      <c r="J904" s="195"/>
      <c r="K904" s="195"/>
      <c r="L904" s="197"/>
    </row>
    <row r="905" spans="1:12" ht="15">
      <c r="A905" s="74"/>
      <c r="D905" s="75" t="s">
        <v>132</v>
      </c>
      <c r="E905" s="75" t="s">
        <v>4</v>
      </c>
      <c r="G905" s="76">
        <v>1</v>
      </c>
      <c r="L905" s="77"/>
    </row>
    <row r="906" spans="1:75" ht="13.5" customHeight="1">
      <c r="A906" s="1" t="s">
        <v>1620</v>
      </c>
      <c r="B906" s="2" t="s">
        <v>84</v>
      </c>
      <c r="C906" s="2" t="s">
        <v>1614</v>
      </c>
      <c r="D906" s="108" t="s">
        <v>1621</v>
      </c>
      <c r="E906" s="103"/>
      <c r="F906" s="2" t="s">
        <v>199</v>
      </c>
      <c r="G906" s="38">
        <v>1</v>
      </c>
      <c r="H906" s="70">
        <v>0</v>
      </c>
      <c r="I906" s="38">
        <f>G906*H906</f>
        <v>0</v>
      </c>
      <c r="J906" s="38">
        <v>0.005</v>
      </c>
      <c r="K906" s="38">
        <f>G906*J906</f>
        <v>0.005</v>
      </c>
      <c r="L906" s="71" t="s">
        <v>207</v>
      </c>
      <c r="Z906" s="38">
        <f>IF(AQ906="5",BJ906,0)</f>
        <v>0</v>
      </c>
      <c r="AB906" s="38">
        <f>IF(AQ906="1",BH906,0)</f>
        <v>0</v>
      </c>
      <c r="AC906" s="38">
        <f>IF(AQ906="1",BI906,0)</f>
        <v>0</v>
      </c>
      <c r="AD906" s="38">
        <f>IF(AQ906="7",BH906,0)</f>
        <v>0</v>
      </c>
      <c r="AE906" s="38">
        <f>IF(AQ906="7",BI906,0)</f>
        <v>0</v>
      </c>
      <c r="AF906" s="38">
        <f>IF(AQ906="2",BH906,0)</f>
        <v>0</v>
      </c>
      <c r="AG906" s="38">
        <f>IF(AQ906="2",BI906,0)</f>
        <v>0</v>
      </c>
      <c r="AH906" s="38">
        <f>IF(AQ906="0",BJ906,0)</f>
        <v>0</v>
      </c>
      <c r="AI906" s="50" t="s">
        <v>84</v>
      </c>
      <c r="AJ906" s="38">
        <f>IF(AN906=0,I906,0)</f>
        <v>0</v>
      </c>
      <c r="AK906" s="38">
        <f>IF(AN906=12,I906,0)</f>
        <v>0</v>
      </c>
      <c r="AL906" s="38">
        <f>IF(AN906=21,I906,0)</f>
        <v>0</v>
      </c>
      <c r="AN906" s="38">
        <v>21</v>
      </c>
      <c r="AO906" s="38">
        <f>H906*0.630252101</f>
        <v>0</v>
      </c>
      <c r="AP906" s="38">
        <f>H906*(1-0.630252101)</f>
        <v>0</v>
      </c>
      <c r="AQ906" s="72" t="s">
        <v>169</v>
      </c>
      <c r="AV906" s="38">
        <f>AW906+AX906</f>
        <v>0</v>
      </c>
      <c r="AW906" s="38">
        <f>G906*AO906</f>
        <v>0</v>
      </c>
      <c r="AX906" s="38">
        <f>G906*AP906</f>
        <v>0</v>
      </c>
      <c r="AY906" s="72" t="s">
        <v>1594</v>
      </c>
      <c r="AZ906" s="72" t="s">
        <v>1595</v>
      </c>
      <c r="BA906" s="50" t="s">
        <v>139</v>
      </c>
      <c r="BB906" s="73">
        <v>100002</v>
      </c>
      <c r="BC906" s="38">
        <f>AW906+AX906</f>
        <v>0</v>
      </c>
      <c r="BD906" s="38">
        <f>H906/(100-BE906)*100</f>
        <v>0</v>
      </c>
      <c r="BE906" s="38">
        <v>0</v>
      </c>
      <c r="BF906" s="38">
        <f>K906</f>
        <v>0.005</v>
      </c>
      <c r="BH906" s="38">
        <f>G906*AO906</f>
        <v>0</v>
      </c>
      <c r="BI906" s="38">
        <f>G906*AP906</f>
        <v>0</v>
      </c>
      <c r="BJ906" s="38">
        <f>G906*H906</f>
        <v>0</v>
      </c>
      <c r="BK906" s="38"/>
      <c r="BL906" s="38">
        <v>79</v>
      </c>
      <c r="BW906" s="38">
        <v>21</v>
      </c>
    </row>
    <row r="907" spans="1:12" ht="13.5" customHeight="1">
      <c r="A907" s="74"/>
      <c r="D907" s="194" t="s">
        <v>1609</v>
      </c>
      <c r="E907" s="195"/>
      <c r="F907" s="195"/>
      <c r="G907" s="195"/>
      <c r="H907" s="196"/>
      <c r="I907" s="195"/>
      <c r="J907" s="195"/>
      <c r="K907" s="195"/>
      <c r="L907" s="197"/>
    </row>
    <row r="908" spans="1:12" ht="15">
      <c r="A908" s="74"/>
      <c r="D908" s="75" t="s">
        <v>132</v>
      </c>
      <c r="E908" s="75" t="s">
        <v>4</v>
      </c>
      <c r="G908" s="76">
        <v>1</v>
      </c>
      <c r="L908" s="77"/>
    </row>
    <row r="909" spans="1:47" ht="15">
      <c r="A909" s="65" t="s">
        <v>4</v>
      </c>
      <c r="B909" s="66" t="s">
        <v>84</v>
      </c>
      <c r="C909" s="66" t="s">
        <v>675</v>
      </c>
      <c r="D909" s="192" t="s">
        <v>1622</v>
      </c>
      <c r="E909" s="193"/>
      <c r="F909" s="67" t="s">
        <v>78</v>
      </c>
      <c r="G909" s="67" t="s">
        <v>78</v>
      </c>
      <c r="H909" s="68" t="s">
        <v>78</v>
      </c>
      <c r="I909" s="44">
        <f>SUM(I910:I916)</f>
        <v>0</v>
      </c>
      <c r="J909" s="50" t="s">
        <v>4</v>
      </c>
      <c r="K909" s="44">
        <f>SUM(K910:K916)</f>
        <v>27.340966999999996</v>
      </c>
      <c r="L909" s="69" t="s">
        <v>4</v>
      </c>
      <c r="AI909" s="50" t="s">
        <v>84</v>
      </c>
      <c r="AS909" s="44">
        <f>SUM(AJ910:AJ916)</f>
        <v>0</v>
      </c>
      <c r="AT909" s="44">
        <f>SUM(AK910:AK916)</f>
        <v>0</v>
      </c>
      <c r="AU909" s="44">
        <f>SUM(AL910:AL916)</f>
        <v>0</v>
      </c>
    </row>
    <row r="910" spans="1:75" ht="13.5" customHeight="1">
      <c r="A910" s="1" t="s">
        <v>1623</v>
      </c>
      <c r="B910" s="2" t="s">
        <v>84</v>
      </c>
      <c r="C910" s="2" t="s">
        <v>1624</v>
      </c>
      <c r="D910" s="108" t="s">
        <v>1625</v>
      </c>
      <c r="E910" s="103"/>
      <c r="F910" s="2" t="s">
        <v>214</v>
      </c>
      <c r="G910" s="38">
        <v>12.2</v>
      </c>
      <c r="H910" s="70">
        <v>0</v>
      </c>
      <c r="I910" s="38">
        <f>G910*H910</f>
        <v>0</v>
      </c>
      <c r="J910" s="38">
        <v>1.39713</v>
      </c>
      <c r="K910" s="38">
        <f>G910*J910</f>
        <v>17.044985999999998</v>
      </c>
      <c r="L910" s="71" t="s">
        <v>136</v>
      </c>
      <c r="Z910" s="38">
        <f>IF(AQ910="5",BJ910,0)</f>
        <v>0</v>
      </c>
      <c r="AB910" s="38">
        <f>IF(AQ910="1",BH910,0)</f>
        <v>0</v>
      </c>
      <c r="AC910" s="38">
        <f>IF(AQ910="1",BI910,0)</f>
        <v>0</v>
      </c>
      <c r="AD910" s="38">
        <f>IF(AQ910="7",BH910,0)</f>
        <v>0</v>
      </c>
      <c r="AE910" s="38">
        <f>IF(AQ910="7",BI910,0)</f>
        <v>0</v>
      </c>
      <c r="AF910" s="38">
        <f>IF(AQ910="2",BH910,0)</f>
        <v>0</v>
      </c>
      <c r="AG910" s="38">
        <f>IF(AQ910="2",BI910,0)</f>
        <v>0</v>
      </c>
      <c r="AH910" s="38">
        <f>IF(AQ910="0",BJ910,0)</f>
        <v>0</v>
      </c>
      <c r="AI910" s="50" t="s">
        <v>84</v>
      </c>
      <c r="AJ910" s="38">
        <f>IF(AN910=0,I910,0)</f>
        <v>0</v>
      </c>
      <c r="AK910" s="38">
        <f>IF(AN910=12,I910,0)</f>
        <v>0</v>
      </c>
      <c r="AL910" s="38">
        <f>IF(AN910=21,I910,0)</f>
        <v>0</v>
      </c>
      <c r="AN910" s="38">
        <v>21</v>
      </c>
      <c r="AO910" s="38">
        <f>H910*0.445005325</f>
        <v>0</v>
      </c>
      <c r="AP910" s="38">
        <f>H910*(1-0.445005325)</f>
        <v>0</v>
      </c>
      <c r="AQ910" s="72" t="s">
        <v>132</v>
      </c>
      <c r="AV910" s="38">
        <f>AW910+AX910</f>
        <v>0</v>
      </c>
      <c r="AW910" s="38">
        <f>G910*AO910</f>
        <v>0</v>
      </c>
      <c r="AX910" s="38">
        <f>G910*AP910</f>
        <v>0</v>
      </c>
      <c r="AY910" s="72" t="s">
        <v>1626</v>
      </c>
      <c r="AZ910" s="72" t="s">
        <v>1627</v>
      </c>
      <c r="BA910" s="50" t="s">
        <v>139</v>
      </c>
      <c r="BB910" s="73">
        <v>100046</v>
      </c>
      <c r="BC910" s="38">
        <f>AW910+AX910</f>
        <v>0</v>
      </c>
      <c r="BD910" s="38">
        <f>H910/(100-BE910)*100</f>
        <v>0</v>
      </c>
      <c r="BE910" s="38">
        <v>0</v>
      </c>
      <c r="BF910" s="38">
        <f>K910</f>
        <v>17.044985999999998</v>
      </c>
      <c r="BH910" s="38">
        <f>G910*AO910</f>
        <v>0</v>
      </c>
      <c r="BI910" s="38">
        <f>G910*AP910</f>
        <v>0</v>
      </c>
      <c r="BJ910" s="38">
        <f>G910*H910</f>
        <v>0</v>
      </c>
      <c r="BK910" s="38"/>
      <c r="BL910" s="38">
        <v>87</v>
      </c>
      <c r="BW910" s="38">
        <v>21</v>
      </c>
    </row>
    <row r="911" spans="1:12" ht="13.5" customHeight="1">
      <c r="A911" s="74"/>
      <c r="D911" s="194" t="s">
        <v>1628</v>
      </c>
      <c r="E911" s="195"/>
      <c r="F911" s="195"/>
      <c r="G911" s="195"/>
      <c r="H911" s="196"/>
      <c r="I911" s="195"/>
      <c r="J911" s="195"/>
      <c r="K911" s="195"/>
      <c r="L911" s="197"/>
    </row>
    <row r="912" spans="1:12" ht="15">
      <c r="A912" s="74"/>
      <c r="D912" s="75" t="s">
        <v>1629</v>
      </c>
      <c r="E912" s="75" t="s">
        <v>4</v>
      </c>
      <c r="G912" s="76">
        <v>12.2</v>
      </c>
      <c r="L912" s="77"/>
    </row>
    <row r="913" spans="1:75" ht="13.5" customHeight="1">
      <c r="A913" s="1" t="s">
        <v>1630</v>
      </c>
      <c r="B913" s="2" t="s">
        <v>84</v>
      </c>
      <c r="C913" s="2" t="s">
        <v>1631</v>
      </c>
      <c r="D913" s="108" t="s">
        <v>1632</v>
      </c>
      <c r="E913" s="103"/>
      <c r="F913" s="2" t="s">
        <v>214</v>
      </c>
      <c r="G913" s="38">
        <v>10.45</v>
      </c>
      <c r="H913" s="70">
        <v>0</v>
      </c>
      <c r="I913" s="38">
        <f>G913*H913</f>
        <v>0</v>
      </c>
      <c r="J913" s="38">
        <v>0.90902</v>
      </c>
      <c r="K913" s="38">
        <f>G913*J913</f>
        <v>9.499259</v>
      </c>
      <c r="L913" s="71" t="s">
        <v>136</v>
      </c>
      <c r="Z913" s="38">
        <f>IF(AQ913="5",BJ913,0)</f>
        <v>0</v>
      </c>
      <c r="AB913" s="38">
        <f>IF(AQ913="1",BH913,0)</f>
        <v>0</v>
      </c>
      <c r="AC913" s="38">
        <f>IF(AQ913="1",BI913,0)</f>
        <v>0</v>
      </c>
      <c r="AD913" s="38">
        <f>IF(AQ913="7",BH913,0)</f>
        <v>0</v>
      </c>
      <c r="AE913" s="38">
        <f>IF(AQ913="7",BI913,0)</f>
        <v>0</v>
      </c>
      <c r="AF913" s="38">
        <f>IF(AQ913="2",BH913,0)</f>
        <v>0</v>
      </c>
      <c r="AG913" s="38">
        <f>IF(AQ913="2",BI913,0)</f>
        <v>0</v>
      </c>
      <c r="AH913" s="38">
        <f>IF(AQ913="0",BJ913,0)</f>
        <v>0</v>
      </c>
      <c r="AI913" s="50" t="s">
        <v>84</v>
      </c>
      <c r="AJ913" s="38">
        <f>IF(AN913=0,I913,0)</f>
        <v>0</v>
      </c>
      <c r="AK913" s="38">
        <f>IF(AN913=12,I913,0)</f>
        <v>0</v>
      </c>
      <c r="AL913" s="38">
        <f>IF(AN913=21,I913,0)</f>
        <v>0</v>
      </c>
      <c r="AN913" s="38">
        <v>21</v>
      </c>
      <c r="AO913" s="38">
        <f>H913*0.274283878</f>
        <v>0</v>
      </c>
      <c r="AP913" s="38">
        <f>H913*(1-0.274283878)</f>
        <v>0</v>
      </c>
      <c r="AQ913" s="72" t="s">
        <v>132</v>
      </c>
      <c r="AV913" s="38">
        <f>AW913+AX913</f>
        <v>0</v>
      </c>
      <c r="AW913" s="38">
        <f>G913*AO913</f>
        <v>0</v>
      </c>
      <c r="AX913" s="38">
        <f>G913*AP913</f>
        <v>0</v>
      </c>
      <c r="AY913" s="72" t="s">
        <v>1626</v>
      </c>
      <c r="AZ913" s="72" t="s">
        <v>1627</v>
      </c>
      <c r="BA913" s="50" t="s">
        <v>139</v>
      </c>
      <c r="BB913" s="73">
        <v>100046</v>
      </c>
      <c r="BC913" s="38">
        <f>AW913+AX913</f>
        <v>0</v>
      </c>
      <c r="BD913" s="38">
        <f>H913/(100-BE913)*100</f>
        <v>0</v>
      </c>
      <c r="BE913" s="38">
        <v>0</v>
      </c>
      <c r="BF913" s="38">
        <f>K913</f>
        <v>9.499259</v>
      </c>
      <c r="BH913" s="38">
        <f>G913*AO913</f>
        <v>0</v>
      </c>
      <c r="BI913" s="38">
        <f>G913*AP913</f>
        <v>0</v>
      </c>
      <c r="BJ913" s="38">
        <f>G913*H913</f>
        <v>0</v>
      </c>
      <c r="BK913" s="38"/>
      <c r="BL913" s="38">
        <v>87</v>
      </c>
      <c r="BW913" s="38">
        <v>21</v>
      </c>
    </row>
    <row r="914" spans="1:12" ht="13.5" customHeight="1">
      <c r="A914" s="74"/>
      <c r="D914" s="194" t="s">
        <v>1633</v>
      </c>
      <c r="E914" s="195"/>
      <c r="F914" s="195"/>
      <c r="G914" s="195"/>
      <c r="H914" s="196"/>
      <c r="I914" s="195"/>
      <c r="J914" s="195"/>
      <c r="K914" s="195"/>
      <c r="L914" s="197"/>
    </row>
    <row r="915" spans="1:12" ht="15">
      <c r="A915" s="74"/>
      <c r="D915" s="75" t="s">
        <v>1634</v>
      </c>
      <c r="E915" s="75" t="s">
        <v>4</v>
      </c>
      <c r="G915" s="76">
        <v>10.45</v>
      </c>
      <c r="L915" s="77"/>
    </row>
    <row r="916" spans="1:75" ht="13.5" customHeight="1">
      <c r="A916" s="1" t="s">
        <v>1635</v>
      </c>
      <c r="B916" s="2" t="s">
        <v>84</v>
      </c>
      <c r="C916" s="2" t="s">
        <v>1636</v>
      </c>
      <c r="D916" s="108" t="s">
        <v>1637</v>
      </c>
      <c r="E916" s="103"/>
      <c r="F916" s="2" t="s">
        <v>214</v>
      </c>
      <c r="G916" s="38">
        <v>1.7</v>
      </c>
      <c r="H916" s="70">
        <v>0</v>
      </c>
      <c r="I916" s="38">
        <f>G916*H916</f>
        <v>0</v>
      </c>
      <c r="J916" s="38">
        <v>0.46866</v>
      </c>
      <c r="K916" s="38">
        <f>G916*J916</f>
        <v>0.796722</v>
      </c>
      <c r="L916" s="71" t="s">
        <v>136</v>
      </c>
      <c r="Z916" s="38">
        <f>IF(AQ916="5",BJ916,0)</f>
        <v>0</v>
      </c>
      <c r="AB916" s="38">
        <f>IF(AQ916="1",BH916,0)</f>
        <v>0</v>
      </c>
      <c r="AC916" s="38">
        <f>IF(AQ916="1",BI916,0)</f>
        <v>0</v>
      </c>
      <c r="AD916" s="38">
        <f>IF(AQ916="7",BH916,0)</f>
        <v>0</v>
      </c>
      <c r="AE916" s="38">
        <f>IF(AQ916="7",BI916,0)</f>
        <v>0</v>
      </c>
      <c r="AF916" s="38">
        <f>IF(AQ916="2",BH916,0)</f>
        <v>0</v>
      </c>
      <c r="AG916" s="38">
        <f>IF(AQ916="2",BI916,0)</f>
        <v>0</v>
      </c>
      <c r="AH916" s="38">
        <f>IF(AQ916="0",BJ916,0)</f>
        <v>0</v>
      </c>
      <c r="AI916" s="50" t="s">
        <v>84</v>
      </c>
      <c r="AJ916" s="38">
        <f>IF(AN916=0,I916,0)</f>
        <v>0</v>
      </c>
      <c r="AK916" s="38">
        <f>IF(AN916=12,I916,0)</f>
        <v>0</v>
      </c>
      <c r="AL916" s="38">
        <f>IF(AN916=21,I916,0)</f>
        <v>0</v>
      </c>
      <c r="AN916" s="38">
        <v>21</v>
      </c>
      <c r="AO916" s="38">
        <f>H916*0.302187143</f>
        <v>0</v>
      </c>
      <c r="AP916" s="38">
        <f>H916*(1-0.302187143)</f>
        <v>0</v>
      </c>
      <c r="AQ916" s="72" t="s">
        <v>132</v>
      </c>
      <c r="AV916" s="38">
        <f>AW916+AX916</f>
        <v>0</v>
      </c>
      <c r="AW916" s="38">
        <f>G916*AO916</f>
        <v>0</v>
      </c>
      <c r="AX916" s="38">
        <f>G916*AP916</f>
        <v>0</v>
      </c>
      <c r="AY916" s="72" t="s">
        <v>1626</v>
      </c>
      <c r="AZ916" s="72" t="s">
        <v>1627</v>
      </c>
      <c r="BA916" s="50" t="s">
        <v>139</v>
      </c>
      <c r="BB916" s="73">
        <v>100046</v>
      </c>
      <c r="BC916" s="38">
        <f>AW916+AX916</f>
        <v>0</v>
      </c>
      <c r="BD916" s="38">
        <f>H916/(100-BE916)*100</f>
        <v>0</v>
      </c>
      <c r="BE916" s="38">
        <v>0</v>
      </c>
      <c r="BF916" s="38">
        <f>K916</f>
        <v>0.796722</v>
      </c>
      <c r="BH916" s="38">
        <f>G916*AO916</f>
        <v>0</v>
      </c>
      <c r="BI916" s="38">
        <f>G916*AP916</f>
        <v>0</v>
      </c>
      <c r="BJ916" s="38">
        <f>G916*H916</f>
        <v>0</v>
      </c>
      <c r="BK916" s="38"/>
      <c r="BL916" s="38">
        <v>87</v>
      </c>
      <c r="BW916" s="38">
        <v>21</v>
      </c>
    </row>
    <row r="917" spans="1:12" ht="13.5" customHeight="1">
      <c r="A917" s="74"/>
      <c r="D917" s="194" t="s">
        <v>1633</v>
      </c>
      <c r="E917" s="195"/>
      <c r="F917" s="195"/>
      <c r="G917" s="195"/>
      <c r="H917" s="196"/>
      <c r="I917" s="195"/>
      <c r="J917" s="195"/>
      <c r="K917" s="195"/>
      <c r="L917" s="197"/>
    </row>
    <row r="918" spans="1:12" ht="15">
      <c r="A918" s="74"/>
      <c r="D918" s="75" t="s">
        <v>1638</v>
      </c>
      <c r="E918" s="75" t="s">
        <v>4</v>
      </c>
      <c r="G918" s="76">
        <v>1.7</v>
      </c>
      <c r="L918" s="77"/>
    </row>
    <row r="919" spans="1:47" ht="15">
      <c r="A919" s="65" t="s">
        <v>4</v>
      </c>
      <c r="B919" s="66" t="s">
        <v>84</v>
      </c>
      <c r="C919" s="66" t="s">
        <v>691</v>
      </c>
      <c r="D919" s="192" t="s">
        <v>1639</v>
      </c>
      <c r="E919" s="193"/>
      <c r="F919" s="67" t="s">
        <v>78</v>
      </c>
      <c r="G919" s="67" t="s">
        <v>78</v>
      </c>
      <c r="H919" s="68" t="s">
        <v>78</v>
      </c>
      <c r="I919" s="44">
        <f>SUM(I920:I926)</f>
        <v>0</v>
      </c>
      <c r="J919" s="50" t="s">
        <v>4</v>
      </c>
      <c r="K919" s="44">
        <f>SUM(K920:K926)</f>
        <v>0.37196999999999997</v>
      </c>
      <c r="L919" s="69" t="s">
        <v>4</v>
      </c>
      <c r="AI919" s="50" t="s">
        <v>84</v>
      </c>
      <c r="AS919" s="44">
        <f>SUM(AJ920:AJ926)</f>
        <v>0</v>
      </c>
      <c r="AT919" s="44">
        <f>SUM(AK920:AK926)</f>
        <v>0</v>
      </c>
      <c r="AU919" s="44">
        <f>SUM(AL920:AL926)</f>
        <v>0</v>
      </c>
    </row>
    <row r="920" spans="1:75" ht="13.5" customHeight="1">
      <c r="A920" s="1" t="s">
        <v>1640</v>
      </c>
      <c r="B920" s="2" t="s">
        <v>84</v>
      </c>
      <c r="C920" s="2" t="s">
        <v>1641</v>
      </c>
      <c r="D920" s="108" t="s">
        <v>1642</v>
      </c>
      <c r="E920" s="103"/>
      <c r="F920" s="2" t="s">
        <v>199</v>
      </c>
      <c r="G920" s="38">
        <v>1</v>
      </c>
      <c r="H920" s="70">
        <v>0</v>
      </c>
      <c r="I920" s="38">
        <f>G920*H920</f>
        <v>0</v>
      </c>
      <c r="J920" s="38">
        <v>0.32974</v>
      </c>
      <c r="K920" s="38">
        <f>G920*J920</f>
        <v>0.32974</v>
      </c>
      <c r="L920" s="71" t="s">
        <v>136</v>
      </c>
      <c r="Z920" s="38">
        <f>IF(AQ920="5",BJ920,0)</f>
        <v>0</v>
      </c>
      <c r="AB920" s="38">
        <f>IF(AQ920="1",BH920,0)</f>
        <v>0</v>
      </c>
      <c r="AC920" s="38">
        <f>IF(AQ920="1",BI920,0)</f>
        <v>0</v>
      </c>
      <c r="AD920" s="38">
        <f>IF(AQ920="7",BH920,0)</f>
        <v>0</v>
      </c>
      <c r="AE920" s="38">
        <f>IF(AQ920="7",BI920,0)</f>
        <v>0</v>
      </c>
      <c r="AF920" s="38">
        <f>IF(AQ920="2",BH920,0)</f>
        <v>0</v>
      </c>
      <c r="AG920" s="38">
        <f>IF(AQ920="2",BI920,0)</f>
        <v>0</v>
      </c>
      <c r="AH920" s="38">
        <f>IF(AQ920="0",BJ920,0)</f>
        <v>0</v>
      </c>
      <c r="AI920" s="50" t="s">
        <v>84</v>
      </c>
      <c r="AJ920" s="38">
        <f>IF(AN920=0,I920,0)</f>
        <v>0</v>
      </c>
      <c r="AK920" s="38">
        <f>IF(AN920=12,I920,0)</f>
        <v>0</v>
      </c>
      <c r="AL920" s="38">
        <f>IF(AN920=21,I920,0)</f>
        <v>0</v>
      </c>
      <c r="AN920" s="38">
        <v>21</v>
      </c>
      <c r="AO920" s="38">
        <f>H920*0.376660377</f>
        <v>0</v>
      </c>
      <c r="AP920" s="38">
        <f>H920*(1-0.376660377)</f>
        <v>0</v>
      </c>
      <c r="AQ920" s="72" t="s">
        <v>132</v>
      </c>
      <c r="AV920" s="38">
        <f>AW920+AX920</f>
        <v>0</v>
      </c>
      <c r="AW920" s="38">
        <f>G920*AO920</f>
        <v>0</v>
      </c>
      <c r="AX920" s="38">
        <f>G920*AP920</f>
        <v>0</v>
      </c>
      <c r="AY920" s="72" t="s">
        <v>1643</v>
      </c>
      <c r="AZ920" s="72" t="s">
        <v>1627</v>
      </c>
      <c r="BA920" s="50" t="s">
        <v>139</v>
      </c>
      <c r="BB920" s="73">
        <v>100034</v>
      </c>
      <c r="BC920" s="38">
        <f>AW920+AX920</f>
        <v>0</v>
      </c>
      <c r="BD920" s="38">
        <f>H920/(100-BE920)*100</f>
        <v>0</v>
      </c>
      <c r="BE920" s="38">
        <v>0</v>
      </c>
      <c r="BF920" s="38">
        <f>K920</f>
        <v>0.32974</v>
      </c>
      <c r="BH920" s="38">
        <f>G920*AO920</f>
        <v>0</v>
      </c>
      <c r="BI920" s="38">
        <f>G920*AP920</f>
        <v>0</v>
      </c>
      <c r="BJ920" s="38">
        <f>G920*H920</f>
        <v>0</v>
      </c>
      <c r="BK920" s="38"/>
      <c r="BL920" s="38">
        <v>89</v>
      </c>
      <c r="BW920" s="38">
        <v>21</v>
      </c>
    </row>
    <row r="921" spans="1:12" ht="13.5" customHeight="1">
      <c r="A921" s="74"/>
      <c r="D921" s="194" t="s">
        <v>1644</v>
      </c>
      <c r="E921" s="195"/>
      <c r="F921" s="195"/>
      <c r="G921" s="195"/>
      <c r="H921" s="196"/>
      <c r="I921" s="195"/>
      <c r="J921" s="195"/>
      <c r="K921" s="195"/>
      <c r="L921" s="197"/>
    </row>
    <row r="922" spans="1:12" ht="15">
      <c r="A922" s="74"/>
      <c r="D922" s="75" t="s">
        <v>132</v>
      </c>
      <c r="E922" s="75" t="s">
        <v>4</v>
      </c>
      <c r="G922" s="76">
        <v>1</v>
      </c>
      <c r="L922" s="77"/>
    </row>
    <row r="923" spans="1:75" ht="13.5" customHeight="1">
      <c r="A923" s="1" t="s">
        <v>1645</v>
      </c>
      <c r="B923" s="2" t="s">
        <v>84</v>
      </c>
      <c r="C923" s="2" t="s">
        <v>1646</v>
      </c>
      <c r="D923" s="108" t="s">
        <v>1647</v>
      </c>
      <c r="E923" s="103"/>
      <c r="F923" s="2" t="s">
        <v>199</v>
      </c>
      <c r="G923" s="38">
        <v>1</v>
      </c>
      <c r="H923" s="70">
        <v>0</v>
      </c>
      <c r="I923" s="38">
        <f>G923*H923</f>
        <v>0</v>
      </c>
      <c r="J923" s="38">
        <v>0.00475</v>
      </c>
      <c r="K923" s="38">
        <f>G923*J923</f>
        <v>0.00475</v>
      </c>
      <c r="L923" s="71" t="s">
        <v>207</v>
      </c>
      <c r="Z923" s="38">
        <f>IF(AQ923="5",BJ923,0)</f>
        <v>0</v>
      </c>
      <c r="AB923" s="38">
        <f>IF(AQ923="1",BH923,0)</f>
        <v>0</v>
      </c>
      <c r="AC923" s="38">
        <f>IF(AQ923="1",BI923,0)</f>
        <v>0</v>
      </c>
      <c r="AD923" s="38">
        <f>IF(AQ923="7",BH923,0)</f>
        <v>0</v>
      </c>
      <c r="AE923" s="38">
        <f>IF(AQ923="7",BI923,0)</f>
        <v>0</v>
      </c>
      <c r="AF923" s="38">
        <f>IF(AQ923="2",BH923,0)</f>
        <v>0</v>
      </c>
      <c r="AG923" s="38">
        <f>IF(AQ923="2",BI923,0)</f>
        <v>0</v>
      </c>
      <c r="AH923" s="38">
        <f>IF(AQ923="0",BJ923,0)</f>
        <v>0</v>
      </c>
      <c r="AI923" s="50" t="s">
        <v>84</v>
      </c>
      <c r="AJ923" s="38">
        <f>IF(AN923=0,I923,0)</f>
        <v>0</v>
      </c>
      <c r="AK923" s="38">
        <f>IF(AN923=12,I923,0)</f>
        <v>0</v>
      </c>
      <c r="AL923" s="38">
        <f>IF(AN923=21,I923,0)</f>
        <v>0</v>
      </c>
      <c r="AN923" s="38">
        <v>21</v>
      </c>
      <c r="AO923" s="38">
        <f>H923*0.964495387</f>
        <v>0</v>
      </c>
      <c r="AP923" s="38">
        <f>H923*(1-0.964495387)</f>
        <v>0</v>
      </c>
      <c r="AQ923" s="72" t="s">
        <v>132</v>
      </c>
      <c r="AV923" s="38">
        <f>AW923+AX923</f>
        <v>0</v>
      </c>
      <c r="AW923" s="38">
        <f>G923*AO923</f>
        <v>0</v>
      </c>
      <c r="AX923" s="38">
        <f>G923*AP923</f>
        <v>0</v>
      </c>
      <c r="AY923" s="72" t="s">
        <v>1643</v>
      </c>
      <c r="AZ923" s="72" t="s">
        <v>1627</v>
      </c>
      <c r="BA923" s="50" t="s">
        <v>139</v>
      </c>
      <c r="BB923" s="73">
        <v>100034</v>
      </c>
      <c r="BC923" s="38">
        <f>AW923+AX923</f>
        <v>0</v>
      </c>
      <c r="BD923" s="38">
        <f>H923/(100-BE923)*100</f>
        <v>0</v>
      </c>
      <c r="BE923" s="38">
        <v>0</v>
      </c>
      <c r="BF923" s="38">
        <f>K923</f>
        <v>0.00475</v>
      </c>
      <c r="BH923" s="38">
        <f>G923*AO923</f>
        <v>0</v>
      </c>
      <c r="BI923" s="38">
        <f>G923*AP923</f>
        <v>0</v>
      </c>
      <c r="BJ923" s="38">
        <f>G923*H923</f>
        <v>0</v>
      </c>
      <c r="BK923" s="38"/>
      <c r="BL923" s="38">
        <v>89</v>
      </c>
      <c r="BW923" s="38">
        <v>21</v>
      </c>
    </row>
    <row r="924" spans="1:12" ht="13.5" customHeight="1">
      <c r="A924" s="74"/>
      <c r="D924" s="194" t="s">
        <v>1644</v>
      </c>
      <c r="E924" s="195"/>
      <c r="F924" s="195"/>
      <c r="G924" s="195"/>
      <c r="H924" s="196"/>
      <c r="I924" s="195"/>
      <c r="J924" s="195"/>
      <c r="K924" s="195"/>
      <c r="L924" s="197"/>
    </row>
    <row r="925" spans="1:12" ht="15">
      <c r="A925" s="74"/>
      <c r="D925" s="75" t="s">
        <v>132</v>
      </c>
      <c r="E925" s="75" t="s">
        <v>4</v>
      </c>
      <c r="G925" s="76">
        <v>1</v>
      </c>
      <c r="L925" s="77"/>
    </row>
    <row r="926" spans="1:75" ht="13.5" customHeight="1">
      <c r="A926" s="1" t="s">
        <v>1648</v>
      </c>
      <c r="B926" s="2" t="s">
        <v>84</v>
      </c>
      <c r="C926" s="2" t="s">
        <v>1649</v>
      </c>
      <c r="D926" s="108" t="s">
        <v>1650</v>
      </c>
      <c r="E926" s="103"/>
      <c r="F926" s="2" t="s">
        <v>199</v>
      </c>
      <c r="G926" s="38">
        <v>1</v>
      </c>
      <c r="H926" s="70">
        <v>0</v>
      </c>
      <c r="I926" s="38">
        <f>G926*H926</f>
        <v>0</v>
      </c>
      <c r="J926" s="38">
        <v>0.03748</v>
      </c>
      <c r="K926" s="38">
        <f>G926*J926</f>
        <v>0.03748</v>
      </c>
      <c r="L926" s="71" t="s">
        <v>207</v>
      </c>
      <c r="Z926" s="38">
        <f>IF(AQ926="5",BJ926,0)</f>
        <v>0</v>
      </c>
      <c r="AB926" s="38">
        <f>IF(AQ926="1",BH926,0)</f>
        <v>0</v>
      </c>
      <c r="AC926" s="38">
        <f>IF(AQ926="1",BI926,0)</f>
        <v>0</v>
      </c>
      <c r="AD926" s="38">
        <f>IF(AQ926="7",BH926,0)</f>
        <v>0</v>
      </c>
      <c r="AE926" s="38">
        <f>IF(AQ926="7",BI926,0)</f>
        <v>0</v>
      </c>
      <c r="AF926" s="38">
        <f>IF(AQ926="2",BH926,0)</f>
        <v>0</v>
      </c>
      <c r="AG926" s="38">
        <f>IF(AQ926="2",BI926,0)</f>
        <v>0</v>
      </c>
      <c r="AH926" s="38">
        <f>IF(AQ926="0",BJ926,0)</f>
        <v>0</v>
      </c>
      <c r="AI926" s="50" t="s">
        <v>84</v>
      </c>
      <c r="AJ926" s="38">
        <f>IF(AN926=0,I926,0)</f>
        <v>0</v>
      </c>
      <c r="AK926" s="38">
        <f>IF(AN926=12,I926,0)</f>
        <v>0</v>
      </c>
      <c r="AL926" s="38">
        <f>IF(AN926=21,I926,0)</f>
        <v>0</v>
      </c>
      <c r="AN926" s="38">
        <v>21</v>
      </c>
      <c r="AO926" s="38">
        <f>H926*0.942396042</f>
        <v>0</v>
      </c>
      <c r="AP926" s="38">
        <f>H926*(1-0.942396042)</f>
        <v>0</v>
      </c>
      <c r="AQ926" s="72" t="s">
        <v>132</v>
      </c>
      <c r="AV926" s="38">
        <f>AW926+AX926</f>
        <v>0</v>
      </c>
      <c r="AW926" s="38">
        <f>G926*AO926</f>
        <v>0</v>
      </c>
      <c r="AX926" s="38">
        <f>G926*AP926</f>
        <v>0</v>
      </c>
      <c r="AY926" s="72" t="s">
        <v>1643</v>
      </c>
      <c r="AZ926" s="72" t="s">
        <v>1627</v>
      </c>
      <c r="BA926" s="50" t="s">
        <v>139</v>
      </c>
      <c r="BB926" s="73">
        <v>100034</v>
      </c>
      <c r="BC926" s="38">
        <f>AW926+AX926</f>
        <v>0</v>
      </c>
      <c r="BD926" s="38">
        <f>H926/(100-BE926)*100</f>
        <v>0</v>
      </c>
      <c r="BE926" s="38">
        <v>0</v>
      </c>
      <c r="BF926" s="38">
        <f>K926</f>
        <v>0.03748</v>
      </c>
      <c r="BH926" s="38">
        <f>G926*AO926</f>
        <v>0</v>
      </c>
      <c r="BI926" s="38">
        <f>G926*AP926</f>
        <v>0</v>
      </c>
      <c r="BJ926" s="38">
        <f>G926*H926</f>
        <v>0</v>
      </c>
      <c r="BK926" s="38"/>
      <c r="BL926" s="38">
        <v>89</v>
      </c>
      <c r="BW926" s="38">
        <v>21</v>
      </c>
    </row>
    <row r="927" spans="1:12" ht="13.5" customHeight="1">
      <c r="A927" s="74"/>
      <c r="D927" s="194" t="s">
        <v>1651</v>
      </c>
      <c r="E927" s="195"/>
      <c r="F927" s="195"/>
      <c r="G927" s="195"/>
      <c r="H927" s="196"/>
      <c r="I927" s="195"/>
      <c r="J927" s="195"/>
      <c r="K927" s="195"/>
      <c r="L927" s="197"/>
    </row>
    <row r="928" spans="1:12" ht="15">
      <c r="A928" s="74"/>
      <c r="D928" s="75" t="s">
        <v>132</v>
      </c>
      <c r="E928" s="75" t="s">
        <v>4</v>
      </c>
      <c r="G928" s="76">
        <v>1</v>
      </c>
      <c r="L928" s="77"/>
    </row>
    <row r="929" spans="1:47" ht="15">
      <c r="A929" s="65" t="s">
        <v>4</v>
      </c>
      <c r="B929" s="66" t="s">
        <v>84</v>
      </c>
      <c r="C929" s="66" t="s">
        <v>701</v>
      </c>
      <c r="D929" s="192" t="s">
        <v>1652</v>
      </c>
      <c r="E929" s="193"/>
      <c r="F929" s="67" t="s">
        <v>78</v>
      </c>
      <c r="G929" s="67" t="s">
        <v>78</v>
      </c>
      <c r="H929" s="68" t="s">
        <v>78</v>
      </c>
      <c r="I929" s="44">
        <f>SUM(I930:I934)</f>
        <v>0</v>
      </c>
      <c r="J929" s="50" t="s">
        <v>4</v>
      </c>
      <c r="K929" s="44">
        <f>SUM(K930:K934)</f>
        <v>1.295633</v>
      </c>
      <c r="L929" s="69" t="s">
        <v>4</v>
      </c>
      <c r="AI929" s="50" t="s">
        <v>84</v>
      </c>
      <c r="AS929" s="44">
        <f>SUM(AJ930:AJ934)</f>
        <v>0</v>
      </c>
      <c r="AT929" s="44">
        <f>SUM(AK930:AK934)</f>
        <v>0</v>
      </c>
      <c r="AU929" s="44">
        <f>SUM(AL930:AL934)</f>
        <v>0</v>
      </c>
    </row>
    <row r="930" spans="1:75" ht="13.5" customHeight="1">
      <c r="A930" s="1" t="s">
        <v>1653</v>
      </c>
      <c r="B930" s="2" t="s">
        <v>84</v>
      </c>
      <c r="C930" s="2" t="s">
        <v>1654</v>
      </c>
      <c r="D930" s="108" t="s">
        <v>1655</v>
      </c>
      <c r="E930" s="103"/>
      <c r="F930" s="2" t="s">
        <v>214</v>
      </c>
      <c r="G930" s="38">
        <v>4.25</v>
      </c>
      <c r="H930" s="70">
        <v>0</v>
      </c>
      <c r="I930" s="38">
        <f>G930*H930</f>
        <v>0</v>
      </c>
      <c r="J930" s="38">
        <v>0.14874</v>
      </c>
      <c r="K930" s="38">
        <f>G930*J930</f>
        <v>0.6321450000000001</v>
      </c>
      <c r="L930" s="71" t="s">
        <v>136</v>
      </c>
      <c r="Z930" s="38">
        <f>IF(AQ930="5",BJ930,0)</f>
        <v>0</v>
      </c>
      <c r="AB930" s="38">
        <f>IF(AQ930="1",BH930,0)</f>
        <v>0</v>
      </c>
      <c r="AC930" s="38">
        <f>IF(AQ930="1",BI930,0)</f>
        <v>0</v>
      </c>
      <c r="AD930" s="38">
        <f>IF(AQ930="7",BH930,0)</f>
        <v>0</v>
      </c>
      <c r="AE930" s="38">
        <f>IF(AQ930="7",BI930,0)</f>
        <v>0</v>
      </c>
      <c r="AF930" s="38">
        <f>IF(AQ930="2",BH930,0)</f>
        <v>0</v>
      </c>
      <c r="AG930" s="38">
        <f>IF(AQ930="2",BI930,0)</f>
        <v>0</v>
      </c>
      <c r="AH930" s="38">
        <f>IF(AQ930="0",BJ930,0)</f>
        <v>0</v>
      </c>
      <c r="AI930" s="50" t="s">
        <v>84</v>
      </c>
      <c r="AJ930" s="38">
        <f>IF(AN930=0,I930,0)</f>
        <v>0</v>
      </c>
      <c r="AK930" s="38">
        <f>IF(AN930=12,I930,0)</f>
        <v>0</v>
      </c>
      <c r="AL930" s="38">
        <f>IF(AN930=21,I930,0)</f>
        <v>0</v>
      </c>
      <c r="AN930" s="38">
        <v>21</v>
      </c>
      <c r="AO930" s="38">
        <f>H930*0.600884615</f>
        <v>0</v>
      </c>
      <c r="AP930" s="38">
        <f>H930*(1-0.600884615)</f>
        <v>0</v>
      </c>
      <c r="AQ930" s="72" t="s">
        <v>132</v>
      </c>
      <c r="AV930" s="38">
        <f>AW930+AX930</f>
        <v>0</v>
      </c>
      <c r="AW930" s="38">
        <f>G930*AO930</f>
        <v>0</v>
      </c>
      <c r="AX930" s="38">
        <f>G930*AP930</f>
        <v>0</v>
      </c>
      <c r="AY930" s="72" t="s">
        <v>1656</v>
      </c>
      <c r="AZ930" s="72" t="s">
        <v>1657</v>
      </c>
      <c r="BA930" s="50" t="s">
        <v>139</v>
      </c>
      <c r="BB930" s="73">
        <v>100039</v>
      </c>
      <c r="BC930" s="38">
        <f>AW930+AX930</f>
        <v>0</v>
      </c>
      <c r="BD930" s="38">
        <f>H930/(100-BE930)*100</f>
        <v>0</v>
      </c>
      <c r="BE930" s="38">
        <v>0</v>
      </c>
      <c r="BF930" s="38">
        <f>K930</f>
        <v>0.6321450000000001</v>
      </c>
      <c r="BH930" s="38">
        <f>G930*AO930</f>
        <v>0</v>
      </c>
      <c r="BI930" s="38">
        <f>G930*AP930</f>
        <v>0</v>
      </c>
      <c r="BJ930" s="38">
        <f>G930*H930</f>
        <v>0</v>
      </c>
      <c r="BK930" s="38"/>
      <c r="BL930" s="38">
        <v>91</v>
      </c>
      <c r="BW930" s="38">
        <v>21</v>
      </c>
    </row>
    <row r="931" spans="1:12" ht="15">
      <c r="A931" s="74"/>
      <c r="D931" s="75" t="s">
        <v>1658</v>
      </c>
      <c r="E931" s="75" t="s">
        <v>4</v>
      </c>
      <c r="G931" s="76">
        <v>4.25</v>
      </c>
      <c r="L931" s="77"/>
    </row>
    <row r="932" spans="1:75" ht="13.5" customHeight="1">
      <c r="A932" s="78" t="s">
        <v>1659</v>
      </c>
      <c r="B932" s="79" t="s">
        <v>84</v>
      </c>
      <c r="C932" s="79" t="s">
        <v>1660</v>
      </c>
      <c r="D932" s="198" t="s">
        <v>1661</v>
      </c>
      <c r="E932" s="199"/>
      <c r="F932" s="79" t="s">
        <v>199</v>
      </c>
      <c r="G932" s="80">
        <v>5</v>
      </c>
      <c r="H932" s="81">
        <v>0</v>
      </c>
      <c r="I932" s="80">
        <f>G932*H932</f>
        <v>0</v>
      </c>
      <c r="J932" s="80">
        <v>0.06</v>
      </c>
      <c r="K932" s="80">
        <f>G932*J932</f>
        <v>0.3</v>
      </c>
      <c r="L932" s="82" t="s">
        <v>136</v>
      </c>
      <c r="Z932" s="38">
        <f>IF(AQ932="5",BJ932,0)</f>
        <v>0</v>
      </c>
      <c r="AB932" s="38">
        <f>IF(AQ932="1",BH932,0)</f>
        <v>0</v>
      </c>
      <c r="AC932" s="38">
        <f>IF(AQ932="1",BI932,0)</f>
        <v>0</v>
      </c>
      <c r="AD932" s="38">
        <f>IF(AQ932="7",BH932,0)</f>
        <v>0</v>
      </c>
      <c r="AE932" s="38">
        <f>IF(AQ932="7",BI932,0)</f>
        <v>0</v>
      </c>
      <c r="AF932" s="38">
        <f>IF(AQ932="2",BH932,0)</f>
        <v>0</v>
      </c>
      <c r="AG932" s="38">
        <f>IF(AQ932="2",BI932,0)</f>
        <v>0</v>
      </c>
      <c r="AH932" s="38">
        <f>IF(AQ932="0",BJ932,0)</f>
        <v>0</v>
      </c>
      <c r="AI932" s="50" t="s">
        <v>84</v>
      </c>
      <c r="AJ932" s="80">
        <f>IF(AN932=0,I932,0)</f>
        <v>0</v>
      </c>
      <c r="AK932" s="80">
        <f>IF(AN932=12,I932,0)</f>
        <v>0</v>
      </c>
      <c r="AL932" s="80">
        <f>IF(AN932=21,I932,0)</f>
        <v>0</v>
      </c>
      <c r="AN932" s="38">
        <v>21</v>
      </c>
      <c r="AO932" s="38">
        <f>H932*1</f>
        <v>0</v>
      </c>
      <c r="AP932" s="38">
        <f>H932*(1-1)</f>
        <v>0</v>
      </c>
      <c r="AQ932" s="83" t="s">
        <v>132</v>
      </c>
      <c r="AV932" s="38">
        <f>AW932+AX932</f>
        <v>0</v>
      </c>
      <c r="AW932" s="38">
        <f>G932*AO932</f>
        <v>0</v>
      </c>
      <c r="AX932" s="38">
        <f>G932*AP932</f>
        <v>0</v>
      </c>
      <c r="AY932" s="72" t="s">
        <v>1656</v>
      </c>
      <c r="AZ932" s="72" t="s">
        <v>1657</v>
      </c>
      <c r="BA932" s="50" t="s">
        <v>139</v>
      </c>
      <c r="BC932" s="38">
        <f>AW932+AX932</f>
        <v>0</v>
      </c>
      <c r="BD932" s="38">
        <f>H932/(100-BE932)*100</f>
        <v>0</v>
      </c>
      <c r="BE932" s="38">
        <v>0</v>
      </c>
      <c r="BF932" s="38">
        <f>K932</f>
        <v>0.3</v>
      </c>
      <c r="BH932" s="80">
        <f>G932*AO932</f>
        <v>0</v>
      </c>
      <c r="BI932" s="80">
        <f>G932*AP932</f>
        <v>0</v>
      </c>
      <c r="BJ932" s="80">
        <f>G932*H932</f>
        <v>0</v>
      </c>
      <c r="BK932" s="80"/>
      <c r="BL932" s="38">
        <v>91</v>
      </c>
      <c r="BW932" s="38">
        <v>21</v>
      </c>
    </row>
    <row r="933" spans="1:12" ht="15">
      <c r="A933" s="74"/>
      <c r="D933" s="75" t="s">
        <v>162</v>
      </c>
      <c r="E933" s="75" t="s">
        <v>4</v>
      </c>
      <c r="G933" s="76">
        <v>5</v>
      </c>
      <c r="L933" s="77"/>
    </row>
    <row r="934" spans="1:75" ht="13.5" customHeight="1">
      <c r="A934" s="1" t="s">
        <v>1662</v>
      </c>
      <c r="B934" s="2" t="s">
        <v>84</v>
      </c>
      <c r="C934" s="2" t="s">
        <v>1663</v>
      </c>
      <c r="D934" s="108" t="s">
        <v>1664</v>
      </c>
      <c r="E934" s="103"/>
      <c r="F934" s="2" t="s">
        <v>214</v>
      </c>
      <c r="G934" s="38">
        <v>3.2</v>
      </c>
      <c r="H934" s="70">
        <v>0</v>
      </c>
      <c r="I934" s="38">
        <f>G934*H934</f>
        <v>0</v>
      </c>
      <c r="J934" s="38">
        <v>0.11359</v>
      </c>
      <c r="K934" s="38">
        <f>G934*J934</f>
        <v>0.36348800000000003</v>
      </c>
      <c r="L934" s="71" t="s">
        <v>136</v>
      </c>
      <c r="Z934" s="38">
        <f>IF(AQ934="5",BJ934,0)</f>
        <v>0</v>
      </c>
      <c r="AB934" s="38">
        <f>IF(AQ934="1",BH934,0)</f>
        <v>0</v>
      </c>
      <c r="AC934" s="38">
        <f>IF(AQ934="1",BI934,0)</f>
        <v>0</v>
      </c>
      <c r="AD934" s="38">
        <f>IF(AQ934="7",BH934,0)</f>
        <v>0</v>
      </c>
      <c r="AE934" s="38">
        <f>IF(AQ934="7",BI934,0)</f>
        <v>0</v>
      </c>
      <c r="AF934" s="38">
        <f>IF(AQ934="2",BH934,0)</f>
        <v>0</v>
      </c>
      <c r="AG934" s="38">
        <f>IF(AQ934="2",BI934,0)</f>
        <v>0</v>
      </c>
      <c r="AH934" s="38">
        <f>IF(AQ934="0",BJ934,0)</f>
        <v>0</v>
      </c>
      <c r="AI934" s="50" t="s">
        <v>84</v>
      </c>
      <c r="AJ934" s="38">
        <f>IF(AN934=0,I934,0)</f>
        <v>0</v>
      </c>
      <c r="AK934" s="38">
        <f>IF(AN934=12,I934,0)</f>
        <v>0</v>
      </c>
      <c r="AL934" s="38">
        <f>IF(AN934=21,I934,0)</f>
        <v>0</v>
      </c>
      <c r="AN934" s="38">
        <v>21</v>
      </c>
      <c r="AO934" s="38">
        <f>H934*0.685136364</f>
        <v>0</v>
      </c>
      <c r="AP934" s="38">
        <f>H934*(1-0.685136364)</f>
        <v>0</v>
      </c>
      <c r="AQ934" s="72" t="s">
        <v>132</v>
      </c>
      <c r="AV934" s="38">
        <f>AW934+AX934</f>
        <v>0</v>
      </c>
      <c r="AW934" s="38">
        <f>G934*AO934</f>
        <v>0</v>
      </c>
      <c r="AX934" s="38">
        <f>G934*AP934</f>
        <v>0</v>
      </c>
      <c r="AY934" s="72" t="s">
        <v>1656</v>
      </c>
      <c r="AZ934" s="72" t="s">
        <v>1657</v>
      </c>
      <c r="BA934" s="50" t="s">
        <v>139</v>
      </c>
      <c r="BB934" s="73">
        <v>100039</v>
      </c>
      <c r="BC934" s="38">
        <f>AW934+AX934</f>
        <v>0</v>
      </c>
      <c r="BD934" s="38">
        <f>H934/(100-BE934)*100</f>
        <v>0</v>
      </c>
      <c r="BE934" s="38">
        <v>0</v>
      </c>
      <c r="BF934" s="38">
        <f>K934</f>
        <v>0.36348800000000003</v>
      </c>
      <c r="BH934" s="38">
        <f>G934*AO934</f>
        <v>0</v>
      </c>
      <c r="BI934" s="38">
        <f>G934*AP934</f>
        <v>0</v>
      </c>
      <c r="BJ934" s="38">
        <f>G934*H934</f>
        <v>0</v>
      </c>
      <c r="BK934" s="38"/>
      <c r="BL934" s="38">
        <v>91</v>
      </c>
      <c r="BW934" s="38">
        <v>21</v>
      </c>
    </row>
    <row r="935" spans="1:12" ht="13.5" customHeight="1">
      <c r="A935" s="74"/>
      <c r="D935" s="194" t="s">
        <v>1665</v>
      </c>
      <c r="E935" s="195"/>
      <c r="F935" s="195"/>
      <c r="G935" s="195"/>
      <c r="H935" s="196"/>
      <c r="I935" s="195"/>
      <c r="J935" s="195"/>
      <c r="K935" s="195"/>
      <c r="L935" s="197"/>
    </row>
    <row r="936" spans="1:12" ht="15">
      <c r="A936" s="74"/>
      <c r="D936" s="75" t="s">
        <v>1666</v>
      </c>
      <c r="E936" s="75" t="s">
        <v>4</v>
      </c>
      <c r="G936" s="76">
        <v>3.2</v>
      </c>
      <c r="L936" s="77"/>
    </row>
    <row r="937" spans="1:47" ht="15">
      <c r="A937" s="65" t="s">
        <v>4</v>
      </c>
      <c r="B937" s="66" t="s">
        <v>84</v>
      </c>
      <c r="C937" s="66" t="s">
        <v>715</v>
      </c>
      <c r="D937" s="192" t="s">
        <v>1667</v>
      </c>
      <c r="E937" s="193"/>
      <c r="F937" s="67" t="s">
        <v>78</v>
      </c>
      <c r="G937" s="67" t="s">
        <v>78</v>
      </c>
      <c r="H937" s="68" t="s">
        <v>78</v>
      </c>
      <c r="I937" s="44">
        <f>SUM(I938:I941)</f>
        <v>0</v>
      </c>
      <c r="J937" s="50" t="s">
        <v>4</v>
      </c>
      <c r="K937" s="44">
        <f>SUM(K938:K941)</f>
        <v>0.7938</v>
      </c>
      <c r="L937" s="69" t="s">
        <v>4</v>
      </c>
      <c r="AI937" s="50" t="s">
        <v>84</v>
      </c>
      <c r="AS937" s="44">
        <f>SUM(AJ938:AJ941)</f>
        <v>0</v>
      </c>
      <c r="AT937" s="44">
        <f>SUM(AK938:AK941)</f>
        <v>0</v>
      </c>
      <c r="AU937" s="44">
        <f>SUM(AL938:AL941)</f>
        <v>0</v>
      </c>
    </row>
    <row r="938" spans="1:75" ht="13.5" customHeight="1">
      <c r="A938" s="1" t="s">
        <v>1668</v>
      </c>
      <c r="B938" s="2" t="s">
        <v>84</v>
      </c>
      <c r="C938" s="2" t="s">
        <v>1669</v>
      </c>
      <c r="D938" s="108" t="s">
        <v>1670</v>
      </c>
      <c r="E938" s="103"/>
      <c r="F938" s="2" t="s">
        <v>263</v>
      </c>
      <c r="G938" s="38">
        <v>390</v>
      </c>
      <c r="H938" s="70">
        <v>0</v>
      </c>
      <c r="I938" s="38">
        <f>G938*H938</f>
        <v>0</v>
      </c>
      <c r="J938" s="38">
        <v>0.00158</v>
      </c>
      <c r="K938" s="38">
        <f>G938*J938</f>
        <v>0.6162</v>
      </c>
      <c r="L938" s="71" t="s">
        <v>136</v>
      </c>
      <c r="Z938" s="38">
        <f>IF(AQ938="5",BJ938,0)</f>
        <v>0</v>
      </c>
      <c r="AB938" s="38">
        <f>IF(AQ938="1",BH938,0)</f>
        <v>0</v>
      </c>
      <c r="AC938" s="38">
        <f>IF(AQ938="1",BI938,0)</f>
        <v>0</v>
      </c>
      <c r="AD938" s="38">
        <f>IF(AQ938="7",BH938,0)</f>
        <v>0</v>
      </c>
      <c r="AE938" s="38">
        <f>IF(AQ938="7",BI938,0)</f>
        <v>0</v>
      </c>
      <c r="AF938" s="38">
        <f>IF(AQ938="2",BH938,0)</f>
        <v>0</v>
      </c>
      <c r="AG938" s="38">
        <f>IF(AQ938="2",BI938,0)</f>
        <v>0</v>
      </c>
      <c r="AH938" s="38">
        <f>IF(AQ938="0",BJ938,0)</f>
        <v>0</v>
      </c>
      <c r="AI938" s="50" t="s">
        <v>84</v>
      </c>
      <c r="AJ938" s="38">
        <f>IF(AN938=0,I938,0)</f>
        <v>0</v>
      </c>
      <c r="AK938" s="38">
        <f>IF(AN938=12,I938,0)</f>
        <v>0</v>
      </c>
      <c r="AL938" s="38">
        <f>IF(AN938=21,I938,0)</f>
        <v>0</v>
      </c>
      <c r="AN938" s="38">
        <v>21</v>
      </c>
      <c r="AO938" s="38">
        <f>H938*0.407754522</f>
        <v>0</v>
      </c>
      <c r="AP938" s="38">
        <f>H938*(1-0.407754522)</f>
        <v>0</v>
      </c>
      <c r="AQ938" s="72" t="s">
        <v>132</v>
      </c>
      <c r="AV938" s="38">
        <f>AW938+AX938</f>
        <v>0</v>
      </c>
      <c r="AW938" s="38">
        <f>G938*AO938</f>
        <v>0</v>
      </c>
      <c r="AX938" s="38">
        <f>G938*AP938</f>
        <v>0</v>
      </c>
      <c r="AY938" s="72" t="s">
        <v>1671</v>
      </c>
      <c r="AZ938" s="72" t="s">
        <v>1657</v>
      </c>
      <c r="BA938" s="50" t="s">
        <v>139</v>
      </c>
      <c r="BB938" s="73">
        <v>100004</v>
      </c>
      <c r="BC938" s="38">
        <f>AW938+AX938</f>
        <v>0</v>
      </c>
      <c r="BD938" s="38">
        <f>H938/(100-BE938)*100</f>
        <v>0</v>
      </c>
      <c r="BE938" s="38">
        <v>0</v>
      </c>
      <c r="BF938" s="38">
        <f>K938</f>
        <v>0.6162</v>
      </c>
      <c r="BH938" s="38">
        <f>G938*AO938</f>
        <v>0</v>
      </c>
      <c r="BI938" s="38">
        <f>G938*AP938</f>
        <v>0</v>
      </c>
      <c r="BJ938" s="38">
        <f>G938*H938</f>
        <v>0</v>
      </c>
      <c r="BK938" s="38"/>
      <c r="BL938" s="38">
        <v>94</v>
      </c>
      <c r="BW938" s="38">
        <v>21</v>
      </c>
    </row>
    <row r="939" spans="1:12" ht="15">
      <c r="A939" s="74"/>
      <c r="D939" s="75" t="s">
        <v>1137</v>
      </c>
      <c r="E939" s="75" t="s">
        <v>765</v>
      </c>
      <c r="G939" s="76">
        <v>185</v>
      </c>
      <c r="L939" s="77"/>
    </row>
    <row r="940" spans="1:12" ht="15">
      <c r="A940" s="74"/>
      <c r="D940" s="75" t="s">
        <v>1215</v>
      </c>
      <c r="E940" s="75" t="s">
        <v>767</v>
      </c>
      <c r="G940" s="76">
        <v>205</v>
      </c>
      <c r="L940" s="77"/>
    </row>
    <row r="941" spans="1:75" ht="13.5" customHeight="1">
      <c r="A941" s="1" t="s">
        <v>1672</v>
      </c>
      <c r="B941" s="2" t="s">
        <v>84</v>
      </c>
      <c r="C941" s="2" t="s">
        <v>1673</v>
      </c>
      <c r="D941" s="108" t="s">
        <v>1674</v>
      </c>
      <c r="E941" s="103"/>
      <c r="F941" s="2" t="s">
        <v>263</v>
      </c>
      <c r="G941" s="38">
        <v>30</v>
      </c>
      <c r="H941" s="70">
        <v>0</v>
      </c>
      <c r="I941" s="38">
        <f>G941*H941</f>
        <v>0</v>
      </c>
      <c r="J941" s="38">
        <v>0.00592</v>
      </c>
      <c r="K941" s="38">
        <f>G941*J941</f>
        <v>0.1776</v>
      </c>
      <c r="L941" s="71" t="s">
        <v>136</v>
      </c>
      <c r="Z941" s="38">
        <f>IF(AQ941="5",BJ941,0)</f>
        <v>0</v>
      </c>
      <c r="AB941" s="38">
        <f>IF(AQ941="1",BH941,0)</f>
        <v>0</v>
      </c>
      <c r="AC941" s="38">
        <f>IF(AQ941="1",BI941,0)</f>
        <v>0</v>
      </c>
      <c r="AD941" s="38">
        <f>IF(AQ941="7",BH941,0)</f>
        <v>0</v>
      </c>
      <c r="AE941" s="38">
        <f>IF(AQ941="7",BI941,0)</f>
        <v>0</v>
      </c>
      <c r="AF941" s="38">
        <f>IF(AQ941="2",BH941,0)</f>
        <v>0</v>
      </c>
      <c r="AG941" s="38">
        <f>IF(AQ941="2",BI941,0)</f>
        <v>0</v>
      </c>
      <c r="AH941" s="38">
        <f>IF(AQ941="0",BJ941,0)</f>
        <v>0</v>
      </c>
      <c r="AI941" s="50" t="s">
        <v>84</v>
      </c>
      <c r="AJ941" s="38">
        <f>IF(AN941=0,I941,0)</f>
        <v>0</v>
      </c>
      <c r="AK941" s="38">
        <f>IF(AN941=12,I941,0)</f>
        <v>0</v>
      </c>
      <c r="AL941" s="38">
        <f>IF(AN941=21,I941,0)</f>
        <v>0</v>
      </c>
      <c r="AN941" s="38">
        <v>21</v>
      </c>
      <c r="AO941" s="38">
        <f>H941*0.384604317</f>
        <v>0</v>
      </c>
      <c r="AP941" s="38">
        <f>H941*(1-0.384604317)</f>
        <v>0</v>
      </c>
      <c r="AQ941" s="72" t="s">
        <v>132</v>
      </c>
      <c r="AV941" s="38">
        <f>AW941+AX941</f>
        <v>0</v>
      </c>
      <c r="AW941" s="38">
        <f>G941*AO941</f>
        <v>0</v>
      </c>
      <c r="AX941" s="38">
        <f>G941*AP941</f>
        <v>0</v>
      </c>
      <c r="AY941" s="72" t="s">
        <v>1671</v>
      </c>
      <c r="AZ941" s="72" t="s">
        <v>1657</v>
      </c>
      <c r="BA941" s="50" t="s">
        <v>139</v>
      </c>
      <c r="BB941" s="73">
        <v>100004</v>
      </c>
      <c r="BC941" s="38">
        <f>AW941+AX941</f>
        <v>0</v>
      </c>
      <c r="BD941" s="38">
        <f>H941/(100-BE941)*100</f>
        <v>0</v>
      </c>
      <c r="BE941" s="38">
        <v>0</v>
      </c>
      <c r="BF941" s="38">
        <f>K941</f>
        <v>0.1776</v>
      </c>
      <c r="BH941" s="38">
        <f>G941*AO941</f>
        <v>0</v>
      </c>
      <c r="BI941" s="38">
        <f>G941*AP941</f>
        <v>0</v>
      </c>
      <c r="BJ941" s="38">
        <f>G941*H941</f>
        <v>0</v>
      </c>
      <c r="BK941" s="38"/>
      <c r="BL941" s="38">
        <v>94</v>
      </c>
      <c r="BW941" s="38">
        <v>21</v>
      </c>
    </row>
    <row r="942" spans="1:12" ht="15">
      <c r="A942" s="74"/>
      <c r="D942" s="75" t="s">
        <v>311</v>
      </c>
      <c r="E942" s="75" t="s">
        <v>4</v>
      </c>
      <c r="G942" s="76">
        <v>30</v>
      </c>
      <c r="L942" s="77"/>
    </row>
    <row r="943" spans="1:47" ht="15">
      <c r="A943" s="65" t="s">
        <v>4</v>
      </c>
      <c r="B943" s="66" t="s">
        <v>84</v>
      </c>
      <c r="C943" s="66" t="s">
        <v>720</v>
      </c>
      <c r="D943" s="192" t="s">
        <v>1675</v>
      </c>
      <c r="E943" s="193"/>
      <c r="F943" s="67" t="s">
        <v>78</v>
      </c>
      <c r="G943" s="67" t="s">
        <v>78</v>
      </c>
      <c r="H943" s="68" t="s">
        <v>78</v>
      </c>
      <c r="I943" s="44">
        <f>SUM(I944:I957)</f>
        <v>0</v>
      </c>
      <c r="J943" s="50" t="s">
        <v>4</v>
      </c>
      <c r="K943" s="44">
        <f>SUM(K944:K957)</f>
        <v>0.16435480000000002</v>
      </c>
      <c r="L943" s="69" t="s">
        <v>4</v>
      </c>
      <c r="AI943" s="50" t="s">
        <v>84</v>
      </c>
      <c r="AS943" s="44">
        <f>SUM(AJ944:AJ957)</f>
        <v>0</v>
      </c>
      <c r="AT943" s="44">
        <f>SUM(AK944:AK957)</f>
        <v>0</v>
      </c>
      <c r="AU943" s="44">
        <f>SUM(AL944:AL957)</f>
        <v>0</v>
      </c>
    </row>
    <row r="944" spans="1:75" ht="13.5" customHeight="1">
      <c r="A944" s="1" t="s">
        <v>1676</v>
      </c>
      <c r="B944" s="2" t="s">
        <v>84</v>
      </c>
      <c r="C944" s="2" t="s">
        <v>1677</v>
      </c>
      <c r="D944" s="108" t="s">
        <v>1678</v>
      </c>
      <c r="E944" s="103"/>
      <c r="F944" s="2" t="s">
        <v>263</v>
      </c>
      <c r="G944" s="38">
        <v>786.62</v>
      </c>
      <c r="H944" s="70">
        <v>0</v>
      </c>
      <c r="I944" s="38">
        <f>G944*H944</f>
        <v>0</v>
      </c>
      <c r="J944" s="38">
        <v>4E-05</v>
      </c>
      <c r="K944" s="38">
        <f>G944*J944</f>
        <v>0.0314648</v>
      </c>
      <c r="L944" s="71" t="s">
        <v>136</v>
      </c>
      <c r="Z944" s="38">
        <f>IF(AQ944="5",BJ944,0)</f>
        <v>0</v>
      </c>
      <c r="AB944" s="38">
        <f>IF(AQ944="1",BH944,0)</f>
        <v>0</v>
      </c>
      <c r="AC944" s="38">
        <f>IF(AQ944="1",BI944,0)</f>
        <v>0</v>
      </c>
      <c r="AD944" s="38">
        <f>IF(AQ944="7",BH944,0)</f>
        <v>0</v>
      </c>
      <c r="AE944" s="38">
        <f>IF(AQ944="7",BI944,0)</f>
        <v>0</v>
      </c>
      <c r="AF944" s="38">
        <f>IF(AQ944="2",BH944,0)</f>
        <v>0</v>
      </c>
      <c r="AG944" s="38">
        <f>IF(AQ944="2",BI944,0)</f>
        <v>0</v>
      </c>
      <c r="AH944" s="38">
        <f>IF(AQ944="0",BJ944,0)</f>
        <v>0</v>
      </c>
      <c r="AI944" s="50" t="s">
        <v>84</v>
      </c>
      <c r="AJ944" s="38">
        <f>IF(AN944=0,I944,0)</f>
        <v>0</v>
      </c>
      <c r="AK944" s="38">
        <f>IF(AN944=12,I944,0)</f>
        <v>0</v>
      </c>
      <c r="AL944" s="38">
        <f>IF(AN944=21,I944,0)</f>
        <v>0</v>
      </c>
      <c r="AN944" s="38">
        <v>21</v>
      </c>
      <c r="AO944" s="38">
        <f>H944*0.013885931</f>
        <v>0</v>
      </c>
      <c r="AP944" s="38">
        <f>H944*(1-0.013885931)</f>
        <v>0</v>
      </c>
      <c r="AQ944" s="72" t="s">
        <v>132</v>
      </c>
      <c r="AV944" s="38">
        <f>AW944+AX944</f>
        <v>0</v>
      </c>
      <c r="AW944" s="38">
        <f>G944*AO944</f>
        <v>0</v>
      </c>
      <c r="AX944" s="38">
        <f>G944*AP944</f>
        <v>0</v>
      </c>
      <c r="AY944" s="72" t="s">
        <v>1679</v>
      </c>
      <c r="AZ944" s="72" t="s">
        <v>1657</v>
      </c>
      <c r="BA944" s="50" t="s">
        <v>139</v>
      </c>
      <c r="BB944" s="73">
        <v>100005</v>
      </c>
      <c r="BC944" s="38">
        <f>AW944+AX944</f>
        <v>0</v>
      </c>
      <c r="BD944" s="38">
        <f>H944/(100-BE944)*100</f>
        <v>0</v>
      </c>
      <c r="BE944" s="38">
        <v>0</v>
      </c>
      <c r="BF944" s="38">
        <f>K944</f>
        <v>0.0314648</v>
      </c>
      <c r="BH944" s="38">
        <f>G944*AO944</f>
        <v>0</v>
      </c>
      <c r="BI944" s="38">
        <f>G944*AP944</f>
        <v>0</v>
      </c>
      <c r="BJ944" s="38">
        <f>G944*H944</f>
        <v>0</v>
      </c>
      <c r="BK944" s="38"/>
      <c r="BL944" s="38">
        <v>95</v>
      </c>
      <c r="BW944" s="38">
        <v>21</v>
      </c>
    </row>
    <row r="945" spans="1:12" ht="15">
      <c r="A945" s="74"/>
      <c r="D945" s="75" t="s">
        <v>1680</v>
      </c>
      <c r="E945" s="75" t="s">
        <v>765</v>
      </c>
      <c r="G945" s="76">
        <v>326.6</v>
      </c>
      <c r="L945" s="77"/>
    </row>
    <row r="946" spans="1:12" ht="15">
      <c r="A946" s="74"/>
      <c r="D946" s="75" t="s">
        <v>1681</v>
      </c>
      <c r="E946" s="75" t="s">
        <v>767</v>
      </c>
      <c r="G946" s="76">
        <v>392.12</v>
      </c>
      <c r="L946" s="77"/>
    </row>
    <row r="947" spans="1:12" ht="15">
      <c r="A947" s="74"/>
      <c r="D947" s="75" t="s">
        <v>1682</v>
      </c>
      <c r="E947" s="75" t="s">
        <v>1683</v>
      </c>
      <c r="G947" s="76">
        <v>67.9</v>
      </c>
      <c r="L947" s="77"/>
    </row>
    <row r="948" spans="1:75" ht="13.5" customHeight="1">
      <c r="A948" s="1" t="s">
        <v>1684</v>
      </c>
      <c r="B948" s="2" t="s">
        <v>84</v>
      </c>
      <c r="C948" s="2" t="s">
        <v>1685</v>
      </c>
      <c r="D948" s="108" t="s">
        <v>1686</v>
      </c>
      <c r="E948" s="103"/>
      <c r="F948" s="2" t="s">
        <v>199</v>
      </c>
      <c r="G948" s="38">
        <v>8</v>
      </c>
      <c r="H948" s="70">
        <v>0</v>
      </c>
      <c r="I948" s="38">
        <f>G948*H948</f>
        <v>0</v>
      </c>
      <c r="J948" s="38">
        <v>1E-05</v>
      </c>
      <c r="K948" s="38">
        <f>G948*J948</f>
        <v>8E-05</v>
      </c>
      <c r="L948" s="71" t="s">
        <v>136</v>
      </c>
      <c r="Z948" s="38">
        <f>IF(AQ948="5",BJ948,0)</f>
        <v>0</v>
      </c>
      <c r="AB948" s="38">
        <f>IF(AQ948="1",BH948,0)</f>
        <v>0</v>
      </c>
      <c r="AC948" s="38">
        <f>IF(AQ948="1",BI948,0)</f>
        <v>0</v>
      </c>
      <c r="AD948" s="38">
        <f>IF(AQ948="7",BH948,0)</f>
        <v>0</v>
      </c>
      <c r="AE948" s="38">
        <f>IF(AQ948="7",BI948,0)</f>
        <v>0</v>
      </c>
      <c r="AF948" s="38">
        <f>IF(AQ948="2",BH948,0)</f>
        <v>0</v>
      </c>
      <c r="AG948" s="38">
        <f>IF(AQ948="2",BI948,0)</f>
        <v>0</v>
      </c>
      <c r="AH948" s="38">
        <f>IF(AQ948="0",BJ948,0)</f>
        <v>0</v>
      </c>
      <c r="AI948" s="50" t="s">
        <v>84</v>
      </c>
      <c r="AJ948" s="38">
        <f>IF(AN948=0,I948,0)</f>
        <v>0</v>
      </c>
      <c r="AK948" s="38">
        <f>IF(AN948=12,I948,0)</f>
        <v>0</v>
      </c>
      <c r="AL948" s="38">
        <f>IF(AN948=21,I948,0)</f>
        <v>0</v>
      </c>
      <c r="AN948" s="38">
        <v>21</v>
      </c>
      <c r="AO948" s="38">
        <f>H948*0.168108108</f>
        <v>0</v>
      </c>
      <c r="AP948" s="38">
        <f>H948*(1-0.168108108)</f>
        <v>0</v>
      </c>
      <c r="AQ948" s="72" t="s">
        <v>132</v>
      </c>
      <c r="AV948" s="38">
        <f>AW948+AX948</f>
        <v>0</v>
      </c>
      <c r="AW948" s="38">
        <f>G948*AO948</f>
        <v>0</v>
      </c>
      <c r="AX948" s="38">
        <f>G948*AP948</f>
        <v>0</v>
      </c>
      <c r="AY948" s="72" t="s">
        <v>1679</v>
      </c>
      <c r="AZ948" s="72" t="s">
        <v>1657</v>
      </c>
      <c r="BA948" s="50" t="s">
        <v>139</v>
      </c>
      <c r="BB948" s="73">
        <v>100005</v>
      </c>
      <c r="BC948" s="38">
        <f>AW948+AX948</f>
        <v>0</v>
      </c>
      <c r="BD948" s="38">
        <f>H948/(100-BE948)*100</f>
        <v>0</v>
      </c>
      <c r="BE948" s="38">
        <v>0</v>
      </c>
      <c r="BF948" s="38">
        <f>K948</f>
        <v>8E-05</v>
      </c>
      <c r="BH948" s="38">
        <f>G948*AO948</f>
        <v>0</v>
      </c>
      <c r="BI948" s="38">
        <f>G948*AP948</f>
        <v>0</v>
      </c>
      <c r="BJ948" s="38">
        <f>G948*H948</f>
        <v>0</v>
      </c>
      <c r="BK948" s="38"/>
      <c r="BL948" s="38">
        <v>95</v>
      </c>
      <c r="BW948" s="38">
        <v>21</v>
      </c>
    </row>
    <row r="949" spans="1:12" ht="15">
      <c r="A949" s="74"/>
      <c r="D949" s="75" t="s">
        <v>174</v>
      </c>
      <c r="E949" s="75" t="s">
        <v>4</v>
      </c>
      <c r="G949" s="76">
        <v>8</v>
      </c>
      <c r="L949" s="77"/>
    </row>
    <row r="950" spans="1:75" ht="13.5" customHeight="1">
      <c r="A950" s="78" t="s">
        <v>1687</v>
      </c>
      <c r="B950" s="79" t="s">
        <v>84</v>
      </c>
      <c r="C950" s="79" t="s">
        <v>1688</v>
      </c>
      <c r="D950" s="198" t="s">
        <v>1689</v>
      </c>
      <c r="E950" s="199"/>
      <c r="F950" s="79" t="s">
        <v>199</v>
      </c>
      <c r="G950" s="80">
        <v>8</v>
      </c>
      <c r="H950" s="81">
        <v>0</v>
      </c>
      <c r="I950" s="80">
        <f>G950*H950</f>
        <v>0</v>
      </c>
      <c r="J950" s="80">
        <v>0.0166</v>
      </c>
      <c r="K950" s="80">
        <f>G950*J950</f>
        <v>0.1328</v>
      </c>
      <c r="L950" s="82" t="s">
        <v>207</v>
      </c>
      <c r="Z950" s="38">
        <f>IF(AQ950="5",BJ950,0)</f>
        <v>0</v>
      </c>
      <c r="AB950" s="38">
        <f>IF(AQ950="1",BH950,0)</f>
        <v>0</v>
      </c>
      <c r="AC950" s="38">
        <f>IF(AQ950="1",BI950,0)</f>
        <v>0</v>
      </c>
      <c r="AD950" s="38">
        <f>IF(AQ950="7",BH950,0)</f>
        <v>0</v>
      </c>
      <c r="AE950" s="38">
        <f>IF(AQ950="7",BI950,0)</f>
        <v>0</v>
      </c>
      <c r="AF950" s="38">
        <f>IF(AQ950="2",BH950,0)</f>
        <v>0</v>
      </c>
      <c r="AG950" s="38">
        <f>IF(AQ950="2",BI950,0)</f>
        <v>0</v>
      </c>
      <c r="AH950" s="38">
        <f>IF(AQ950="0",BJ950,0)</f>
        <v>0</v>
      </c>
      <c r="AI950" s="50" t="s">
        <v>84</v>
      </c>
      <c r="AJ950" s="80">
        <f>IF(AN950=0,I950,0)</f>
        <v>0</v>
      </c>
      <c r="AK950" s="80">
        <f>IF(AN950=12,I950,0)</f>
        <v>0</v>
      </c>
      <c r="AL950" s="80">
        <f>IF(AN950=21,I950,0)</f>
        <v>0</v>
      </c>
      <c r="AN950" s="38">
        <v>21</v>
      </c>
      <c r="AO950" s="38">
        <f>H950*1</f>
        <v>0</v>
      </c>
      <c r="AP950" s="38">
        <f>H950*(1-1)</f>
        <v>0</v>
      </c>
      <c r="AQ950" s="83" t="s">
        <v>132</v>
      </c>
      <c r="AV950" s="38">
        <f>AW950+AX950</f>
        <v>0</v>
      </c>
      <c r="AW950" s="38">
        <f>G950*AO950</f>
        <v>0</v>
      </c>
      <c r="AX950" s="38">
        <f>G950*AP950</f>
        <v>0</v>
      </c>
      <c r="AY950" s="72" t="s">
        <v>1679</v>
      </c>
      <c r="AZ950" s="72" t="s">
        <v>1657</v>
      </c>
      <c r="BA950" s="50" t="s">
        <v>139</v>
      </c>
      <c r="BC950" s="38">
        <f>AW950+AX950</f>
        <v>0</v>
      </c>
      <c r="BD950" s="38">
        <f>H950/(100-BE950)*100</f>
        <v>0</v>
      </c>
      <c r="BE950" s="38">
        <v>0</v>
      </c>
      <c r="BF950" s="38">
        <f>K950</f>
        <v>0.1328</v>
      </c>
      <c r="BH950" s="80">
        <f>G950*AO950</f>
        <v>0</v>
      </c>
      <c r="BI950" s="80">
        <f>G950*AP950</f>
        <v>0</v>
      </c>
      <c r="BJ950" s="80">
        <f>G950*H950</f>
        <v>0</v>
      </c>
      <c r="BK950" s="80"/>
      <c r="BL950" s="38">
        <v>95</v>
      </c>
      <c r="BW950" s="38">
        <v>21</v>
      </c>
    </row>
    <row r="951" spans="1:12" ht="15">
      <c r="A951" s="74"/>
      <c r="D951" s="75" t="s">
        <v>174</v>
      </c>
      <c r="E951" s="75" t="s">
        <v>4</v>
      </c>
      <c r="G951" s="76">
        <v>8</v>
      </c>
      <c r="L951" s="77"/>
    </row>
    <row r="952" spans="1:75" ht="13.5" customHeight="1">
      <c r="A952" s="1" t="s">
        <v>1690</v>
      </c>
      <c r="B952" s="2" t="s">
        <v>84</v>
      </c>
      <c r="C952" s="2" t="s">
        <v>1691</v>
      </c>
      <c r="D952" s="108" t="s">
        <v>1692</v>
      </c>
      <c r="E952" s="103"/>
      <c r="F952" s="2" t="s">
        <v>1693</v>
      </c>
      <c r="G952" s="38">
        <v>1</v>
      </c>
      <c r="H952" s="70">
        <v>0</v>
      </c>
      <c r="I952" s="38">
        <f>G952*H952</f>
        <v>0</v>
      </c>
      <c r="J952" s="38">
        <v>1E-05</v>
      </c>
      <c r="K952" s="38">
        <f>G952*J952</f>
        <v>1E-05</v>
      </c>
      <c r="L952" s="71" t="s">
        <v>207</v>
      </c>
      <c r="Z952" s="38">
        <f>IF(AQ952="5",BJ952,0)</f>
        <v>0</v>
      </c>
      <c r="AB952" s="38">
        <f>IF(AQ952="1",BH952,0)</f>
        <v>0</v>
      </c>
      <c r="AC952" s="38">
        <f>IF(AQ952="1",BI952,0)</f>
        <v>0</v>
      </c>
      <c r="AD952" s="38">
        <f>IF(AQ952="7",BH952,0)</f>
        <v>0</v>
      </c>
      <c r="AE952" s="38">
        <f>IF(AQ952="7",BI952,0)</f>
        <v>0</v>
      </c>
      <c r="AF952" s="38">
        <f>IF(AQ952="2",BH952,0)</f>
        <v>0</v>
      </c>
      <c r="AG952" s="38">
        <f>IF(AQ952="2",BI952,0)</f>
        <v>0</v>
      </c>
      <c r="AH952" s="38">
        <f>IF(AQ952="0",BJ952,0)</f>
        <v>0</v>
      </c>
      <c r="AI952" s="50" t="s">
        <v>84</v>
      </c>
      <c r="AJ952" s="38">
        <f>IF(AN952=0,I952,0)</f>
        <v>0</v>
      </c>
      <c r="AK952" s="38">
        <f>IF(AN952=12,I952,0)</f>
        <v>0</v>
      </c>
      <c r="AL952" s="38">
        <f>IF(AN952=21,I952,0)</f>
        <v>0</v>
      </c>
      <c r="AN952" s="38">
        <v>21</v>
      </c>
      <c r="AO952" s="38">
        <f>H952*0.666666667</f>
        <v>0</v>
      </c>
      <c r="AP952" s="38">
        <f>H952*(1-0.666666667)</f>
        <v>0</v>
      </c>
      <c r="AQ952" s="72" t="s">
        <v>132</v>
      </c>
      <c r="AV952" s="38">
        <f>AW952+AX952</f>
        <v>0</v>
      </c>
      <c r="AW952" s="38">
        <f>G952*AO952</f>
        <v>0</v>
      </c>
      <c r="AX952" s="38">
        <f>G952*AP952</f>
        <v>0</v>
      </c>
      <c r="AY952" s="72" t="s">
        <v>1679</v>
      </c>
      <c r="AZ952" s="72" t="s">
        <v>1657</v>
      </c>
      <c r="BA952" s="50" t="s">
        <v>139</v>
      </c>
      <c r="BB952" s="73">
        <v>100005</v>
      </c>
      <c r="BC952" s="38">
        <f>AW952+AX952</f>
        <v>0</v>
      </c>
      <c r="BD952" s="38">
        <f>H952/(100-BE952)*100</f>
        <v>0</v>
      </c>
      <c r="BE952" s="38">
        <v>0</v>
      </c>
      <c r="BF952" s="38">
        <f>K952</f>
        <v>1E-05</v>
      </c>
      <c r="BH952" s="38">
        <f>G952*AO952</f>
        <v>0</v>
      </c>
      <c r="BI952" s="38">
        <f>G952*AP952</f>
        <v>0</v>
      </c>
      <c r="BJ952" s="38">
        <f>G952*H952</f>
        <v>0</v>
      </c>
      <c r="BK952" s="38"/>
      <c r="BL952" s="38">
        <v>95</v>
      </c>
      <c r="BW952" s="38">
        <v>21</v>
      </c>
    </row>
    <row r="953" spans="1:12" ht="13.5" customHeight="1">
      <c r="A953" s="74"/>
      <c r="D953" s="194" t="s">
        <v>1694</v>
      </c>
      <c r="E953" s="195"/>
      <c r="F953" s="195"/>
      <c r="G953" s="195"/>
      <c r="H953" s="196"/>
      <c r="I953" s="195"/>
      <c r="J953" s="195"/>
      <c r="K953" s="195"/>
      <c r="L953" s="197"/>
    </row>
    <row r="954" spans="1:12" ht="15">
      <c r="A954" s="74"/>
      <c r="D954" s="75" t="s">
        <v>132</v>
      </c>
      <c r="E954" s="75" t="s">
        <v>4</v>
      </c>
      <c r="G954" s="76">
        <v>1</v>
      </c>
      <c r="L954" s="77"/>
    </row>
    <row r="955" spans="1:75" ht="13.5" customHeight="1">
      <c r="A955" s="1" t="s">
        <v>1695</v>
      </c>
      <c r="B955" s="2" t="s">
        <v>84</v>
      </c>
      <c r="C955" s="2" t="s">
        <v>1696</v>
      </c>
      <c r="D955" s="108" t="s">
        <v>1697</v>
      </c>
      <c r="E955" s="103"/>
      <c r="F955" s="2" t="s">
        <v>199</v>
      </c>
      <c r="G955" s="38">
        <v>32</v>
      </c>
      <c r="H955" s="70">
        <v>0</v>
      </c>
      <c r="I955" s="38">
        <f>G955*H955</f>
        <v>0</v>
      </c>
      <c r="J955" s="38">
        <v>0</v>
      </c>
      <c r="K955" s="38">
        <f>G955*J955</f>
        <v>0</v>
      </c>
      <c r="L955" s="71" t="s">
        <v>207</v>
      </c>
      <c r="Z955" s="38">
        <f>IF(AQ955="5",BJ955,0)</f>
        <v>0</v>
      </c>
      <c r="AB955" s="38">
        <f>IF(AQ955="1",BH955,0)</f>
        <v>0</v>
      </c>
      <c r="AC955" s="38">
        <f>IF(AQ955="1",BI955,0)</f>
        <v>0</v>
      </c>
      <c r="AD955" s="38">
        <f>IF(AQ955="7",BH955,0)</f>
        <v>0</v>
      </c>
      <c r="AE955" s="38">
        <f>IF(AQ955="7",BI955,0)</f>
        <v>0</v>
      </c>
      <c r="AF955" s="38">
        <f>IF(AQ955="2",BH955,0)</f>
        <v>0</v>
      </c>
      <c r="AG955" s="38">
        <f>IF(AQ955="2",BI955,0)</f>
        <v>0</v>
      </c>
      <c r="AH955" s="38">
        <f>IF(AQ955="0",BJ955,0)</f>
        <v>0</v>
      </c>
      <c r="AI955" s="50" t="s">
        <v>84</v>
      </c>
      <c r="AJ955" s="38">
        <f>IF(AN955=0,I955,0)</f>
        <v>0</v>
      </c>
      <c r="AK955" s="38">
        <f>IF(AN955=12,I955,0)</f>
        <v>0</v>
      </c>
      <c r="AL955" s="38">
        <f>IF(AN955=21,I955,0)</f>
        <v>0</v>
      </c>
      <c r="AN955" s="38">
        <v>21</v>
      </c>
      <c r="AO955" s="38">
        <f>H955*0.51760274</f>
        <v>0</v>
      </c>
      <c r="AP955" s="38">
        <f>H955*(1-0.51760274)</f>
        <v>0</v>
      </c>
      <c r="AQ955" s="72" t="s">
        <v>132</v>
      </c>
      <c r="AV955" s="38">
        <f>AW955+AX955</f>
        <v>0</v>
      </c>
      <c r="AW955" s="38">
        <f>G955*AO955</f>
        <v>0</v>
      </c>
      <c r="AX955" s="38">
        <f>G955*AP955</f>
        <v>0</v>
      </c>
      <c r="AY955" s="72" t="s">
        <v>1679</v>
      </c>
      <c r="AZ955" s="72" t="s">
        <v>1657</v>
      </c>
      <c r="BA955" s="50" t="s">
        <v>139</v>
      </c>
      <c r="BB955" s="73">
        <v>100005</v>
      </c>
      <c r="BC955" s="38">
        <f>AW955+AX955</f>
        <v>0</v>
      </c>
      <c r="BD955" s="38">
        <f>H955/(100-BE955)*100</f>
        <v>0</v>
      </c>
      <c r="BE955" s="38">
        <v>0</v>
      </c>
      <c r="BF955" s="38">
        <f>K955</f>
        <v>0</v>
      </c>
      <c r="BH955" s="38">
        <f>G955*AO955</f>
        <v>0</v>
      </c>
      <c r="BI955" s="38">
        <f>G955*AP955</f>
        <v>0</v>
      </c>
      <c r="BJ955" s="38">
        <f>G955*H955</f>
        <v>0</v>
      </c>
      <c r="BK955" s="38"/>
      <c r="BL955" s="38">
        <v>95</v>
      </c>
      <c r="BW955" s="38">
        <v>21</v>
      </c>
    </row>
    <row r="956" spans="1:12" ht="15">
      <c r="A956" s="74"/>
      <c r="D956" s="75" t="s">
        <v>1698</v>
      </c>
      <c r="E956" s="75" t="s">
        <v>4</v>
      </c>
      <c r="G956" s="76">
        <v>32</v>
      </c>
      <c r="L956" s="77"/>
    </row>
    <row r="957" spans="1:75" ht="13.5" customHeight="1">
      <c r="A957" s="1" t="s">
        <v>1699</v>
      </c>
      <c r="B957" s="2" t="s">
        <v>84</v>
      </c>
      <c r="C957" s="2" t="s">
        <v>1700</v>
      </c>
      <c r="D957" s="108" t="s">
        <v>1701</v>
      </c>
      <c r="E957" s="103"/>
      <c r="F957" s="2" t="s">
        <v>199</v>
      </c>
      <c r="G957" s="38">
        <v>15</v>
      </c>
      <c r="H957" s="70">
        <v>0</v>
      </c>
      <c r="I957" s="38">
        <f>G957*H957</f>
        <v>0</v>
      </c>
      <c r="J957" s="38">
        <v>0</v>
      </c>
      <c r="K957" s="38">
        <f>G957*J957</f>
        <v>0</v>
      </c>
      <c r="L957" s="71" t="s">
        <v>136</v>
      </c>
      <c r="Z957" s="38">
        <f>IF(AQ957="5",BJ957,0)</f>
        <v>0</v>
      </c>
      <c r="AB957" s="38">
        <f>IF(AQ957="1",BH957,0)</f>
        <v>0</v>
      </c>
      <c r="AC957" s="38">
        <f>IF(AQ957="1",BI957,0)</f>
        <v>0</v>
      </c>
      <c r="AD957" s="38">
        <f>IF(AQ957="7",BH957,0)</f>
        <v>0</v>
      </c>
      <c r="AE957" s="38">
        <f>IF(AQ957="7",BI957,0)</f>
        <v>0</v>
      </c>
      <c r="AF957" s="38">
        <f>IF(AQ957="2",BH957,0)</f>
        <v>0</v>
      </c>
      <c r="AG957" s="38">
        <f>IF(AQ957="2",BI957,0)</f>
        <v>0</v>
      </c>
      <c r="AH957" s="38">
        <f>IF(AQ957="0",BJ957,0)</f>
        <v>0</v>
      </c>
      <c r="AI957" s="50" t="s">
        <v>84</v>
      </c>
      <c r="AJ957" s="38">
        <f>IF(AN957=0,I957,0)</f>
        <v>0</v>
      </c>
      <c r="AK957" s="38">
        <f>IF(AN957=12,I957,0)</f>
        <v>0</v>
      </c>
      <c r="AL957" s="38">
        <f>IF(AN957=21,I957,0)</f>
        <v>0</v>
      </c>
      <c r="AN957" s="38">
        <v>21</v>
      </c>
      <c r="AO957" s="38">
        <f>H957*0.541992463</f>
        <v>0</v>
      </c>
      <c r="AP957" s="38">
        <f>H957*(1-0.541992463)</f>
        <v>0</v>
      </c>
      <c r="AQ957" s="72" t="s">
        <v>132</v>
      </c>
      <c r="AV957" s="38">
        <f>AW957+AX957</f>
        <v>0</v>
      </c>
      <c r="AW957" s="38">
        <f>G957*AO957</f>
        <v>0</v>
      </c>
      <c r="AX957" s="38">
        <f>G957*AP957</f>
        <v>0</v>
      </c>
      <c r="AY957" s="72" t="s">
        <v>1679</v>
      </c>
      <c r="AZ957" s="72" t="s">
        <v>1657</v>
      </c>
      <c r="BA957" s="50" t="s">
        <v>139</v>
      </c>
      <c r="BB957" s="73">
        <v>100005</v>
      </c>
      <c r="BC957" s="38">
        <f>AW957+AX957</f>
        <v>0</v>
      </c>
      <c r="BD957" s="38">
        <f>H957/(100-BE957)*100</f>
        <v>0</v>
      </c>
      <c r="BE957" s="38">
        <v>0</v>
      </c>
      <c r="BF957" s="38">
        <f>K957</f>
        <v>0</v>
      </c>
      <c r="BH957" s="38">
        <f>G957*AO957</f>
        <v>0</v>
      </c>
      <c r="BI957" s="38">
        <f>G957*AP957</f>
        <v>0</v>
      </c>
      <c r="BJ957" s="38">
        <f>G957*H957</f>
        <v>0</v>
      </c>
      <c r="BK957" s="38"/>
      <c r="BL957" s="38">
        <v>95</v>
      </c>
      <c r="BW957" s="38">
        <v>21</v>
      </c>
    </row>
    <row r="958" spans="1:12" ht="13.5" customHeight="1">
      <c r="A958" s="74"/>
      <c r="D958" s="194" t="s">
        <v>1702</v>
      </c>
      <c r="E958" s="195"/>
      <c r="F958" s="195"/>
      <c r="G958" s="195"/>
      <c r="H958" s="196"/>
      <c r="I958" s="195"/>
      <c r="J958" s="195"/>
      <c r="K958" s="195"/>
      <c r="L958" s="197"/>
    </row>
    <row r="959" spans="1:12" ht="15">
      <c r="A959" s="74"/>
      <c r="D959" s="75" t="s">
        <v>217</v>
      </c>
      <c r="E959" s="75" t="s">
        <v>4</v>
      </c>
      <c r="G959" s="76">
        <v>15</v>
      </c>
      <c r="L959" s="77"/>
    </row>
    <row r="960" spans="1:47" ht="15">
      <c r="A960" s="65" t="s">
        <v>4</v>
      </c>
      <c r="B960" s="66" t="s">
        <v>84</v>
      </c>
      <c r="C960" s="66" t="s">
        <v>725</v>
      </c>
      <c r="D960" s="192" t="s">
        <v>1703</v>
      </c>
      <c r="E960" s="193"/>
      <c r="F960" s="67" t="s">
        <v>78</v>
      </c>
      <c r="G960" s="67" t="s">
        <v>78</v>
      </c>
      <c r="H960" s="68" t="s">
        <v>78</v>
      </c>
      <c r="I960" s="44">
        <f>SUM(I961:I1028)</f>
        <v>0</v>
      </c>
      <c r="J960" s="50" t="s">
        <v>4</v>
      </c>
      <c r="K960" s="44">
        <f>SUM(K961:K1028)</f>
        <v>78.81726359999999</v>
      </c>
      <c r="L960" s="69" t="s">
        <v>4</v>
      </c>
      <c r="AI960" s="50" t="s">
        <v>84</v>
      </c>
      <c r="AS960" s="44">
        <f>SUM(AJ961:AJ1028)</f>
        <v>0</v>
      </c>
      <c r="AT960" s="44">
        <f>SUM(AK961:AK1028)</f>
        <v>0</v>
      </c>
      <c r="AU960" s="44">
        <f>SUM(AL961:AL1028)</f>
        <v>0</v>
      </c>
    </row>
    <row r="961" spans="1:75" ht="13.5" customHeight="1">
      <c r="A961" s="1" t="s">
        <v>1704</v>
      </c>
      <c r="B961" s="2" t="s">
        <v>84</v>
      </c>
      <c r="C961" s="2" t="s">
        <v>1705</v>
      </c>
      <c r="D961" s="108" t="s">
        <v>1706</v>
      </c>
      <c r="E961" s="103"/>
      <c r="F961" s="2" t="s">
        <v>263</v>
      </c>
      <c r="G961" s="38">
        <v>19.01</v>
      </c>
      <c r="H961" s="70">
        <v>0</v>
      </c>
      <c r="I961" s="38">
        <f>G961*H961</f>
        <v>0</v>
      </c>
      <c r="J961" s="38">
        <v>0.31967</v>
      </c>
      <c r="K961" s="38">
        <f>G961*J961</f>
        <v>6.0769267000000005</v>
      </c>
      <c r="L961" s="71" t="s">
        <v>136</v>
      </c>
      <c r="Z961" s="38">
        <f>IF(AQ961="5",BJ961,0)</f>
        <v>0</v>
      </c>
      <c r="AB961" s="38">
        <f>IF(AQ961="1",BH961,0)</f>
        <v>0</v>
      </c>
      <c r="AC961" s="38">
        <f>IF(AQ961="1",BI961,0)</f>
        <v>0</v>
      </c>
      <c r="AD961" s="38">
        <f>IF(AQ961="7",BH961,0)</f>
        <v>0</v>
      </c>
      <c r="AE961" s="38">
        <f>IF(AQ961="7",BI961,0)</f>
        <v>0</v>
      </c>
      <c r="AF961" s="38">
        <f>IF(AQ961="2",BH961,0)</f>
        <v>0</v>
      </c>
      <c r="AG961" s="38">
        <f>IF(AQ961="2",BI961,0)</f>
        <v>0</v>
      </c>
      <c r="AH961" s="38">
        <f>IF(AQ961="0",BJ961,0)</f>
        <v>0</v>
      </c>
      <c r="AI961" s="50" t="s">
        <v>84</v>
      </c>
      <c r="AJ961" s="38">
        <f>IF(AN961=0,I961,0)</f>
        <v>0</v>
      </c>
      <c r="AK961" s="38">
        <f>IF(AN961=12,I961,0)</f>
        <v>0</v>
      </c>
      <c r="AL961" s="38">
        <f>IF(AN961=21,I961,0)</f>
        <v>0</v>
      </c>
      <c r="AN961" s="38">
        <v>21</v>
      </c>
      <c r="AO961" s="38">
        <f>H961*0.100671654</f>
        <v>0</v>
      </c>
      <c r="AP961" s="38">
        <f>H961*(1-0.100671654)</f>
        <v>0</v>
      </c>
      <c r="AQ961" s="72" t="s">
        <v>132</v>
      </c>
      <c r="AV961" s="38">
        <f>AW961+AX961</f>
        <v>0</v>
      </c>
      <c r="AW961" s="38">
        <f>G961*AO961</f>
        <v>0</v>
      </c>
      <c r="AX961" s="38">
        <f>G961*AP961</f>
        <v>0</v>
      </c>
      <c r="AY961" s="72" t="s">
        <v>1707</v>
      </c>
      <c r="AZ961" s="72" t="s">
        <v>1657</v>
      </c>
      <c r="BA961" s="50" t="s">
        <v>139</v>
      </c>
      <c r="BB961" s="73">
        <v>100007</v>
      </c>
      <c r="BC961" s="38">
        <f>AW961+AX961</f>
        <v>0</v>
      </c>
      <c r="BD961" s="38">
        <f>H961/(100-BE961)*100</f>
        <v>0</v>
      </c>
      <c r="BE961" s="38">
        <v>0</v>
      </c>
      <c r="BF961" s="38">
        <f>K961</f>
        <v>6.0769267000000005</v>
      </c>
      <c r="BH961" s="38">
        <f>G961*AO961</f>
        <v>0</v>
      </c>
      <c r="BI961" s="38">
        <f>G961*AP961</f>
        <v>0</v>
      </c>
      <c r="BJ961" s="38">
        <f>G961*H961</f>
        <v>0</v>
      </c>
      <c r="BK961" s="38"/>
      <c r="BL961" s="38">
        <v>96</v>
      </c>
      <c r="BW961" s="38">
        <v>21</v>
      </c>
    </row>
    <row r="962" spans="1:12" ht="15">
      <c r="A962" s="74"/>
      <c r="D962" s="75" t="s">
        <v>1708</v>
      </c>
      <c r="E962" s="75" t="s">
        <v>618</v>
      </c>
      <c r="G962" s="76">
        <v>19.01</v>
      </c>
      <c r="L962" s="77"/>
    </row>
    <row r="963" spans="1:75" ht="13.5" customHeight="1">
      <c r="A963" s="1" t="s">
        <v>1709</v>
      </c>
      <c r="B963" s="2" t="s">
        <v>84</v>
      </c>
      <c r="C963" s="2" t="s">
        <v>1710</v>
      </c>
      <c r="D963" s="108" t="s">
        <v>1711</v>
      </c>
      <c r="E963" s="103"/>
      <c r="F963" s="2" t="s">
        <v>263</v>
      </c>
      <c r="G963" s="38">
        <v>4.58</v>
      </c>
      <c r="H963" s="70">
        <v>0</v>
      </c>
      <c r="I963" s="38">
        <f>G963*H963</f>
        <v>0</v>
      </c>
      <c r="J963" s="38">
        <v>0.05567</v>
      </c>
      <c r="K963" s="38">
        <f>G963*J963</f>
        <v>0.2549686</v>
      </c>
      <c r="L963" s="71" t="s">
        <v>136</v>
      </c>
      <c r="Z963" s="38">
        <f>IF(AQ963="5",BJ963,0)</f>
        <v>0</v>
      </c>
      <c r="AB963" s="38">
        <f>IF(AQ963="1",BH963,0)</f>
        <v>0</v>
      </c>
      <c r="AC963" s="38">
        <f>IF(AQ963="1",BI963,0)</f>
        <v>0</v>
      </c>
      <c r="AD963" s="38">
        <f>IF(AQ963="7",BH963,0)</f>
        <v>0</v>
      </c>
      <c r="AE963" s="38">
        <f>IF(AQ963="7",BI963,0)</f>
        <v>0</v>
      </c>
      <c r="AF963" s="38">
        <f>IF(AQ963="2",BH963,0)</f>
        <v>0</v>
      </c>
      <c r="AG963" s="38">
        <f>IF(AQ963="2",BI963,0)</f>
        <v>0</v>
      </c>
      <c r="AH963" s="38">
        <f>IF(AQ963="0",BJ963,0)</f>
        <v>0</v>
      </c>
      <c r="AI963" s="50" t="s">
        <v>84</v>
      </c>
      <c r="AJ963" s="38">
        <f>IF(AN963=0,I963,0)</f>
        <v>0</v>
      </c>
      <c r="AK963" s="38">
        <f>IF(AN963=12,I963,0)</f>
        <v>0</v>
      </c>
      <c r="AL963" s="38">
        <f>IF(AN963=21,I963,0)</f>
        <v>0</v>
      </c>
      <c r="AN963" s="38">
        <v>21</v>
      </c>
      <c r="AO963" s="38">
        <f>H963*0.101239363</f>
        <v>0</v>
      </c>
      <c r="AP963" s="38">
        <f>H963*(1-0.101239363)</f>
        <v>0</v>
      </c>
      <c r="AQ963" s="72" t="s">
        <v>132</v>
      </c>
      <c r="AV963" s="38">
        <f>AW963+AX963</f>
        <v>0</v>
      </c>
      <c r="AW963" s="38">
        <f>G963*AO963</f>
        <v>0</v>
      </c>
      <c r="AX963" s="38">
        <f>G963*AP963</f>
        <v>0</v>
      </c>
      <c r="AY963" s="72" t="s">
        <v>1707</v>
      </c>
      <c r="AZ963" s="72" t="s">
        <v>1657</v>
      </c>
      <c r="BA963" s="50" t="s">
        <v>139</v>
      </c>
      <c r="BB963" s="73">
        <v>100007</v>
      </c>
      <c r="BC963" s="38">
        <f>AW963+AX963</f>
        <v>0</v>
      </c>
      <c r="BD963" s="38">
        <f>H963/(100-BE963)*100</f>
        <v>0</v>
      </c>
      <c r="BE963" s="38">
        <v>0</v>
      </c>
      <c r="BF963" s="38">
        <f>K963</f>
        <v>0.2549686</v>
      </c>
      <c r="BH963" s="38">
        <f>G963*AO963</f>
        <v>0</v>
      </c>
      <c r="BI963" s="38">
        <f>G963*AP963</f>
        <v>0</v>
      </c>
      <c r="BJ963" s="38">
        <f>G963*H963</f>
        <v>0</v>
      </c>
      <c r="BK963" s="38"/>
      <c r="BL963" s="38">
        <v>96</v>
      </c>
      <c r="BW963" s="38">
        <v>21</v>
      </c>
    </row>
    <row r="964" spans="1:12" ht="15">
      <c r="A964" s="74"/>
      <c r="D964" s="75" t="s">
        <v>1712</v>
      </c>
      <c r="E964" s="75" t="s">
        <v>4</v>
      </c>
      <c r="G964" s="76">
        <v>4.58</v>
      </c>
      <c r="L964" s="77"/>
    </row>
    <row r="965" spans="1:75" ht="13.5" customHeight="1">
      <c r="A965" s="1" t="s">
        <v>1713</v>
      </c>
      <c r="B965" s="2" t="s">
        <v>84</v>
      </c>
      <c r="C965" s="2" t="s">
        <v>1714</v>
      </c>
      <c r="D965" s="108" t="s">
        <v>1715</v>
      </c>
      <c r="E965" s="103"/>
      <c r="F965" s="2" t="s">
        <v>135</v>
      </c>
      <c r="G965" s="38">
        <v>11.18</v>
      </c>
      <c r="H965" s="70">
        <v>0</v>
      </c>
      <c r="I965" s="38">
        <f>G965*H965</f>
        <v>0</v>
      </c>
      <c r="J965" s="38">
        <v>1.80128</v>
      </c>
      <c r="K965" s="38">
        <f>G965*J965</f>
        <v>20.138310399999998</v>
      </c>
      <c r="L965" s="71" t="s">
        <v>136</v>
      </c>
      <c r="Z965" s="38">
        <f>IF(AQ965="5",BJ965,0)</f>
        <v>0</v>
      </c>
      <c r="AB965" s="38">
        <f>IF(AQ965="1",BH965,0)</f>
        <v>0</v>
      </c>
      <c r="AC965" s="38">
        <f>IF(AQ965="1",BI965,0)</f>
        <v>0</v>
      </c>
      <c r="AD965" s="38">
        <f>IF(AQ965="7",BH965,0)</f>
        <v>0</v>
      </c>
      <c r="AE965" s="38">
        <f>IF(AQ965="7",BI965,0)</f>
        <v>0</v>
      </c>
      <c r="AF965" s="38">
        <f>IF(AQ965="2",BH965,0)</f>
        <v>0</v>
      </c>
      <c r="AG965" s="38">
        <f>IF(AQ965="2",BI965,0)</f>
        <v>0</v>
      </c>
      <c r="AH965" s="38">
        <f>IF(AQ965="0",BJ965,0)</f>
        <v>0</v>
      </c>
      <c r="AI965" s="50" t="s">
        <v>84</v>
      </c>
      <c r="AJ965" s="38">
        <f>IF(AN965=0,I965,0)</f>
        <v>0</v>
      </c>
      <c r="AK965" s="38">
        <f>IF(AN965=12,I965,0)</f>
        <v>0</v>
      </c>
      <c r="AL965" s="38">
        <f>IF(AN965=21,I965,0)</f>
        <v>0</v>
      </c>
      <c r="AN965" s="38">
        <v>21</v>
      </c>
      <c r="AO965" s="38">
        <f>H965*0.039252632</f>
        <v>0</v>
      </c>
      <c r="AP965" s="38">
        <f>H965*(1-0.039252632)</f>
        <v>0</v>
      </c>
      <c r="AQ965" s="72" t="s">
        <v>132</v>
      </c>
      <c r="AV965" s="38">
        <f>AW965+AX965</f>
        <v>0</v>
      </c>
      <c r="AW965" s="38">
        <f>G965*AO965</f>
        <v>0</v>
      </c>
      <c r="AX965" s="38">
        <f>G965*AP965</f>
        <v>0</v>
      </c>
      <c r="AY965" s="72" t="s">
        <v>1707</v>
      </c>
      <c r="AZ965" s="72" t="s">
        <v>1657</v>
      </c>
      <c r="BA965" s="50" t="s">
        <v>139</v>
      </c>
      <c r="BB965" s="73">
        <v>100007</v>
      </c>
      <c r="BC965" s="38">
        <f>AW965+AX965</f>
        <v>0</v>
      </c>
      <c r="BD965" s="38">
        <f>H965/(100-BE965)*100</f>
        <v>0</v>
      </c>
      <c r="BE965" s="38">
        <v>0</v>
      </c>
      <c r="BF965" s="38">
        <f>K965</f>
        <v>20.138310399999998</v>
      </c>
      <c r="BH965" s="38">
        <f>G965*AO965</f>
        <v>0</v>
      </c>
      <c r="BI965" s="38">
        <f>G965*AP965</f>
        <v>0</v>
      </c>
      <c r="BJ965" s="38">
        <f>G965*H965</f>
        <v>0</v>
      </c>
      <c r="BK965" s="38"/>
      <c r="BL965" s="38">
        <v>96</v>
      </c>
      <c r="BW965" s="38">
        <v>21</v>
      </c>
    </row>
    <row r="966" spans="1:12" ht="15">
      <c r="A966" s="74"/>
      <c r="D966" s="75" t="s">
        <v>1716</v>
      </c>
      <c r="E966" s="75" t="s">
        <v>1717</v>
      </c>
      <c r="G966" s="76">
        <v>5.41</v>
      </c>
      <c r="L966" s="77"/>
    </row>
    <row r="967" spans="1:12" ht="15">
      <c r="A967" s="74"/>
      <c r="D967" s="75" t="s">
        <v>1718</v>
      </c>
      <c r="E967" s="75" t="s">
        <v>1719</v>
      </c>
      <c r="G967" s="76">
        <v>5.33</v>
      </c>
      <c r="L967" s="77"/>
    </row>
    <row r="968" spans="1:12" ht="15">
      <c r="A968" s="74"/>
      <c r="D968" s="75" t="s">
        <v>1720</v>
      </c>
      <c r="E968" s="75" t="s">
        <v>1721</v>
      </c>
      <c r="G968" s="76">
        <v>0.11</v>
      </c>
      <c r="L968" s="77"/>
    </row>
    <row r="969" spans="1:12" ht="15">
      <c r="A969" s="74"/>
      <c r="D969" s="75" t="s">
        <v>1722</v>
      </c>
      <c r="E969" s="75" t="s">
        <v>1723</v>
      </c>
      <c r="G969" s="76">
        <v>0.33</v>
      </c>
      <c r="L969" s="77"/>
    </row>
    <row r="970" spans="1:75" ht="13.5" customHeight="1">
      <c r="A970" s="1" t="s">
        <v>1724</v>
      </c>
      <c r="B970" s="2" t="s">
        <v>84</v>
      </c>
      <c r="C970" s="2" t="s">
        <v>1725</v>
      </c>
      <c r="D970" s="108" t="s">
        <v>1726</v>
      </c>
      <c r="E970" s="103"/>
      <c r="F970" s="2" t="s">
        <v>199</v>
      </c>
      <c r="G970" s="38">
        <v>12</v>
      </c>
      <c r="H970" s="70">
        <v>0</v>
      </c>
      <c r="I970" s="38">
        <f>G970*H970</f>
        <v>0</v>
      </c>
      <c r="J970" s="38">
        <v>0</v>
      </c>
      <c r="K970" s="38">
        <f>G970*J970</f>
        <v>0</v>
      </c>
      <c r="L970" s="71" t="s">
        <v>136</v>
      </c>
      <c r="Z970" s="38">
        <f>IF(AQ970="5",BJ970,0)</f>
        <v>0</v>
      </c>
      <c r="AB970" s="38">
        <f>IF(AQ970="1",BH970,0)</f>
        <v>0</v>
      </c>
      <c r="AC970" s="38">
        <f>IF(AQ970="1",BI970,0)</f>
        <v>0</v>
      </c>
      <c r="AD970" s="38">
        <f>IF(AQ970="7",BH970,0)</f>
        <v>0</v>
      </c>
      <c r="AE970" s="38">
        <f>IF(AQ970="7",BI970,0)</f>
        <v>0</v>
      </c>
      <c r="AF970" s="38">
        <f>IF(AQ970="2",BH970,0)</f>
        <v>0</v>
      </c>
      <c r="AG970" s="38">
        <f>IF(AQ970="2",BI970,0)</f>
        <v>0</v>
      </c>
      <c r="AH970" s="38">
        <f>IF(AQ970="0",BJ970,0)</f>
        <v>0</v>
      </c>
      <c r="AI970" s="50" t="s">
        <v>84</v>
      </c>
      <c r="AJ970" s="38">
        <f>IF(AN970=0,I970,0)</f>
        <v>0</v>
      </c>
      <c r="AK970" s="38">
        <f>IF(AN970=12,I970,0)</f>
        <v>0</v>
      </c>
      <c r="AL970" s="38">
        <f>IF(AN970=21,I970,0)</f>
        <v>0</v>
      </c>
      <c r="AN970" s="38">
        <v>21</v>
      </c>
      <c r="AO970" s="38">
        <f>H970*0</f>
        <v>0</v>
      </c>
      <c r="AP970" s="38">
        <f>H970*(1-0)</f>
        <v>0</v>
      </c>
      <c r="AQ970" s="72" t="s">
        <v>132</v>
      </c>
      <c r="AV970" s="38">
        <f>AW970+AX970</f>
        <v>0</v>
      </c>
      <c r="AW970" s="38">
        <f>G970*AO970</f>
        <v>0</v>
      </c>
      <c r="AX970" s="38">
        <f>G970*AP970</f>
        <v>0</v>
      </c>
      <c r="AY970" s="72" t="s">
        <v>1707</v>
      </c>
      <c r="AZ970" s="72" t="s">
        <v>1657</v>
      </c>
      <c r="BA970" s="50" t="s">
        <v>139</v>
      </c>
      <c r="BB970" s="73">
        <v>100007</v>
      </c>
      <c r="BC970" s="38">
        <f>AW970+AX970</f>
        <v>0</v>
      </c>
      <c r="BD970" s="38">
        <f>H970/(100-BE970)*100</f>
        <v>0</v>
      </c>
      <c r="BE970" s="38">
        <v>0</v>
      </c>
      <c r="BF970" s="38">
        <f>K970</f>
        <v>0</v>
      </c>
      <c r="BH970" s="38">
        <f>G970*AO970</f>
        <v>0</v>
      </c>
      <c r="BI970" s="38">
        <f>G970*AP970</f>
        <v>0</v>
      </c>
      <c r="BJ970" s="38">
        <f>G970*H970</f>
        <v>0</v>
      </c>
      <c r="BK970" s="38"/>
      <c r="BL970" s="38">
        <v>96</v>
      </c>
      <c r="BW970" s="38">
        <v>21</v>
      </c>
    </row>
    <row r="971" spans="1:12" ht="15">
      <c r="A971" s="74"/>
      <c r="D971" s="75" t="s">
        <v>130</v>
      </c>
      <c r="E971" s="75" t="s">
        <v>4</v>
      </c>
      <c r="G971" s="76">
        <v>12</v>
      </c>
      <c r="L971" s="77"/>
    </row>
    <row r="972" spans="1:75" ht="13.5" customHeight="1">
      <c r="A972" s="1" t="s">
        <v>1727</v>
      </c>
      <c r="B972" s="2" t="s">
        <v>84</v>
      </c>
      <c r="C972" s="2" t="s">
        <v>1728</v>
      </c>
      <c r="D972" s="108" t="s">
        <v>1729</v>
      </c>
      <c r="E972" s="103"/>
      <c r="F972" s="2" t="s">
        <v>263</v>
      </c>
      <c r="G972" s="38">
        <v>15.76</v>
      </c>
      <c r="H972" s="70">
        <v>0</v>
      </c>
      <c r="I972" s="38">
        <f>G972*H972</f>
        <v>0</v>
      </c>
      <c r="J972" s="38">
        <v>0.076</v>
      </c>
      <c r="K972" s="38">
        <f>G972*J972</f>
        <v>1.19776</v>
      </c>
      <c r="L972" s="71" t="s">
        <v>136</v>
      </c>
      <c r="Z972" s="38">
        <f>IF(AQ972="5",BJ972,0)</f>
        <v>0</v>
      </c>
      <c r="AB972" s="38">
        <f>IF(AQ972="1",BH972,0)</f>
        <v>0</v>
      </c>
      <c r="AC972" s="38">
        <f>IF(AQ972="1",BI972,0)</f>
        <v>0</v>
      </c>
      <c r="AD972" s="38">
        <f>IF(AQ972="7",BH972,0)</f>
        <v>0</v>
      </c>
      <c r="AE972" s="38">
        <f>IF(AQ972="7",BI972,0)</f>
        <v>0</v>
      </c>
      <c r="AF972" s="38">
        <f>IF(AQ972="2",BH972,0)</f>
        <v>0</v>
      </c>
      <c r="AG972" s="38">
        <f>IF(AQ972="2",BI972,0)</f>
        <v>0</v>
      </c>
      <c r="AH972" s="38">
        <f>IF(AQ972="0",BJ972,0)</f>
        <v>0</v>
      </c>
      <c r="AI972" s="50" t="s">
        <v>84</v>
      </c>
      <c r="AJ972" s="38">
        <f>IF(AN972=0,I972,0)</f>
        <v>0</v>
      </c>
      <c r="AK972" s="38">
        <f>IF(AN972=12,I972,0)</f>
        <v>0</v>
      </c>
      <c r="AL972" s="38">
        <f>IF(AN972=21,I972,0)</f>
        <v>0</v>
      </c>
      <c r="AN972" s="38">
        <v>21</v>
      </c>
      <c r="AO972" s="38">
        <f>H972*0.074773563</f>
        <v>0</v>
      </c>
      <c r="AP972" s="38">
        <f>H972*(1-0.074773563)</f>
        <v>0</v>
      </c>
      <c r="AQ972" s="72" t="s">
        <v>132</v>
      </c>
      <c r="AV972" s="38">
        <f>AW972+AX972</f>
        <v>0</v>
      </c>
      <c r="AW972" s="38">
        <f>G972*AO972</f>
        <v>0</v>
      </c>
      <c r="AX972" s="38">
        <f>G972*AP972</f>
        <v>0</v>
      </c>
      <c r="AY972" s="72" t="s">
        <v>1707</v>
      </c>
      <c r="AZ972" s="72" t="s">
        <v>1657</v>
      </c>
      <c r="BA972" s="50" t="s">
        <v>139</v>
      </c>
      <c r="BB972" s="73">
        <v>100007</v>
      </c>
      <c r="BC972" s="38">
        <f>AW972+AX972</f>
        <v>0</v>
      </c>
      <c r="BD972" s="38">
        <f>H972/(100-BE972)*100</f>
        <v>0</v>
      </c>
      <c r="BE972" s="38">
        <v>0</v>
      </c>
      <c r="BF972" s="38">
        <f>K972</f>
        <v>1.19776</v>
      </c>
      <c r="BH972" s="38">
        <f>G972*AO972</f>
        <v>0</v>
      </c>
      <c r="BI972" s="38">
        <f>G972*AP972</f>
        <v>0</v>
      </c>
      <c r="BJ972" s="38">
        <f>G972*H972</f>
        <v>0</v>
      </c>
      <c r="BK972" s="38"/>
      <c r="BL972" s="38">
        <v>96</v>
      </c>
      <c r="BW972" s="38">
        <v>21</v>
      </c>
    </row>
    <row r="973" spans="1:12" ht="15">
      <c r="A973" s="74"/>
      <c r="D973" s="75" t="s">
        <v>1730</v>
      </c>
      <c r="E973" s="75" t="s">
        <v>767</v>
      </c>
      <c r="G973" s="76">
        <v>15.76</v>
      </c>
      <c r="L973" s="77"/>
    </row>
    <row r="974" spans="1:75" ht="13.5" customHeight="1">
      <c r="A974" s="1" t="s">
        <v>1731</v>
      </c>
      <c r="B974" s="2" t="s">
        <v>84</v>
      </c>
      <c r="C974" s="2" t="s">
        <v>1732</v>
      </c>
      <c r="D974" s="108" t="s">
        <v>1733</v>
      </c>
      <c r="E974" s="103"/>
      <c r="F974" s="2" t="s">
        <v>263</v>
      </c>
      <c r="G974" s="38">
        <v>1.2</v>
      </c>
      <c r="H974" s="70">
        <v>0</v>
      </c>
      <c r="I974" s="38">
        <f>G974*H974</f>
        <v>0</v>
      </c>
      <c r="J974" s="38">
        <v>0.08917</v>
      </c>
      <c r="K974" s="38">
        <f>G974*J974</f>
        <v>0.107004</v>
      </c>
      <c r="L974" s="71" t="s">
        <v>136</v>
      </c>
      <c r="Z974" s="38">
        <f>IF(AQ974="5",BJ974,0)</f>
        <v>0</v>
      </c>
      <c r="AB974" s="38">
        <f>IF(AQ974="1",BH974,0)</f>
        <v>0</v>
      </c>
      <c r="AC974" s="38">
        <f>IF(AQ974="1",BI974,0)</f>
        <v>0</v>
      </c>
      <c r="AD974" s="38">
        <f>IF(AQ974="7",BH974,0)</f>
        <v>0</v>
      </c>
      <c r="AE974" s="38">
        <f>IF(AQ974="7",BI974,0)</f>
        <v>0</v>
      </c>
      <c r="AF974" s="38">
        <f>IF(AQ974="2",BH974,0)</f>
        <v>0</v>
      </c>
      <c r="AG974" s="38">
        <f>IF(AQ974="2",BI974,0)</f>
        <v>0</v>
      </c>
      <c r="AH974" s="38">
        <f>IF(AQ974="0",BJ974,0)</f>
        <v>0</v>
      </c>
      <c r="AI974" s="50" t="s">
        <v>84</v>
      </c>
      <c r="AJ974" s="38">
        <f>IF(AN974=0,I974,0)</f>
        <v>0</v>
      </c>
      <c r="AK974" s="38">
        <f>IF(AN974=12,I974,0)</f>
        <v>0</v>
      </c>
      <c r="AL974" s="38">
        <f>IF(AN974=21,I974,0)</f>
        <v>0</v>
      </c>
      <c r="AN974" s="38">
        <v>21</v>
      </c>
      <c r="AO974" s="38">
        <f>H974*0.119197674</f>
        <v>0</v>
      </c>
      <c r="AP974" s="38">
        <f>H974*(1-0.119197674)</f>
        <v>0</v>
      </c>
      <c r="AQ974" s="72" t="s">
        <v>132</v>
      </c>
      <c r="AV974" s="38">
        <f>AW974+AX974</f>
        <v>0</v>
      </c>
      <c r="AW974" s="38">
        <f>G974*AO974</f>
        <v>0</v>
      </c>
      <c r="AX974" s="38">
        <f>G974*AP974</f>
        <v>0</v>
      </c>
      <c r="AY974" s="72" t="s">
        <v>1707</v>
      </c>
      <c r="AZ974" s="72" t="s">
        <v>1657</v>
      </c>
      <c r="BA974" s="50" t="s">
        <v>139</v>
      </c>
      <c r="BB974" s="73">
        <v>100007</v>
      </c>
      <c r="BC974" s="38">
        <f>AW974+AX974</f>
        <v>0</v>
      </c>
      <c r="BD974" s="38">
        <f>H974/(100-BE974)*100</f>
        <v>0</v>
      </c>
      <c r="BE974" s="38">
        <v>0</v>
      </c>
      <c r="BF974" s="38">
        <f>K974</f>
        <v>0.107004</v>
      </c>
      <c r="BH974" s="38">
        <f>G974*AO974</f>
        <v>0</v>
      </c>
      <c r="BI974" s="38">
        <f>G974*AP974</f>
        <v>0</v>
      </c>
      <c r="BJ974" s="38">
        <f>G974*H974</f>
        <v>0</v>
      </c>
      <c r="BK974" s="38"/>
      <c r="BL974" s="38">
        <v>96</v>
      </c>
      <c r="BW974" s="38">
        <v>21</v>
      </c>
    </row>
    <row r="975" spans="1:12" ht="15">
      <c r="A975" s="74"/>
      <c r="D975" s="75" t="s">
        <v>1734</v>
      </c>
      <c r="E975" s="75" t="s">
        <v>4</v>
      </c>
      <c r="G975" s="76">
        <v>1.2</v>
      </c>
      <c r="L975" s="77"/>
    </row>
    <row r="976" spans="1:75" ht="13.5" customHeight="1">
      <c r="A976" s="1" t="s">
        <v>1735</v>
      </c>
      <c r="B976" s="2" t="s">
        <v>84</v>
      </c>
      <c r="C976" s="2" t="s">
        <v>1736</v>
      </c>
      <c r="D976" s="108" t="s">
        <v>1737</v>
      </c>
      <c r="E976" s="103"/>
      <c r="F976" s="2" t="s">
        <v>199</v>
      </c>
      <c r="G976" s="38">
        <v>2</v>
      </c>
      <c r="H976" s="70">
        <v>0</v>
      </c>
      <c r="I976" s="38">
        <f>G976*H976</f>
        <v>0</v>
      </c>
      <c r="J976" s="38">
        <v>0</v>
      </c>
      <c r="K976" s="38">
        <f>G976*J976</f>
        <v>0</v>
      </c>
      <c r="L976" s="71" t="s">
        <v>136</v>
      </c>
      <c r="Z976" s="38">
        <f>IF(AQ976="5",BJ976,0)</f>
        <v>0</v>
      </c>
      <c r="AB976" s="38">
        <f>IF(AQ976="1",BH976,0)</f>
        <v>0</v>
      </c>
      <c r="AC976" s="38">
        <f>IF(AQ976="1",BI976,0)</f>
        <v>0</v>
      </c>
      <c r="AD976" s="38">
        <f>IF(AQ976="7",BH976,0)</f>
        <v>0</v>
      </c>
      <c r="AE976" s="38">
        <f>IF(AQ976="7",BI976,0)</f>
        <v>0</v>
      </c>
      <c r="AF976" s="38">
        <f>IF(AQ976="2",BH976,0)</f>
        <v>0</v>
      </c>
      <c r="AG976" s="38">
        <f>IF(AQ976="2",BI976,0)</f>
        <v>0</v>
      </c>
      <c r="AH976" s="38">
        <f>IF(AQ976="0",BJ976,0)</f>
        <v>0</v>
      </c>
      <c r="AI976" s="50" t="s">
        <v>84</v>
      </c>
      <c r="AJ976" s="38">
        <f>IF(AN976=0,I976,0)</f>
        <v>0</v>
      </c>
      <c r="AK976" s="38">
        <f>IF(AN976=12,I976,0)</f>
        <v>0</v>
      </c>
      <c r="AL976" s="38">
        <f>IF(AN976=21,I976,0)</f>
        <v>0</v>
      </c>
      <c r="AN976" s="38">
        <v>21</v>
      </c>
      <c r="AO976" s="38">
        <f>H976*0</f>
        <v>0</v>
      </c>
      <c r="AP976" s="38">
        <f>H976*(1-0)</f>
        <v>0</v>
      </c>
      <c r="AQ976" s="72" t="s">
        <v>132</v>
      </c>
      <c r="AV976" s="38">
        <f>AW976+AX976</f>
        <v>0</v>
      </c>
      <c r="AW976" s="38">
        <f>G976*AO976</f>
        <v>0</v>
      </c>
      <c r="AX976" s="38">
        <f>G976*AP976</f>
        <v>0</v>
      </c>
      <c r="AY976" s="72" t="s">
        <v>1707</v>
      </c>
      <c r="AZ976" s="72" t="s">
        <v>1657</v>
      </c>
      <c r="BA976" s="50" t="s">
        <v>139</v>
      </c>
      <c r="BB976" s="73">
        <v>100007</v>
      </c>
      <c r="BC976" s="38">
        <f>AW976+AX976</f>
        <v>0</v>
      </c>
      <c r="BD976" s="38">
        <f>H976/(100-BE976)*100</f>
        <v>0</v>
      </c>
      <c r="BE976" s="38">
        <v>0</v>
      </c>
      <c r="BF976" s="38">
        <f>K976</f>
        <v>0</v>
      </c>
      <c r="BH976" s="38">
        <f>G976*AO976</f>
        <v>0</v>
      </c>
      <c r="BI976" s="38">
        <f>G976*AP976</f>
        <v>0</v>
      </c>
      <c r="BJ976" s="38">
        <f>G976*H976</f>
        <v>0</v>
      </c>
      <c r="BK976" s="38"/>
      <c r="BL976" s="38">
        <v>96</v>
      </c>
      <c r="BW976" s="38">
        <v>21</v>
      </c>
    </row>
    <row r="977" spans="1:12" ht="15">
      <c r="A977" s="74"/>
      <c r="D977" s="75" t="s">
        <v>143</v>
      </c>
      <c r="E977" s="75" t="s">
        <v>4</v>
      </c>
      <c r="G977" s="76">
        <v>2</v>
      </c>
      <c r="L977" s="77"/>
    </row>
    <row r="978" spans="1:75" ht="13.5" customHeight="1">
      <c r="A978" s="1" t="s">
        <v>1738</v>
      </c>
      <c r="B978" s="2" t="s">
        <v>84</v>
      </c>
      <c r="C978" s="2" t="s">
        <v>1739</v>
      </c>
      <c r="D978" s="108" t="s">
        <v>1740</v>
      </c>
      <c r="E978" s="103"/>
      <c r="F978" s="2" t="s">
        <v>199</v>
      </c>
      <c r="G978" s="38">
        <v>2</v>
      </c>
      <c r="H978" s="70">
        <v>0</v>
      </c>
      <c r="I978" s="38">
        <f>G978*H978</f>
        <v>0</v>
      </c>
      <c r="J978" s="38">
        <v>0</v>
      </c>
      <c r="K978" s="38">
        <f>G978*J978</f>
        <v>0</v>
      </c>
      <c r="L978" s="71" t="s">
        <v>136</v>
      </c>
      <c r="Z978" s="38">
        <f>IF(AQ978="5",BJ978,0)</f>
        <v>0</v>
      </c>
      <c r="AB978" s="38">
        <f>IF(AQ978="1",BH978,0)</f>
        <v>0</v>
      </c>
      <c r="AC978" s="38">
        <f>IF(AQ978="1",BI978,0)</f>
        <v>0</v>
      </c>
      <c r="AD978" s="38">
        <f>IF(AQ978="7",BH978,0)</f>
        <v>0</v>
      </c>
      <c r="AE978" s="38">
        <f>IF(AQ978="7",BI978,0)</f>
        <v>0</v>
      </c>
      <c r="AF978" s="38">
        <f>IF(AQ978="2",BH978,0)</f>
        <v>0</v>
      </c>
      <c r="AG978" s="38">
        <f>IF(AQ978="2",BI978,0)</f>
        <v>0</v>
      </c>
      <c r="AH978" s="38">
        <f>IF(AQ978="0",BJ978,0)</f>
        <v>0</v>
      </c>
      <c r="AI978" s="50" t="s">
        <v>84</v>
      </c>
      <c r="AJ978" s="38">
        <f>IF(AN978=0,I978,0)</f>
        <v>0</v>
      </c>
      <c r="AK978" s="38">
        <f>IF(AN978=12,I978,0)</f>
        <v>0</v>
      </c>
      <c r="AL978" s="38">
        <f>IF(AN978=21,I978,0)</f>
        <v>0</v>
      </c>
      <c r="AN978" s="38">
        <v>21</v>
      </c>
      <c r="AO978" s="38">
        <f>H978*0</f>
        <v>0</v>
      </c>
      <c r="AP978" s="38">
        <f>H978*(1-0)</f>
        <v>0</v>
      </c>
      <c r="AQ978" s="72" t="s">
        <v>132</v>
      </c>
      <c r="AV978" s="38">
        <f>AW978+AX978</f>
        <v>0</v>
      </c>
      <c r="AW978" s="38">
        <f>G978*AO978</f>
        <v>0</v>
      </c>
      <c r="AX978" s="38">
        <f>G978*AP978</f>
        <v>0</v>
      </c>
      <c r="AY978" s="72" t="s">
        <v>1707</v>
      </c>
      <c r="AZ978" s="72" t="s">
        <v>1657</v>
      </c>
      <c r="BA978" s="50" t="s">
        <v>139</v>
      </c>
      <c r="BB978" s="73">
        <v>100007</v>
      </c>
      <c r="BC978" s="38">
        <f>AW978+AX978</f>
        <v>0</v>
      </c>
      <c r="BD978" s="38">
        <f>H978/(100-BE978)*100</f>
        <v>0</v>
      </c>
      <c r="BE978" s="38">
        <v>0</v>
      </c>
      <c r="BF978" s="38">
        <f>K978</f>
        <v>0</v>
      </c>
      <c r="BH978" s="38">
        <f>G978*AO978</f>
        <v>0</v>
      </c>
      <c r="BI978" s="38">
        <f>G978*AP978</f>
        <v>0</v>
      </c>
      <c r="BJ978" s="38">
        <f>G978*H978</f>
        <v>0</v>
      </c>
      <c r="BK978" s="38"/>
      <c r="BL978" s="38">
        <v>96</v>
      </c>
      <c r="BW978" s="38">
        <v>21</v>
      </c>
    </row>
    <row r="979" spans="1:12" ht="15">
      <c r="A979" s="74"/>
      <c r="D979" s="75" t="s">
        <v>143</v>
      </c>
      <c r="E979" s="75" t="s">
        <v>4</v>
      </c>
      <c r="G979" s="76">
        <v>2</v>
      </c>
      <c r="L979" s="77"/>
    </row>
    <row r="980" spans="1:75" ht="13.5" customHeight="1">
      <c r="A980" s="1" t="s">
        <v>1741</v>
      </c>
      <c r="B980" s="2" t="s">
        <v>84</v>
      </c>
      <c r="C980" s="2" t="s">
        <v>1742</v>
      </c>
      <c r="D980" s="108" t="s">
        <v>1743</v>
      </c>
      <c r="E980" s="103"/>
      <c r="F980" s="2" t="s">
        <v>263</v>
      </c>
      <c r="G980" s="38">
        <v>6.09</v>
      </c>
      <c r="H980" s="70">
        <v>0</v>
      </c>
      <c r="I980" s="38">
        <f>G980*H980</f>
        <v>0</v>
      </c>
      <c r="J980" s="38">
        <v>0.04782</v>
      </c>
      <c r="K980" s="38">
        <f>G980*J980</f>
        <v>0.2912238</v>
      </c>
      <c r="L980" s="71" t="s">
        <v>136</v>
      </c>
      <c r="Z980" s="38">
        <f>IF(AQ980="5",BJ980,0)</f>
        <v>0</v>
      </c>
      <c r="AB980" s="38">
        <f>IF(AQ980="1",BH980,0)</f>
        <v>0</v>
      </c>
      <c r="AC980" s="38">
        <f>IF(AQ980="1",BI980,0)</f>
        <v>0</v>
      </c>
      <c r="AD980" s="38">
        <f>IF(AQ980="7",BH980,0)</f>
        <v>0</v>
      </c>
      <c r="AE980" s="38">
        <f>IF(AQ980="7",BI980,0)</f>
        <v>0</v>
      </c>
      <c r="AF980" s="38">
        <f>IF(AQ980="2",BH980,0)</f>
        <v>0</v>
      </c>
      <c r="AG980" s="38">
        <f>IF(AQ980="2",BI980,0)</f>
        <v>0</v>
      </c>
      <c r="AH980" s="38">
        <f>IF(AQ980="0",BJ980,0)</f>
        <v>0</v>
      </c>
      <c r="AI980" s="50" t="s">
        <v>84</v>
      </c>
      <c r="AJ980" s="38">
        <f>IF(AN980=0,I980,0)</f>
        <v>0</v>
      </c>
      <c r="AK980" s="38">
        <f>IF(AN980=12,I980,0)</f>
        <v>0</v>
      </c>
      <c r="AL980" s="38">
        <f>IF(AN980=21,I980,0)</f>
        <v>0</v>
      </c>
      <c r="AN980" s="38">
        <v>21</v>
      </c>
      <c r="AO980" s="38">
        <f>H980*0.117681159</f>
        <v>0</v>
      </c>
      <c r="AP980" s="38">
        <f>H980*(1-0.117681159)</f>
        <v>0</v>
      </c>
      <c r="AQ980" s="72" t="s">
        <v>132</v>
      </c>
      <c r="AV980" s="38">
        <f>AW980+AX980</f>
        <v>0</v>
      </c>
      <c r="AW980" s="38">
        <f>G980*AO980</f>
        <v>0</v>
      </c>
      <c r="AX980" s="38">
        <f>G980*AP980</f>
        <v>0</v>
      </c>
      <c r="AY980" s="72" t="s">
        <v>1707</v>
      </c>
      <c r="AZ980" s="72" t="s">
        <v>1657</v>
      </c>
      <c r="BA980" s="50" t="s">
        <v>139</v>
      </c>
      <c r="BB980" s="73">
        <v>100007</v>
      </c>
      <c r="BC980" s="38">
        <f>AW980+AX980</f>
        <v>0</v>
      </c>
      <c r="BD980" s="38">
        <f>H980/(100-BE980)*100</f>
        <v>0</v>
      </c>
      <c r="BE980" s="38">
        <v>0</v>
      </c>
      <c r="BF980" s="38">
        <f>K980</f>
        <v>0.2912238</v>
      </c>
      <c r="BH980" s="38">
        <f>G980*AO980</f>
        <v>0</v>
      </c>
      <c r="BI980" s="38">
        <f>G980*AP980</f>
        <v>0</v>
      </c>
      <c r="BJ980" s="38">
        <f>G980*H980</f>
        <v>0</v>
      </c>
      <c r="BK980" s="38"/>
      <c r="BL980" s="38">
        <v>96</v>
      </c>
      <c r="BW980" s="38">
        <v>21</v>
      </c>
    </row>
    <row r="981" spans="1:12" ht="15">
      <c r="A981" s="74"/>
      <c r="D981" s="75" t="s">
        <v>1744</v>
      </c>
      <c r="E981" s="75" t="s">
        <v>4</v>
      </c>
      <c r="G981" s="76">
        <v>6.09</v>
      </c>
      <c r="L981" s="77"/>
    </row>
    <row r="982" spans="1:75" ht="13.5" customHeight="1">
      <c r="A982" s="1" t="s">
        <v>1745</v>
      </c>
      <c r="B982" s="2" t="s">
        <v>84</v>
      </c>
      <c r="C982" s="2" t="s">
        <v>1746</v>
      </c>
      <c r="D982" s="108" t="s">
        <v>1747</v>
      </c>
      <c r="E982" s="103"/>
      <c r="F982" s="2" t="s">
        <v>263</v>
      </c>
      <c r="G982" s="38">
        <v>162.9</v>
      </c>
      <c r="H982" s="70">
        <v>0</v>
      </c>
      <c r="I982" s="38">
        <f>G982*H982</f>
        <v>0</v>
      </c>
      <c r="J982" s="38">
        <v>0.045</v>
      </c>
      <c r="K982" s="38">
        <f>G982*J982</f>
        <v>7.3305</v>
      </c>
      <c r="L982" s="71" t="s">
        <v>207</v>
      </c>
      <c r="Z982" s="38">
        <f>IF(AQ982="5",BJ982,0)</f>
        <v>0</v>
      </c>
      <c r="AB982" s="38">
        <f>IF(AQ982="1",BH982,0)</f>
        <v>0</v>
      </c>
      <c r="AC982" s="38">
        <f>IF(AQ982="1",BI982,0)</f>
        <v>0</v>
      </c>
      <c r="AD982" s="38">
        <f>IF(AQ982="7",BH982,0)</f>
        <v>0</v>
      </c>
      <c r="AE982" s="38">
        <f>IF(AQ982="7",BI982,0)</f>
        <v>0</v>
      </c>
      <c r="AF982" s="38">
        <f>IF(AQ982="2",BH982,0)</f>
        <v>0</v>
      </c>
      <c r="AG982" s="38">
        <f>IF(AQ982="2",BI982,0)</f>
        <v>0</v>
      </c>
      <c r="AH982" s="38">
        <f>IF(AQ982="0",BJ982,0)</f>
        <v>0</v>
      </c>
      <c r="AI982" s="50" t="s">
        <v>84</v>
      </c>
      <c r="AJ982" s="38">
        <f>IF(AN982=0,I982,0)</f>
        <v>0</v>
      </c>
      <c r="AK982" s="38">
        <f>IF(AN982=12,I982,0)</f>
        <v>0</v>
      </c>
      <c r="AL982" s="38">
        <f>IF(AN982=21,I982,0)</f>
        <v>0</v>
      </c>
      <c r="AN982" s="38">
        <v>21</v>
      </c>
      <c r="AO982" s="38">
        <f>H982*0</f>
        <v>0</v>
      </c>
      <c r="AP982" s="38">
        <f>H982*(1-0)</f>
        <v>0</v>
      </c>
      <c r="AQ982" s="72" t="s">
        <v>132</v>
      </c>
      <c r="AV982" s="38">
        <f>AW982+AX982</f>
        <v>0</v>
      </c>
      <c r="AW982" s="38">
        <f>G982*AO982</f>
        <v>0</v>
      </c>
      <c r="AX982" s="38">
        <f>G982*AP982</f>
        <v>0</v>
      </c>
      <c r="AY982" s="72" t="s">
        <v>1707</v>
      </c>
      <c r="AZ982" s="72" t="s">
        <v>1657</v>
      </c>
      <c r="BA982" s="50" t="s">
        <v>139</v>
      </c>
      <c r="BB982" s="73">
        <v>100007</v>
      </c>
      <c r="BC982" s="38">
        <f>AW982+AX982</f>
        <v>0</v>
      </c>
      <c r="BD982" s="38">
        <f>H982/(100-BE982)*100</f>
        <v>0</v>
      </c>
      <c r="BE982" s="38">
        <v>0</v>
      </c>
      <c r="BF982" s="38">
        <f>K982</f>
        <v>7.3305</v>
      </c>
      <c r="BH982" s="38">
        <f>G982*AO982</f>
        <v>0</v>
      </c>
      <c r="BI982" s="38">
        <f>G982*AP982</f>
        <v>0</v>
      </c>
      <c r="BJ982" s="38">
        <f>G982*H982</f>
        <v>0</v>
      </c>
      <c r="BK982" s="38"/>
      <c r="BL982" s="38">
        <v>96</v>
      </c>
      <c r="BW982" s="38">
        <v>21</v>
      </c>
    </row>
    <row r="983" spans="1:12" ht="13.5" customHeight="1">
      <c r="A983" s="74"/>
      <c r="D983" s="194" t="s">
        <v>1748</v>
      </c>
      <c r="E983" s="195"/>
      <c r="F983" s="195"/>
      <c r="G983" s="195"/>
      <c r="H983" s="196"/>
      <c r="I983" s="195"/>
      <c r="J983" s="195"/>
      <c r="K983" s="195"/>
      <c r="L983" s="197"/>
    </row>
    <row r="984" spans="1:12" ht="15">
      <c r="A984" s="74"/>
      <c r="D984" s="75" t="s">
        <v>564</v>
      </c>
      <c r="E984" s="75" t="s">
        <v>1749</v>
      </c>
      <c r="G984" s="76">
        <v>5</v>
      </c>
      <c r="L984" s="77"/>
    </row>
    <row r="985" spans="1:12" ht="15">
      <c r="A985" s="74"/>
      <c r="D985" s="75" t="s">
        <v>1750</v>
      </c>
      <c r="E985" s="75" t="s">
        <v>607</v>
      </c>
      <c r="G985" s="76">
        <v>17.8</v>
      </c>
      <c r="L985" s="77"/>
    </row>
    <row r="986" spans="1:12" ht="15">
      <c r="A986" s="74"/>
      <c r="D986" s="75" t="s">
        <v>1751</v>
      </c>
      <c r="E986" s="75" t="s">
        <v>613</v>
      </c>
      <c r="G986" s="76">
        <v>61.4</v>
      </c>
      <c r="L986" s="77"/>
    </row>
    <row r="987" spans="1:12" ht="15">
      <c r="A987" s="74"/>
      <c r="D987" s="75" t="s">
        <v>1408</v>
      </c>
      <c r="E987" s="75" t="s">
        <v>1752</v>
      </c>
      <c r="G987" s="76">
        <v>38.2</v>
      </c>
      <c r="L987" s="77"/>
    </row>
    <row r="988" spans="1:12" ht="15">
      <c r="A988" s="74"/>
      <c r="D988" s="75" t="s">
        <v>1753</v>
      </c>
      <c r="E988" s="75" t="s">
        <v>1754</v>
      </c>
      <c r="G988" s="76">
        <v>7.27</v>
      </c>
      <c r="L988" s="77"/>
    </row>
    <row r="989" spans="1:12" ht="15">
      <c r="A989" s="74"/>
      <c r="D989" s="75" t="s">
        <v>1755</v>
      </c>
      <c r="E989" s="75" t="s">
        <v>1756</v>
      </c>
      <c r="G989" s="76">
        <v>33.23</v>
      </c>
      <c r="L989" s="77"/>
    </row>
    <row r="990" spans="1:75" ht="13.5" customHeight="1">
      <c r="A990" s="1" t="s">
        <v>1757</v>
      </c>
      <c r="B990" s="2" t="s">
        <v>84</v>
      </c>
      <c r="C990" s="2" t="s">
        <v>1758</v>
      </c>
      <c r="D990" s="108" t="s">
        <v>1759</v>
      </c>
      <c r="E990" s="103"/>
      <c r="F990" s="2" t="s">
        <v>214</v>
      </c>
      <c r="G990" s="38">
        <v>101.7</v>
      </c>
      <c r="H990" s="70">
        <v>0</v>
      </c>
      <c r="I990" s="38">
        <f>G990*H990</f>
        <v>0</v>
      </c>
      <c r="J990" s="38">
        <v>0.00824</v>
      </c>
      <c r="K990" s="38">
        <f>G990*J990</f>
        <v>0.8380080000000001</v>
      </c>
      <c r="L990" s="71" t="s">
        <v>136</v>
      </c>
      <c r="Z990" s="38">
        <f>IF(AQ990="5",BJ990,0)</f>
        <v>0</v>
      </c>
      <c r="AB990" s="38">
        <f>IF(AQ990="1",BH990,0)</f>
        <v>0</v>
      </c>
      <c r="AC990" s="38">
        <f>IF(AQ990="1",BI990,0)</f>
        <v>0</v>
      </c>
      <c r="AD990" s="38">
        <f>IF(AQ990="7",BH990,0)</f>
        <v>0</v>
      </c>
      <c r="AE990" s="38">
        <f>IF(AQ990="7",BI990,0)</f>
        <v>0</v>
      </c>
      <c r="AF990" s="38">
        <f>IF(AQ990="2",BH990,0)</f>
        <v>0</v>
      </c>
      <c r="AG990" s="38">
        <f>IF(AQ990="2",BI990,0)</f>
        <v>0</v>
      </c>
      <c r="AH990" s="38">
        <f>IF(AQ990="0",BJ990,0)</f>
        <v>0</v>
      </c>
      <c r="AI990" s="50" t="s">
        <v>84</v>
      </c>
      <c r="AJ990" s="38">
        <f>IF(AN990=0,I990,0)</f>
        <v>0</v>
      </c>
      <c r="AK990" s="38">
        <f>IF(AN990=12,I990,0)</f>
        <v>0</v>
      </c>
      <c r="AL990" s="38">
        <f>IF(AN990=21,I990,0)</f>
        <v>0</v>
      </c>
      <c r="AN990" s="38">
        <v>21</v>
      </c>
      <c r="AO990" s="38">
        <f>H990*0</f>
        <v>0</v>
      </c>
      <c r="AP990" s="38">
        <f>H990*(1-0)</f>
        <v>0</v>
      </c>
      <c r="AQ990" s="72" t="s">
        <v>132</v>
      </c>
      <c r="AV990" s="38">
        <f>AW990+AX990</f>
        <v>0</v>
      </c>
      <c r="AW990" s="38">
        <f>G990*AO990</f>
        <v>0</v>
      </c>
      <c r="AX990" s="38">
        <f>G990*AP990</f>
        <v>0</v>
      </c>
      <c r="AY990" s="72" t="s">
        <v>1707</v>
      </c>
      <c r="AZ990" s="72" t="s">
        <v>1657</v>
      </c>
      <c r="BA990" s="50" t="s">
        <v>139</v>
      </c>
      <c r="BB990" s="73">
        <v>100007</v>
      </c>
      <c r="BC990" s="38">
        <f>AW990+AX990</f>
        <v>0</v>
      </c>
      <c r="BD990" s="38">
        <f>H990/(100-BE990)*100</f>
        <v>0</v>
      </c>
      <c r="BE990" s="38">
        <v>0</v>
      </c>
      <c r="BF990" s="38">
        <f>K990</f>
        <v>0.8380080000000001</v>
      </c>
      <c r="BH990" s="38">
        <f>G990*AO990</f>
        <v>0</v>
      </c>
      <c r="BI990" s="38">
        <f>G990*AP990</f>
        <v>0</v>
      </c>
      <c r="BJ990" s="38">
        <f>G990*H990</f>
        <v>0</v>
      </c>
      <c r="BK990" s="38"/>
      <c r="BL990" s="38">
        <v>96</v>
      </c>
      <c r="BW990" s="38">
        <v>21</v>
      </c>
    </row>
    <row r="991" spans="1:12" ht="15">
      <c r="A991" s="74"/>
      <c r="D991" s="75" t="s">
        <v>1760</v>
      </c>
      <c r="E991" s="75" t="s">
        <v>266</v>
      </c>
      <c r="G991" s="76">
        <v>101.7</v>
      </c>
      <c r="L991" s="77"/>
    </row>
    <row r="992" spans="1:75" ht="13.5" customHeight="1">
      <c r="A992" s="1" t="s">
        <v>1761</v>
      </c>
      <c r="B992" s="2" t="s">
        <v>84</v>
      </c>
      <c r="C992" s="2" t="s">
        <v>1762</v>
      </c>
      <c r="D992" s="108" t="s">
        <v>1763</v>
      </c>
      <c r="E992" s="103"/>
      <c r="F992" s="2" t="s">
        <v>135</v>
      </c>
      <c r="G992" s="38">
        <v>4.07</v>
      </c>
      <c r="H992" s="70">
        <v>0</v>
      </c>
      <c r="I992" s="38">
        <f>G992*H992</f>
        <v>0</v>
      </c>
      <c r="J992" s="38">
        <v>2.2</v>
      </c>
      <c r="K992" s="38">
        <f>G992*J992</f>
        <v>8.954</v>
      </c>
      <c r="L992" s="71" t="s">
        <v>136</v>
      </c>
      <c r="Z992" s="38">
        <f>IF(AQ992="5",BJ992,0)</f>
        <v>0</v>
      </c>
      <c r="AB992" s="38">
        <f>IF(AQ992="1",BH992,0)</f>
        <v>0</v>
      </c>
      <c r="AC992" s="38">
        <f>IF(AQ992="1",BI992,0)</f>
        <v>0</v>
      </c>
      <c r="AD992" s="38">
        <f>IF(AQ992="7",BH992,0)</f>
        <v>0</v>
      </c>
      <c r="AE992" s="38">
        <f>IF(AQ992="7",BI992,0)</f>
        <v>0</v>
      </c>
      <c r="AF992" s="38">
        <f>IF(AQ992="2",BH992,0)</f>
        <v>0</v>
      </c>
      <c r="AG992" s="38">
        <f>IF(AQ992="2",BI992,0)</f>
        <v>0</v>
      </c>
      <c r="AH992" s="38">
        <f>IF(AQ992="0",BJ992,0)</f>
        <v>0</v>
      </c>
      <c r="AI992" s="50" t="s">
        <v>84</v>
      </c>
      <c r="AJ992" s="38">
        <f>IF(AN992=0,I992,0)</f>
        <v>0</v>
      </c>
      <c r="AK992" s="38">
        <f>IF(AN992=12,I992,0)</f>
        <v>0</v>
      </c>
      <c r="AL992" s="38">
        <f>IF(AN992=21,I992,0)</f>
        <v>0</v>
      </c>
      <c r="AN992" s="38">
        <v>21</v>
      </c>
      <c r="AO992" s="38">
        <f>H992*0</f>
        <v>0</v>
      </c>
      <c r="AP992" s="38">
        <f>H992*(1-0)</f>
        <v>0</v>
      </c>
      <c r="AQ992" s="72" t="s">
        <v>132</v>
      </c>
      <c r="AV992" s="38">
        <f>AW992+AX992</f>
        <v>0</v>
      </c>
      <c r="AW992" s="38">
        <f>G992*AO992</f>
        <v>0</v>
      </c>
      <c r="AX992" s="38">
        <f>G992*AP992</f>
        <v>0</v>
      </c>
      <c r="AY992" s="72" t="s">
        <v>1707</v>
      </c>
      <c r="AZ992" s="72" t="s">
        <v>1657</v>
      </c>
      <c r="BA992" s="50" t="s">
        <v>139</v>
      </c>
      <c r="BB992" s="73">
        <v>100007</v>
      </c>
      <c r="BC992" s="38">
        <f>AW992+AX992</f>
        <v>0</v>
      </c>
      <c r="BD992" s="38">
        <f>H992/(100-BE992)*100</f>
        <v>0</v>
      </c>
      <c r="BE992" s="38">
        <v>0</v>
      </c>
      <c r="BF992" s="38">
        <f>K992</f>
        <v>8.954</v>
      </c>
      <c r="BH992" s="38">
        <f>G992*AO992</f>
        <v>0</v>
      </c>
      <c r="BI992" s="38">
        <f>G992*AP992</f>
        <v>0</v>
      </c>
      <c r="BJ992" s="38">
        <f>G992*H992</f>
        <v>0</v>
      </c>
      <c r="BK992" s="38"/>
      <c r="BL992" s="38">
        <v>96</v>
      </c>
      <c r="BW992" s="38">
        <v>21</v>
      </c>
    </row>
    <row r="993" spans="1:12" ht="13.5" customHeight="1">
      <c r="A993" s="74"/>
      <c r="D993" s="194" t="s">
        <v>1764</v>
      </c>
      <c r="E993" s="195"/>
      <c r="F993" s="195"/>
      <c r="G993" s="195"/>
      <c r="H993" s="196"/>
      <c r="I993" s="195"/>
      <c r="J993" s="195"/>
      <c r="K993" s="195"/>
      <c r="L993" s="197"/>
    </row>
    <row r="994" spans="1:12" ht="15">
      <c r="A994" s="74"/>
      <c r="D994" s="75" t="s">
        <v>1765</v>
      </c>
      <c r="E994" s="75" t="s">
        <v>4</v>
      </c>
      <c r="G994" s="76">
        <v>4.07</v>
      </c>
      <c r="L994" s="77"/>
    </row>
    <row r="995" spans="1:75" ht="13.5" customHeight="1">
      <c r="A995" s="1" t="s">
        <v>1766</v>
      </c>
      <c r="B995" s="2" t="s">
        <v>84</v>
      </c>
      <c r="C995" s="2" t="s">
        <v>1767</v>
      </c>
      <c r="D995" s="108" t="s">
        <v>1768</v>
      </c>
      <c r="E995" s="103"/>
      <c r="F995" s="2" t="s">
        <v>135</v>
      </c>
      <c r="G995" s="38">
        <v>7.89</v>
      </c>
      <c r="H995" s="70">
        <v>0</v>
      </c>
      <c r="I995" s="38">
        <f>G995*H995</f>
        <v>0</v>
      </c>
      <c r="J995" s="38">
        <v>1.6</v>
      </c>
      <c r="K995" s="38">
        <f>G995*J995</f>
        <v>12.624</v>
      </c>
      <c r="L995" s="71" t="s">
        <v>136</v>
      </c>
      <c r="Z995" s="38">
        <f>IF(AQ995="5",BJ995,0)</f>
        <v>0</v>
      </c>
      <c r="AB995" s="38">
        <f>IF(AQ995="1",BH995,0)</f>
        <v>0</v>
      </c>
      <c r="AC995" s="38">
        <f>IF(AQ995="1",BI995,0)</f>
        <v>0</v>
      </c>
      <c r="AD995" s="38">
        <f>IF(AQ995="7",BH995,0)</f>
        <v>0</v>
      </c>
      <c r="AE995" s="38">
        <f>IF(AQ995="7",BI995,0)</f>
        <v>0</v>
      </c>
      <c r="AF995" s="38">
        <f>IF(AQ995="2",BH995,0)</f>
        <v>0</v>
      </c>
      <c r="AG995" s="38">
        <f>IF(AQ995="2",BI995,0)</f>
        <v>0</v>
      </c>
      <c r="AH995" s="38">
        <f>IF(AQ995="0",BJ995,0)</f>
        <v>0</v>
      </c>
      <c r="AI995" s="50" t="s">
        <v>84</v>
      </c>
      <c r="AJ995" s="38">
        <f>IF(AN995=0,I995,0)</f>
        <v>0</v>
      </c>
      <c r="AK995" s="38">
        <f>IF(AN995=12,I995,0)</f>
        <v>0</v>
      </c>
      <c r="AL995" s="38">
        <f>IF(AN995=21,I995,0)</f>
        <v>0</v>
      </c>
      <c r="AN995" s="38">
        <v>21</v>
      </c>
      <c r="AO995" s="38">
        <f>H995*0</f>
        <v>0</v>
      </c>
      <c r="AP995" s="38">
        <f>H995*(1-0)</f>
        <v>0</v>
      </c>
      <c r="AQ995" s="72" t="s">
        <v>132</v>
      </c>
      <c r="AV995" s="38">
        <f>AW995+AX995</f>
        <v>0</v>
      </c>
      <c r="AW995" s="38">
        <f>G995*AO995</f>
        <v>0</v>
      </c>
      <c r="AX995" s="38">
        <f>G995*AP995</f>
        <v>0</v>
      </c>
      <c r="AY995" s="72" t="s">
        <v>1707</v>
      </c>
      <c r="AZ995" s="72" t="s">
        <v>1657</v>
      </c>
      <c r="BA995" s="50" t="s">
        <v>139</v>
      </c>
      <c r="BB995" s="73">
        <v>100007</v>
      </c>
      <c r="BC995" s="38">
        <f>AW995+AX995</f>
        <v>0</v>
      </c>
      <c r="BD995" s="38">
        <f>H995/(100-BE995)*100</f>
        <v>0</v>
      </c>
      <c r="BE995" s="38">
        <v>0</v>
      </c>
      <c r="BF995" s="38">
        <f>K995</f>
        <v>12.624</v>
      </c>
      <c r="BH995" s="38">
        <f>G995*AO995</f>
        <v>0</v>
      </c>
      <c r="BI995" s="38">
        <f>G995*AP995</f>
        <v>0</v>
      </c>
      <c r="BJ995" s="38">
        <f>G995*H995</f>
        <v>0</v>
      </c>
      <c r="BK995" s="38"/>
      <c r="BL995" s="38">
        <v>96</v>
      </c>
      <c r="BW995" s="38">
        <v>21</v>
      </c>
    </row>
    <row r="996" spans="1:12" ht="15">
      <c r="A996" s="74"/>
      <c r="D996" s="75" t="s">
        <v>1769</v>
      </c>
      <c r="E996" s="75" t="s">
        <v>4</v>
      </c>
      <c r="G996" s="76">
        <v>7.89</v>
      </c>
      <c r="L996" s="77"/>
    </row>
    <row r="997" spans="1:75" ht="13.5" customHeight="1">
      <c r="A997" s="1" t="s">
        <v>1770</v>
      </c>
      <c r="B997" s="2" t="s">
        <v>84</v>
      </c>
      <c r="C997" s="2" t="s">
        <v>1771</v>
      </c>
      <c r="D997" s="108" t="s">
        <v>1772</v>
      </c>
      <c r="E997" s="103"/>
      <c r="F997" s="2" t="s">
        <v>135</v>
      </c>
      <c r="G997" s="38">
        <v>7.89</v>
      </c>
      <c r="H997" s="70">
        <v>0</v>
      </c>
      <c r="I997" s="38">
        <f>G997*H997</f>
        <v>0</v>
      </c>
      <c r="J997" s="38">
        <v>1.4</v>
      </c>
      <c r="K997" s="38">
        <f>G997*J997</f>
        <v>11.046</v>
      </c>
      <c r="L997" s="71" t="s">
        <v>136</v>
      </c>
      <c r="Z997" s="38">
        <f>IF(AQ997="5",BJ997,0)</f>
        <v>0</v>
      </c>
      <c r="AB997" s="38">
        <f>IF(AQ997="1",BH997,0)</f>
        <v>0</v>
      </c>
      <c r="AC997" s="38">
        <f>IF(AQ997="1",BI997,0)</f>
        <v>0</v>
      </c>
      <c r="AD997" s="38">
        <f>IF(AQ997="7",BH997,0)</f>
        <v>0</v>
      </c>
      <c r="AE997" s="38">
        <f>IF(AQ997="7",BI997,0)</f>
        <v>0</v>
      </c>
      <c r="AF997" s="38">
        <f>IF(AQ997="2",BH997,0)</f>
        <v>0</v>
      </c>
      <c r="AG997" s="38">
        <f>IF(AQ997="2",BI997,0)</f>
        <v>0</v>
      </c>
      <c r="AH997" s="38">
        <f>IF(AQ997="0",BJ997,0)</f>
        <v>0</v>
      </c>
      <c r="AI997" s="50" t="s">
        <v>84</v>
      </c>
      <c r="AJ997" s="38">
        <f>IF(AN997=0,I997,0)</f>
        <v>0</v>
      </c>
      <c r="AK997" s="38">
        <f>IF(AN997=12,I997,0)</f>
        <v>0</v>
      </c>
      <c r="AL997" s="38">
        <f>IF(AN997=21,I997,0)</f>
        <v>0</v>
      </c>
      <c r="AN997" s="38">
        <v>21</v>
      </c>
      <c r="AO997" s="38">
        <f>H997*0</f>
        <v>0</v>
      </c>
      <c r="AP997" s="38">
        <f>H997*(1-0)</f>
        <v>0</v>
      </c>
      <c r="AQ997" s="72" t="s">
        <v>132</v>
      </c>
      <c r="AV997" s="38">
        <f>AW997+AX997</f>
        <v>0</v>
      </c>
      <c r="AW997" s="38">
        <f>G997*AO997</f>
        <v>0</v>
      </c>
      <c r="AX997" s="38">
        <f>G997*AP997</f>
        <v>0</v>
      </c>
      <c r="AY997" s="72" t="s">
        <v>1707</v>
      </c>
      <c r="AZ997" s="72" t="s">
        <v>1657</v>
      </c>
      <c r="BA997" s="50" t="s">
        <v>139</v>
      </c>
      <c r="BB997" s="73">
        <v>100007</v>
      </c>
      <c r="BC997" s="38">
        <f>AW997+AX997</f>
        <v>0</v>
      </c>
      <c r="BD997" s="38">
        <f>H997/(100-BE997)*100</f>
        <v>0</v>
      </c>
      <c r="BE997" s="38">
        <v>0</v>
      </c>
      <c r="BF997" s="38">
        <f>K997</f>
        <v>11.046</v>
      </c>
      <c r="BH997" s="38">
        <f>G997*AO997</f>
        <v>0</v>
      </c>
      <c r="BI997" s="38">
        <f>G997*AP997</f>
        <v>0</v>
      </c>
      <c r="BJ997" s="38">
        <f>G997*H997</f>
        <v>0</v>
      </c>
      <c r="BK997" s="38"/>
      <c r="BL997" s="38">
        <v>96</v>
      </c>
      <c r="BW997" s="38">
        <v>21</v>
      </c>
    </row>
    <row r="998" spans="1:12" ht="15">
      <c r="A998" s="74"/>
      <c r="D998" s="75" t="s">
        <v>1769</v>
      </c>
      <c r="E998" s="75" t="s">
        <v>4</v>
      </c>
      <c r="G998" s="76">
        <v>7.89</v>
      </c>
      <c r="L998" s="77"/>
    </row>
    <row r="999" spans="1:75" ht="13.5" customHeight="1">
      <c r="A999" s="1" t="s">
        <v>1773</v>
      </c>
      <c r="B999" s="2" t="s">
        <v>84</v>
      </c>
      <c r="C999" s="2" t="s">
        <v>1774</v>
      </c>
      <c r="D999" s="108" t="s">
        <v>1775</v>
      </c>
      <c r="E999" s="103"/>
      <c r="F999" s="2" t="s">
        <v>263</v>
      </c>
      <c r="G999" s="38">
        <v>35.37</v>
      </c>
      <c r="H999" s="70">
        <v>0</v>
      </c>
      <c r="I999" s="38">
        <f>G999*H999</f>
        <v>0</v>
      </c>
      <c r="J999" s="38">
        <v>0.02</v>
      </c>
      <c r="K999" s="38">
        <f>G999*J999</f>
        <v>0.7073999999999999</v>
      </c>
      <c r="L999" s="71" t="s">
        <v>136</v>
      </c>
      <c r="Z999" s="38">
        <f>IF(AQ999="5",BJ999,0)</f>
        <v>0</v>
      </c>
      <c r="AB999" s="38">
        <f>IF(AQ999="1",BH999,0)</f>
        <v>0</v>
      </c>
      <c r="AC999" s="38">
        <f>IF(AQ999="1",BI999,0)</f>
        <v>0</v>
      </c>
      <c r="AD999" s="38">
        <f>IF(AQ999="7",BH999,0)</f>
        <v>0</v>
      </c>
      <c r="AE999" s="38">
        <f>IF(AQ999="7",BI999,0)</f>
        <v>0</v>
      </c>
      <c r="AF999" s="38">
        <f>IF(AQ999="2",BH999,0)</f>
        <v>0</v>
      </c>
      <c r="AG999" s="38">
        <f>IF(AQ999="2",BI999,0)</f>
        <v>0</v>
      </c>
      <c r="AH999" s="38">
        <f>IF(AQ999="0",BJ999,0)</f>
        <v>0</v>
      </c>
      <c r="AI999" s="50" t="s">
        <v>84</v>
      </c>
      <c r="AJ999" s="38">
        <f>IF(AN999=0,I999,0)</f>
        <v>0</v>
      </c>
      <c r="AK999" s="38">
        <f>IF(AN999=12,I999,0)</f>
        <v>0</v>
      </c>
      <c r="AL999" s="38">
        <f>IF(AN999=21,I999,0)</f>
        <v>0</v>
      </c>
      <c r="AN999" s="38">
        <v>21</v>
      </c>
      <c r="AO999" s="38">
        <f>H999*0</f>
        <v>0</v>
      </c>
      <c r="AP999" s="38">
        <f>H999*(1-0)</f>
        <v>0</v>
      </c>
      <c r="AQ999" s="72" t="s">
        <v>132</v>
      </c>
      <c r="AV999" s="38">
        <f>AW999+AX999</f>
        <v>0</v>
      </c>
      <c r="AW999" s="38">
        <f>G999*AO999</f>
        <v>0</v>
      </c>
      <c r="AX999" s="38">
        <f>G999*AP999</f>
        <v>0</v>
      </c>
      <c r="AY999" s="72" t="s">
        <v>1707</v>
      </c>
      <c r="AZ999" s="72" t="s">
        <v>1657</v>
      </c>
      <c r="BA999" s="50" t="s">
        <v>139</v>
      </c>
      <c r="BB999" s="73">
        <v>100007</v>
      </c>
      <c r="BC999" s="38">
        <f>AW999+AX999</f>
        <v>0</v>
      </c>
      <c r="BD999" s="38">
        <f>H999/(100-BE999)*100</f>
        <v>0</v>
      </c>
      <c r="BE999" s="38">
        <v>0</v>
      </c>
      <c r="BF999" s="38">
        <f>K999</f>
        <v>0.7073999999999999</v>
      </c>
      <c r="BH999" s="38">
        <f>G999*AO999</f>
        <v>0</v>
      </c>
      <c r="BI999" s="38">
        <f>G999*AP999</f>
        <v>0</v>
      </c>
      <c r="BJ999" s="38">
        <f>G999*H999</f>
        <v>0</v>
      </c>
      <c r="BK999" s="38"/>
      <c r="BL999" s="38">
        <v>96</v>
      </c>
      <c r="BW999" s="38">
        <v>21</v>
      </c>
    </row>
    <row r="1000" spans="1:12" ht="15">
      <c r="A1000" s="74"/>
      <c r="D1000" s="75" t="s">
        <v>1776</v>
      </c>
      <c r="E1000" s="75" t="s">
        <v>690</v>
      </c>
      <c r="G1000" s="76">
        <v>24.22</v>
      </c>
      <c r="L1000" s="77"/>
    </row>
    <row r="1001" spans="1:12" ht="15">
      <c r="A1001" s="74"/>
      <c r="D1001" s="75" t="s">
        <v>320</v>
      </c>
      <c r="E1001" s="75" t="s">
        <v>1777</v>
      </c>
      <c r="G1001" s="76">
        <v>4.7</v>
      </c>
      <c r="L1001" s="77"/>
    </row>
    <row r="1002" spans="1:12" ht="15">
      <c r="A1002" s="74"/>
      <c r="D1002" s="75" t="s">
        <v>1778</v>
      </c>
      <c r="E1002" s="75" t="s">
        <v>1556</v>
      </c>
      <c r="G1002" s="76">
        <v>6.45</v>
      </c>
      <c r="L1002" s="77"/>
    </row>
    <row r="1003" spans="1:75" ht="13.5" customHeight="1">
      <c r="A1003" s="1" t="s">
        <v>1779</v>
      </c>
      <c r="B1003" s="2" t="s">
        <v>84</v>
      </c>
      <c r="C1003" s="2" t="s">
        <v>1780</v>
      </c>
      <c r="D1003" s="108" t="s">
        <v>1781</v>
      </c>
      <c r="E1003" s="103"/>
      <c r="F1003" s="2" t="s">
        <v>214</v>
      </c>
      <c r="G1003" s="38">
        <v>16.5</v>
      </c>
      <c r="H1003" s="70">
        <v>0</v>
      </c>
      <c r="I1003" s="38">
        <f>G1003*H1003</f>
        <v>0</v>
      </c>
      <c r="J1003" s="38">
        <v>0.0004</v>
      </c>
      <c r="K1003" s="38">
        <f>G1003*J1003</f>
        <v>0.0066</v>
      </c>
      <c r="L1003" s="71" t="s">
        <v>136</v>
      </c>
      <c r="Z1003" s="38">
        <f>IF(AQ1003="5",BJ1003,0)</f>
        <v>0</v>
      </c>
      <c r="AB1003" s="38">
        <f>IF(AQ1003="1",BH1003,0)</f>
        <v>0</v>
      </c>
      <c r="AC1003" s="38">
        <f>IF(AQ1003="1",BI1003,0)</f>
        <v>0</v>
      </c>
      <c r="AD1003" s="38">
        <f>IF(AQ1003="7",BH1003,0)</f>
        <v>0</v>
      </c>
      <c r="AE1003" s="38">
        <f>IF(AQ1003="7",BI1003,0)</f>
        <v>0</v>
      </c>
      <c r="AF1003" s="38">
        <f>IF(AQ1003="2",BH1003,0)</f>
        <v>0</v>
      </c>
      <c r="AG1003" s="38">
        <f>IF(AQ1003="2",BI1003,0)</f>
        <v>0</v>
      </c>
      <c r="AH1003" s="38">
        <f>IF(AQ1003="0",BJ1003,0)</f>
        <v>0</v>
      </c>
      <c r="AI1003" s="50" t="s">
        <v>84</v>
      </c>
      <c r="AJ1003" s="38">
        <f>IF(AN1003=0,I1003,0)</f>
        <v>0</v>
      </c>
      <c r="AK1003" s="38">
        <f>IF(AN1003=12,I1003,0)</f>
        <v>0</v>
      </c>
      <c r="AL1003" s="38">
        <f>IF(AN1003=21,I1003,0)</f>
        <v>0</v>
      </c>
      <c r="AN1003" s="38">
        <v>21</v>
      </c>
      <c r="AO1003" s="38">
        <f>H1003*0</f>
        <v>0</v>
      </c>
      <c r="AP1003" s="38">
        <f>H1003*(1-0)</f>
        <v>0</v>
      </c>
      <c r="AQ1003" s="72" t="s">
        <v>132</v>
      </c>
      <c r="AV1003" s="38">
        <f>AW1003+AX1003</f>
        <v>0</v>
      </c>
      <c r="AW1003" s="38">
        <f>G1003*AO1003</f>
        <v>0</v>
      </c>
      <c r="AX1003" s="38">
        <f>G1003*AP1003</f>
        <v>0</v>
      </c>
      <c r="AY1003" s="72" t="s">
        <v>1707</v>
      </c>
      <c r="AZ1003" s="72" t="s">
        <v>1657</v>
      </c>
      <c r="BA1003" s="50" t="s">
        <v>139</v>
      </c>
      <c r="BB1003" s="73">
        <v>100007</v>
      </c>
      <c r="BC1003" s="38">
        <f>AW1003+AX1003</f>
        <v>0</v>
      </c>
      <c r="BD1003" s="38">
        <f>H1003/(100-BE1003)*100</f>
        <v>0</v>
      </c>
      <c r="BE1003" s="38">
        <v>0</v>
      </c>
      <c r="BF1003" s="38">
        <f>K1003</f>
        <v>0.0066</v>
      </c>
      <c r="BH1003" s="38">
        <f>G1003*AO1003</f>
        <v>0</v>
      </c>
      <c r="BI1003" s="38">
        <f>G1003*AP1003</f>
        <v>0</v>
      </c>
      <c r="BJ1003" s="38">
        <f>G1003*H1003</f>
        <v>0</v>
      </c>
      <c r="BK1003" s="38"/>
      <c r="BL1003" s="38">
        <v>96</v>
      </c>
      <c r="BW1003" s="38">
        <v>21</v>
      </c>
    </row>
    <row r="1004" spans="1:12" ht="15">
      <c r="A1004" s="74"/>
      <c r="D1004" s="75" t="s">
        <v>1782</v>
      </c>
      <c r="E1004" s="75" t="s">
        <v>1319</v>
      </c>
      <c r="G1004" s="76">
        <v>16.5</v>
      </c>
      <c r="L1004" s="77"/>
    </row>
    <row r="1005" spans="1:75" ht="13.5" customHeight="1">
      <c r="A1005" s="1" t="s">
        <v>1783</v>
      </c>
      <c r="B1005" s="2" t="s">
        <v>84</v>
      </c>
      <c r="C1005" s="2" t="s">
        <v>1784</v>
      </c>
      <c r="D1005" s="108" t="s">
        <v>1785</v>
      </c>
      <c r="E1005" s="103"/>
      <c r="F1005" s="2" t="s">
        <v>263</v>
      </c>
      <c r="G1005" s="38">
        <v>0.73</v>
      </c>
      <c r="H1005" s="70">
        <v>0</v>
      </c>
      <c r="I1005" s="38">
        <f>G1005*H1005</f>
        <v>0</v>
      </c>
      <c r="J1005" s="38">
        <v>0.27534</v>
      </c>
      <c r="K1005" s="38">
        <f>G1005*J1005</f>
        <v>0.2009982</v>
      </c>
      <c r="L1005" s="71" t="s">
        <v>136</v>
      </c>
      <c r="Z1005" s="38">
        <f>IF(AQ1005="5",BJ1005,0)</f>
        <v>0</v>
      </c>
      <c r="AB1005" s="38">
        <f>IF(AQ1005="1",BH1005,0)</f>
        <v>0</v>
      </c>
      <c r="AC1005" s="38">
        <f>IF(AQ1005="1",BI1005,0)</f>
        <v>0</v>
      </c>
      <c r="AD1005" s="38">
        <f>IF(AQ1005="7",BH1005,0)</f>
        <v>0</v>
      </c>
      <c r="AE1005" s="38">
        <f>IF(AQ1005="7",BI1005,0)</f>
        <v>0</v>
      </c>
      <c r="AF1005" s="38">
        <f>IF(AQ1005="2",BH1005,0)</f>
        <v>0</v>
      </c>
      <c r="AG1005" s="38">
        <f>IF(AQ1005="2",BI1005,0)</f>
        <v>0</v>
      </c>
      <c r="AH1005" s="38">
        <f>IF(AQ1005="0",BJ1005,0)</f>
        <v>0</v>
      </c>
      <c r="AI1005" s="50" t="s">
        <v>84</v>
      </c>
      <c r="AJ1005" s="38">
        <f>IF(AN1005=0,I1005,0)</f>
        <v>0</v>
      </c>
      <c r="AK1005" s="38">
        <f>IF(AN1005=12,I1005,0)</f>
        <v>0</v>
      </c>
      <c r="AL1005" s="38">
        <f>IF(AN1005=21,I1005,0)</f>
        <v>0</v>
      </c>
      <c r="AN1005" s="38">
        <v>21</v>
      </c>
      <c r="AO1005" s="38">
        <f>H1005*0.02217205</f>
        <v>0</v>
      </c>
      <c r="AP1005" s="38">
        <f>H1005*(1-0.02217205)</f>
        <v>0</v>
      </c>
      <c r="AQ1005" s="72" t="s">
        <v>132</v>
      </c>
      <c r="AV1005" s="38">
        <f>AW1005+AX1005</f>
        <v>0</v>
      </c>
      <c r="AW1005" s="38">
        <f>G1005*AO1005</f>
        <v>0</v>
      </c>
      <c r="AX1005" s="38">
        <f>G1005*AP1005</f>
        <v>0</v>
      </c>
      <c r="AY1005" s="72" t="s">
        <v>1707</v>
      </c>
      <c r="AZ1005" s="72" t="s">
        <v>1657</v>
      </c>
      <c r="BA1005" s="50" t="s">
        <v>139</v>
      </c>
      <c r="BB1005" s="73">
        <v>100007</v>
      </c>
      <c r="BC1005" s="38">
        <f>AW1005+AX1005</f>
        <v>0</v>
      </c>
      <c r="BD1005" s="38">
        <f>H1005/(100-BE1005)*100</f>
        <v>0</v>
      </c>
      <c r="BE1005" s="38">
        <v>0</v>
      </c>
      <c r="BF1005" s="38">
        <f>K1005</f>
        <v>0.2009982</v>
      </c>
      <c r="BH1005" s="38">
        <f>G1005*AO1005</f>
        <v>0</v>
      </c>
      <c r="BI1005" s="38">
        <f>G1005*AP1005</f>
        <v>0</v>
      </c>
      <c r="BJ1005" s="38">
        <f>G1005*H1005</f>
        <v>0</v>
      </c>
      <c r="BK1005" s="38"/>
      <c r="BL1005" s="38">
        <v>96</v>
      </c>
      <c r="BW1005" s="38">
        <v>21</v>
      </c>
    </row>
    <row r="1006" spans="1:12" ht="15">
      <c r="A1006" s="74"/>
      <c r="D1006" s="75" t="s">
        <v>1786</v>
      </c>
      <c r="E1006" s="75" t="s">
        <v>1787</v>
      </c>
      <c r="G1006" s="76">
        <v>0.73</v>
      </c>
      <c r="L1006" s="77"/>
    </row>
    <row r="1007" spans="1:75" ht="13.5" customHeight="1">
      <c r="A1007" s="1" t="s">
        <v>1788</v>
      </c>
      <c r="B1007" s="2" t="s">
        <v>84</v>
      </c>
      <c r="C1007" s="2" t="s">
        <v>1789</v>
      </c>
      <c r="D1007" s="108" t="s">
        <v>1790</v>
      </c>
      <c r="E1007" s="103"/>
      <c r="F1007" s="2" t="s">
        <v>263</v>
      </c>
      <c r="G1007" s="38">
        <v>1.27</v>
      </c>
      <c r="H1007" s="70">
        <v>0</v>
      </c>
      <c r="I1007" s="38">
        <f>G1007*H1007</f>
        <v>0</v>
      </c>
      <c r="J1007" s="38">
        <v>0.54534</v>
      </c>
      <c r="K1007" s="38">
        <f>G1007*J1007</f>
        <v>0.6925818</v>
      </c>
      <c r="L1007" s="71" t="s">
        <v>136</v>
      </c>
      <c r="Z1007" s="38">
        <f>IF(AQ1007="5",BJ1007,0)</f>
        <v>0</v>
      </c>
      <c r="AB1007" s="38">
        <f>IF(AQ1007="1",BH1007,0)</f>
        <v>0</v>
      </c>
      <c r="AC1007" s="38">
        <f>IF(AQ1007="1",BI1007,0)</f>
        <v>0</v>
      </c>
      <c r="AD1007" s="38">
        <f>IF(AQ1007="7",BH1007,0)</f>
        <v>0</v>
      </c>
      <c r="AE1007" s="38">
        <f>IF(AQ1007="7",BI1007,0)</f>
        <v>0</v>
      </c>
      <c r="AF1007" s="38">
        <f>IF(AQ1007="2",BH1007,0)</f>
        <v>0</v>
      </c>
      <c r="AG1007" s="38">
        <f>IF(AQ1007="2",BI1007,0)</f>
        <v>0</v>
      </c>
      <c r="AH1007" s="38">
        <f>IF(AQ1007="0",BJ1007,0)</f>
        <v>0</v>
      </c>
      <c r="AI1007" s="50" t="s">
        <v>84</v>
      </c>
      <c r="AJ1007" s="38">
        <f>IF(AN1007=0,I1007,0)</f>
        <v>0</v>
      </c>
      <c r="AK1007" s="38">
        <f>IF(AN1007=12,I1007,0)</f>
        <v>0</v>
      </c>
      <c r="AL1007" s="38">
        <f>IF(AN1007=21,I1007,0)</f>
        <v>0</v>
      </c>
      <c r="AN1007" s="38">
        <v>21</v>
      </c>
      <c r="AO1007" s="38">
        <f>H1007*0.015448507</f>
        <v>0</v>
      </c>
      <c r="AP1007" s="38">
        <f>H1007*(1-0.015448507)</f>
        <v>0</v>
      </c>
      <c r="AQ1007" s="72" t="s">
        <v>132</v>
      </c>
      <c r="AV1007" s="38">
        <f>AW1007+AX1007</f>
        <v>0</v>
      </c>
      <c r="AW1007" s="38">
        <f>G1007*AO1007</f>
        <v>0</v>
      </c>
      <c r="AX1007" s="38">
        <f>G1007*AP1007</f>
        <v>0</v>
      </c>
      <c r="AY1007" s="72" t="s">
        <v>1707</v>
      </c>
      <c r="AZ1007" s="72" t="s">
        <v>1657</v>
      </c>
      <c r="BA1007" s="50" t="s">
        <v>139</v>
      </c>
      <c r="BB1007" s="73">
        <v>100007</v>
      </c>
      <c r="BC1007" s="38">
        <f>AW1007+AX1007</f>
        <v>0</v>
      </c>
      <c r="BD1007" s="38">
        <f>H1007/(100-BE1007)*100</f>
        <v>0</v>
      </c>
      <c r="BE1007" s="38">
        <v>0</v>
      </c>
      <c r="BF1007" s="38">
        <f>K1007</f>
        <v>0.6925818</v>
      </c>
      <c r="BH1007" s="38">
        <f>G1007*AO1007</f>
        <v>0</v>
      </c>
      <c r="BI1007" s="38">
        <f>G1007*AP1007</f>
        <v>0</v>
      </c>
      <c r="BJ1007" s="38">
        <f>G1007*H1007</f>
        <v>0</v>
      </c>
      <c r="BK1007" s="38"/>
      <c r="BL1007" s="38">
        <v>96</v>
      </c>
      <c r="BW1007" s="38">
        <v>21</v>
      </c>
    </row>
    <row r="1008" spans="1:12" ht="15">
      <c r="A1008" s="74"/>
      <c r="D1008" s="75" t="s">
        <v>1791</v>
      </c>
      <c r="E1008" s="75" t="s">
        <v>1792</v>
      </c>
      <c r="G1008" s="76">
        <v>1.27</v>
      </c>
      <c r="L1008" s="77"/>
    </row>
    <row r="1009" spans="1:75" ht="13.5" customHeight="1">
      <c r="A1009" s="1" t="s">
        <v>1793</v>
      </c>
      <c r="B1009" s="2" t="s">
        <v>84</v>
      </c>
      <c r="C1009" s="2" t="s">
        <v>1794</v>
      </c>
      <c r="D1009" s="108" t="s">
        <v>1795</v>
      </c>
      <c r="E1009" s="103"/>
      <c r="F1009" s="2" t="s">
        <v>135</v>
      </c>
      <c r="G1009" s="38">
        <v>0.56</v>
      </c>
      <c r="H1009" s="70">
        <v>0</v>
      </c>
      <c r="I1009" s="38">
        <f>G1009*H1009</f>
        <v>0</v>
      </c>
      <c r="J1009" s="38">
        <v>2.2</v>
      </c>
      <c r="K1009" s="38">
        <f>G1009*J1009</f>
        <v>1.2320000000000002</v>
      </c>
      <c r="L1009" s="71" t="s">
        <v>136</v>
      </c>
      <c r="Z1009" s="38">
        <f>IF(AQ1009="5",BJ1009,0)</f>
        <v>0</v>
      </c>
      <c r="AB1009" s="38">
        <f>IF(AQ1009="1",BH1009,0)</f>
        <v>0</v>
      </c>
      <c r="AC1009" s="38">
        <f>IF(AQ1009="1",BI1009,0)</f>
        <v>0</v>
      </c>
      <c r="AD1009" s="38">
        <f>IF(AQ1009="7",BH1009,0)</f>
        <v>0</v>
      </c>
      <c r="AE1009" s="38">
        <f>IF(AQ1009="7",BI1009,0)</f>
        <v>0</v>
      </c>
      <c r="AF1009" s="38">
        <f>IF(AQ1009="2",BH1009,0)</f>
        <v>0</v>
      </c>
      <c r="AG1009" s="38">
        <f>IF(AQ1009="2",BI1009,0)</f>
        <v>0</v>
      </c>
      <c r="AH1009" s="38">
        <f>IF(AQ1009="0",BJ1009,0)</f>
        <v>0</v>
      </c>
      <c r="AI1009" s="50" t="s">
        <v>84</v>
      </c>
      <c r="AJ1009" s="38">
        <f>IF(AN1009=0,I1009,0)</f>
        <v>0</v>
      </c>
      <c r="AK1009" s="38">
        <f>IF(AN1009=12,I1009,0)</f>
        <v>0</v>
      </c>
      <c r="AL1009" s="38">
        <f>IF(AN1009=21,I1009,0)</f>
        <v>0</v>
      </c>
      <c r="AN1009" s="38">
        <v>21</v>
      </c>
      <c r="AO1009" s="38">
        <f>H1009*0</f>
        <v>0</v>
      </c>
      <c r="AP1009" s="38">
        <f>H1009*(1-0)</f>
        <v>0</v>
      </c>
      <c r="AQ1009" s="72" t="s">
        <v>132</v>
      </c>
      <c r="AV1009" s="38">
        <f>AW1009+AX1009</f>
        <v>0</v>
      </c>
      <c r="AW1009" s="38">
        <f>G1009*AO1009</f>
        <v>0</v>
      </c>
      <c r="AX1009" s="38">
        <f>G1009*AP1009</f>
        <v>0</v>
      </c>
      <c r="AY1009" s="72" t="s">
        <v>1707</v>
      </c>
      <c r="AZ1009" s="72" t="s">
        <v>1657</v>
      </c>
      <c r="BA1009" s="50" t="s">
        <v>139</v>
      </c>
      <c r="BB1009" s="73">
        <v>100007</v>
      </c>
      <c r="BC1009" s="38">
        <f>AW1009+AX1009</f>
        <v>0</v>
      </c>
      <c r="BD1009" s="38">
        <f>H1009/(100-BE1009)*100</f>
        <v>0</v>
      </c>
      <c r="BE1009" s="38">
        <v>0</v>
      </c>
      <c r="BF1009" s="38">
        <f>K1009</f>
        <v>1.2320000000000002</v>
      </c>
      <c r="BH1009" s="38">
        <f>G1009*AO1009</f>
        <v>0</v>
      </c>
      <c r="BI1009" s="38">
        <f>G1009*AP1009</f>
        <v>0</v>
      </c>
      <c r="BJ1009" s="38">
        <f>G1009*H1009</f>
        <v>0</v>
      </c>
      <c r="BK1009" s="38"/>
      <c r="BL1009" s="38">
        <v>96</v>
      </c>
      <c r="BW1009" s="38">
        <v>21</v>
      </c>
    </row>
    <row r="1010" spans="1:12" ht="13.5" customHeight="1">
      <c r="A1010" s="74"/>
      <c r="D1010" s="194" t="s">
        <v>1796</v>
      </c>
      <c r="E1010" s="195"/>
      <c r="F1010" s="195"/>
      <c r="G1010" s="195"/>
      <c r="H1010" s="196"/>
      <c r="I1010" s="195"/>
      <c r="J1010" s="195"/>
      <c r="K1010" s="195"/>
      <c r="L1010" s="197"/>
    </row>
    <row r="1011" spans="1:12" ht="15">
      <c r="A1011" s="74"/>
      <c r="D1011" s="75" t="s">
        <v>1797</v>
      </c>
      <c r="E1011" s="75" t="s">
        <v>974</v>
      </c>
      <c r="G1011" s="76">
        <v>0.56</v>
      </c>
      <c r="L1011" s="77"/>
    </row>
    <row r="1012" spans="1:75" ht="13.5" customHeight="1">
      <c r="A1012" s="1" t="s">
        <v>1798</v>
      </c>
      <c r="B1012" s="2" t="s">
        <v>84</v>
      </c>
      <c r="C1012" s="2" t="s">
        <v>1799</v>
      </c>
      <c r="D1012" s="108" t="s">
        <v>1800</v>
      </c>
      <c r="E1012" s="103"/>
      <c r="F1012" s="2" t="s">
        <v>135</v>
      </c>
      <c r="G1012" s="38">
        <v>0.74</v>
      </c>
      <c r="H1012" s="70">
        <v>0</v>
      </c>
      <c r="I1012" s="38">
        <f>G1012*H1012</f>
        <v>0</v>
      </c>
      <c r="J1012" s="38">
        <v>2.2</v>
      </c>
      <c r="K1012" s="38">
        <f>G1012*J1012</f>
        <v>1.6280000000000001</v>
      </c>
      <c r="L1012" s="71" t="s">
        <v>136</v>
      </c>
      <c r="Z1012" s="38">
        <f>IF(AQ1012="5",BJ1012,0)</f>
        <v>0</v>
      </c>
      <c r="AB1012" s="38">
        <f>IF(AQ1012="1",BH1012,0)</f>
        <v>0</v>
      </c>
      <c r="AC1012" s="38">
        <f>IF(AQ1012="1",BI1012,0)</f>
        <v>0</v>
      </c>
      <c r="AD1012" s="38">
        <f>IF(AQ1012="7",BH1012,0)</f>
        <v>0</v>
      </c>
      <c r="AE1012" s="38">
        <f>IF(AQ1012="7",BI1012,0)</f>
        <v>0</v>
      </c>
      <c r="AF1012" s="38">
        <f>IF(AQ1012="2",BH1012,0)</f>
        <v>0</v>
      </c>
      <c r="AG1012" s="38">
        <f>IF(AQ1012="2",BI1012,0)</f>
        <v>0</v>
      </c>
      <c r="AH1012" s="38">
        <f>IF(AQ1012="0",BJ1012,0)</f>
        <v>0</v>
      </c>
      <c r="AI1012" s="50" t="s">
        <v>84</v>
      </c>
      <c r="AJ1012" s="38">
        <f>IF(AN1012=0,I1012,0)</f>
        <v>0</v>
      </c>
      <c r="AK1012" s="38">
        <f>IF(AN1012=12,I1012,0)</f>
        <v>0</v>
      </c>
      <c r="AL1012" s="38">
        <f>IF(AN1012=21,I1012,0)</f>
        <v>0</v>
      </c>
      <c r="AN1012" s="38">
        <v>21</v>
      </c>
      <c r="AO1012" s="38">
        <f>H1012*0</f>
        <v>0</v>
      </c>
      <c r="AP1012" s="38">
        <f>H1012*(1-0)</f>
        <v>0</v>
      </c>
      <c r="AQ1012" s="72" t="s">
        <v>132</v>
      </c>
      <c r="AV1012" s="38">
        <f>AW1012+AX1012</f>
        <v>0</v>
      </c>
      <c r="AW1012" s="38">
        <f>G1012*AO1012</f>
        <v>0</v>
      </c>
      <c r="AX1012" s="38">
        <f>G1012*AP1012</f>
        <v>0</v>
      </c>
      <c r="AY1012" s="72" t="s">
        <v>1707</v>
      </c>
      <c r="AZ1012" s="72" t="s">
        <v>1657</v>
      </c>
      <c r="BA1012" s="50" t="s">
        <v>139</v>
      </c>
      <c r="BB1012" s="73">
        <v>100007</v>
      </c>
      <c r="BC1012" s="38">
        <f>AW1012+AX1012</f>
        <v>0</v>
      </c>
      <c r="BD1012" s="38">
        <f>H1012/(100-BE1012)*100</f>
        <v>0</v>
      </c>
      <c r="BE1012" s="38">
        <v>0</v>
      </c>
      <c r="BF1012" s="38">
        <f>K1012</f>
        <v>1.6280000000000001</v>
      </c>
      <c r="BH1012" s="38">
        <f>G1012*AO1012</f>
        <v>0</v>
      </c>
      <c r="BI1012" s="38">
        <f>G1012*AP1012</f>
        <v>0</v>
      </c>
      <c r="BJ1012" s="38">
        <f>G1012*H1012</f>
        <v>0</v>
      </c>
      <c r="BK1012" s="38"/>
      <c r="BL1012" s="38">
        <v>96</v>
      </c>
      <c r="BW1012" s="38">
        <v>21</v>
      </c>
    </row>
    <row r="1013" spans="1:12" ht="15">
      <c r="A1013" s="74"/>
      <c r="D1013" s="75" t="s">
        <v>1801</v>
      </c>
      <c r="E1013" s="75" t="s">
        <v>523</v>
      </c>
      <c r="G1013" s="76">
        <v>0.45</v>
      </c>
      <c r="L1013" s="77"/>
    </row>
    <row r="1014" spans="1:12" ht="15">
      <c r="A1014" s="74"/>
      <c r="D1014" s="75" t="s">
        <v>1802</v>
      </c>
      <c r="E1014" s="75" t="s">
        <v>979</v>
      </c>
      <c r="G1014" s="76">
        <v>0.29</v>
      </c>
      <c r="L1014" s="77"/>
    </row>
    <row r="1015" spans="1:75" ht="13.5" customHeight="1">
      <c r="A1015" s="1" t="s">
        <v>1803</v>
      </c>
      <c r="B1015" s="2" t="s">
        <v>84</v>
      </c>
      <c r="C1015" s="2" t="s">
        <v>1804</v>
      </c>
      <c r="D1015" s="108" t="s">
        <v>1805</v>
      </c>
      <c r="E1015" s="103"/>
      <c r="F1015" s="2" t="s">
        <v>263</v>
      </c>
      <c r="G1015" s="38">
        <v>25.87</v>
      </c>
      <c r="H1015" s="70">
        <v>0</v>
      </c>
      <c r="I1015" s="38">
        <f>G1015*H1015</f>
        <v>0</v>
      </c>
      <c r="J1015" s="38">
        <v>0.00175</v>
      </c>
      <c r="K1015" s="38">
        <f>G1015*J1015</f>
        <v>0.0452725</v>
      </c>
      <c r="L1015" s="71" t="s">
        <v>136</v>
      </c>
      <c r="Z1015" s="38">
        <f>IF(AQ1015="5",BJ1015,0)</f>
        <v>0</v>
      </c>
      <c r="AB1015" s="38">
        <f>IF(AQ1015="1",BH1015,0)</f>
        <v>0</v>
      </c>
      <c r="AC1015" s="38">
        <f>IF(AQ1015="1",BI1015,0)</f>
        <v>0</v>
      </c>
      <c r="AD1015" s="38">
        <f>IF(AQ1015="7",BH1015,0)</f>
        <v>0</v>
      </c>
      <c r="AE1015" s="38">
        <f>IF(AQ1015="7",BI1015,0)</f>
        <v>0</v>
      </c>
      <c r="AF1015" s="38">
        <f>IF(AQ1015="2",BH1015,0)</f>
        <v>0</v>
      </c>
      <c r="AG1015" s="38">
        <f>IF(AQ1015="2",BI1015,0)</f>
        <v>0</v>
      </c>
      <c r="AH1015" s="38">
        <f>IF(AQ1015="0",BJ1015,0)</f>
        <v>0</v>
      </c>
      <c r="AI1015" s="50" t="s">
        <v>84</v>
      </c>
      <c r="AJ1015" s="38">
        <f>IF(AN1015=0,I1015,0)</f>
        <v>0</v>
      </c>
      <c r="AK1015" s="38">
        <f>IF(AN1015=12,I1015,0)</f>
        <v>0</v>
      </c>
      <c r="AL1015" s="38">
        <f>IF(AN1015=21,I1015,0)</f>
        <v>0</v>
      </c>
      <c r="AN1015" s="38">
        <v>21</v>
      </c>
      <c r="AO1015" s="38">
        <f>H1015*0</f>
        <v>0</v>
      </c>
      <c r="AP1015" s="38">
        <f>H1015*(1-0)</f>
        <v>0</v>
      </c>
      <c r="AQ1015" s="72" t="s">
        <v>132</v>
      </c>
      <c r="AV1015" s="38">
        <f>AW1015+AX1015</f>
        <v>0</v>
      </c>
      <c r="AW1015" s="38">
        <f>G1015*AO1015</f>
        <v>0</v>
      </c>
      <c r="AX1015" s="38">
        <f>G1015*AP1015</f>
        <v>0</v>
      </c>
      <c r="AY1015" s="72" t="s">
        <v>1707</v>
      </c>
      <c r="AZ1015" s="72" t="s">
        <v>1657</v>
      </c>
      <c r="BA1015" s="50" t="s">
        <v>139</v>
      </c>
      <c r="BB1015" s="73">
        <v>100007</v>
      </c>
      <c r="BC1015" s="38">
        <f>AW1015+AX1015</f>
        <v>0</v>
      </c>
      <c r="BD1015" s="38">
        <f>H1015/(100-BE1015)*100</f>
        <v>0</v>
      </c>
      <c r="BE1015" s="38">
        <v>0</v>
      </c>
      <c r="BF1015" s="38">
        <f>K1015</f>
        <v>0.0452725</v>
      </c>
      <c r="BH1015" s="38">
        <f>G1015*AO1015</f>
        <v>0</v>
      </c>
      <c r="BI1015" s="38">
        <f>G1015*AP1015</f>
        <v>0</v>
      </c>
      <c r="BJ1015" s="38">
        <f>G1015*H1015</f>
        <v>0</v>
      </c>
      <c r="BK1015" s="38"/>
      <c r="BL1015" s="38">
        <v>96</v>
      </c>
      <c r="BW1015" s="38">
        <v>21</v>
      </c>
    </row>
    <row r="1016" spans="1:12" ht="15">
      <c r="A1016" s="74"/>
      <c r="D1016" s="75" t="s">
        <v>1806</v>
      </c>
      <c r="E1016" s="75" t="s">
        <v>1807</v>
      </c>
      <c r="G1016" s="76">
        <v>19.42</v>
      </c>
      <c r="L1016" s="77"/>
    </row>
    <row r="1017" spans="1:12" ht="15">
      <c r="A1017" s="74"/>
      <c r="D1017" s="75" t="s">
        <v>1778</v>
      </c>
      <c r="E1017" s="75" t="s">
        <v>1556</v>
      </c>
      <c r="G1017" s="76">
        <v>6.45</v>
      </c>
      <c r="L1017" s="77"/>
    </row>
    <row r="1018" spans="1:75" ht="13.5" customHeight="1">
      <c r="A1018" s="1" t="s">
        <v>1808</v>
      </c>
      <c r="B1018" s="2" t="s">
        <v>84</v>
      </c>
      <c r="C1018" s="2" t="s">
        <v>1809</v>
      </c>
      <c r="D1018" s="108" t="s">
        <v>1810</v>
      </c>
      <c r="E1018" s="103"/>
      <c r="F1018" s="2" t="s">
        <v>135</v>
      </c>
      <c r="G1018" s="38">
        <v>1.56</v>
      </c>
      <c r="H1018" s="70">
        <v>0</v>
      </c>
      <c r="I1018" s="38">
        <f>G1018*H1018</f>
        <v>0</v>
      </c>
      <c r="J1018" s="38">
        <v>2.40666</v>
      </c>
      <c r="K1018" s="38">
        <f>G1018*J1018</f>
        <v>3.7543896</v>
      </c>
      <c r="L1018" s="71" t="s">
        <v>136</v>
      </c>
      <c r="Z1018" s="38">
        <f>IF(AQ1018="5",BJ1018,0)</f>
        <v>0</v>
      </c>
      <c r="AB1018" s="38">
        <f>IF(AQ1018="1",BH1018,0)</f>
        <v>0</v>
      </c>
      <c r="AC1018" s="38">
        <f>IF(AQ1018="1",BI1018,0)</f>
        <v>0</v>
      </c>
      <c r="AD1018" s="38">
        <f>IF(AQ1018="7",BH1018,0)</f>
        <v>0</v>
      </c>
      <c r="AE1018" s="38">
        <f>IF(AQ1018="7",BI1018,0)</f>
        <v>0</v>
      </c>
      <c r="AF1018" s="38">
        <f>IF(AQ1018="2",BH1018,0)</f>
        <v>0</v>
      </c>
      <c r="AG1018" s="38">
        <f>IF(AQ1018="2",BI1018,0)</f>
        <v>0</v>
      </c>
      <c r="AH1018" s="38">
        <f>IF(AQ1018="0",BJ1018,0)</f>
        <v>0</v>
      </c>
      <c r="AI1018" s="50" t="s">
        <v>84</v>
      </c>
      <c r="AJ1018" s="38">
        <f>IF(AN1018=0,I1018,0)</f>
        <v>0</v>
      </c>
      <c r="AK1018" s="38">
        <f>IF(AN1018=12,I1018,0)</f>
        <v>0</v>
      </c>
      <c r="AL1018" s="38">
        <f>IF(AN1018=21,I1018,0)</f>
        <v>0</v>
      </c>
      <c r="AN1018" s="38">
        <v>21</v>
      </c>
      <c r="AO1018" s="38">
        <f>H1018*0.045830602</f>
        <v>0</v>
      </c>
      <c r="AP1018" s="38">
        <f>H1018*(1-0.045830602)</f>
        <v>0</v>
      </c>
      <c r="AQ1018" s="72" t="s">
        <v>132</v>
      </c>
      <c r="AV1018" s="38">
        <f>AW1018+AX1018</f>
        <v>0</v>
      </c>
      <c r="AW1018" s="38">
        <f>G1018*AO1018</f>
        <v>0</v>
      </c>
      <c r="AX1018" s="38">
        <f>G1018*AP1018</f>
        <v>0</v>
      </c>
      <c r="AY1018" s="72" t="s">
        <v>1707</v>
      </c>
      <c r="AZ1018" s="72" t="s">
        <v>1657</v>
      </c>
      <c r="BA1018" s="50" t="s">
        <v>139</v>
      </c>
      <c r="BB1018" s="73">
        <v>100007</v>
      </c>
      <c r="BC1018" s="38">
        <f>AW1018+AX1018</f>
        <v>0</v>
      </c>
      <c r="BD1018" s="38">
        <f>H1018/(100-BE1018)*100</f>
        <v>0</v>
      </c>
      <c r="BE1018" s="38">
        <v>0</v>
      </c>
      <c r="BF1018" s="38">
        <f>K1018</f>
        <v>3.7543896</v>
      </c>
      <c r="BH1018" s="38">
        <f>G1018*AO1018</f>
        <v>0</v>
      </c>
      <c r="BI1018" s="38">
        <f>G1018*AP1018</f>
        <v>0</v>
      </c>
      <c r="BJ1018" s="38">
        <f>G1018*H1018</f>
        <v>0</v>
      </c>
      <c r="BK1018" s="38"/>
      <c r="BL1018" s="38">
        <v>96</v>
      </c>
      <c r="BW1018" s="38">
        <v>21</v>
      </c>
    </row>
    <row r="1019" spans="1:12" ht="15">
      <c r="A1019" s="74"/>
      <c r="D1019" s="75" t="s">
        <v>1811</v>
      </c>
      <c r="E1019" s="75" t="s">
        <v>1812</v>
      </c>
      <c r="G1019" s="76">
        <v>1.56</v>
      </c>
      <c r="L1019" s="77"/>
    </row>
    <row r="1020" spans="1:75" ht="13.5" customHeight="1">
      <c r="A1020" s="1" t="s">
        <v>1813</v>
      </c>
      <c r="B1020" s="2" t="s">
        <v>84</v>
      </c>
      <c r="C1020" s="2" t="s">
        <v>1814</v>
      </c>
      <c r="D1020" s="108" t="s">
        <v>1815</v>
      </c>
      <c r="E1020" s="103"/>
      <c r="F1020" s="2" t="s">
        <v>135</v>
      </c>
      <c r="G1020" s="38">
        <v>0.55</v>
      </c>
      <c r="H1020" s="70">
        <v>0</v>
      </c>
      <c r="I1020" s="38">
        <f>G1020*H1020</f>
        <v>0</v>
      </c>
      <c r="J1020" s="38">
        <v>2.2</v>
      </c>
      <c r="K1020" s="38">
        <f>G1020*J1020</f>
        <v>1.2100000000000002</v>
      </c>
      <c r="L1020" s="71" t="s">
        <v>136</v>
      </c>
      <c r="Z1020" s="38">
        <f>IF(AQ1020="5",BJ1020,0)</f>
        <v>0</v>
      </c>
      <c r="AB1020" s="38">
        <f>IF(AQ1020="1",BH1020,0)</f>
        <v>0</v>
      </c>
      <c r="AC1020" s="38">
        <f>IF(AQ1020="1",BI1020,0)</f>
        <v>0</v>
      </c>
      <c r="AD1020" s="38">
        <f>IF(AQ1020="7",BH1020,0)</f>
        <v>0</v>
      </c>
      <c r="AE1020" s="38">
        <f>IF(AQ1020="7",BI1020,0)</f>
        <v>0</v>
      </c>
      <c r="AF1020" s="38">
        <f>IF(AQ1020="2",BH1020,0)</f>
        <v>0</v>
      </c>
      <c r="AG1020" s="38">
        <f>IF(AQ1020="2",BI1020,0)</f>
        <v>0</v>
      </c>
      <c r="AH1020" s="38">
        <f>IF(AQ1020="0",BJ1020,0)</f>
        <v>0</v>
      </c>
      <c r="AI1020" s="50" t="s">
        <v>84</v>
      </c>
      <c r="AJ1020" s="38">
        <f>IF(AN1020=0,I1020,0)</f>
        <v>0</v>
      </c>
      <c r="AK1020" s="38">
        <f>IF(AN1020=12,I1020,0)</f>
        <v>0</v>
      </c>
      <c r="AL1020" s="38">
        <f>IF(AN1020=21,I1020,0)</f>
        <v>0</v>
      </c>
      <c r="AN1020" s="38">
        <v>21</v>
      </c>
      <c r="AO1020" s="38">
        <f>H1020*0</f>
        <v>0</v>
      </c>
      <c r="AP1020" s="38">
        <f>H1020*(1-0)</f>
        <v>0</v>
      </c>
      <c r="AQ1020" s="72" t="s">
        <v>132</v>
      </c>
      <c r="AV1020" s="38">
        <f>AW1020+AX1020</f>
        <v>0</v>
      </c>
      <c r="AW1020" s="38">
        <f>G1020*AO1020</f>
        <v>0</v>
      </c>
      <c r="AX1020" s="38">
        <f>G1020*AP1020</f>
        <v>0</v>
      </c>
      <c r="AY1020" s="72" t="s">
        <v>1707</v>
      </c>
      <c r="AZ1020" s="72" t="s">
        <v>1657</v>
      </c>
      <c r="BA1020" s="50" t="s">
        <v>139</v>
      </c>
      <c r="BB1020" s="73">
        <v>100007</v>
      </c>
      <c r="BC1020" s="38">
        <f>AW1020+AX1020</f>
        <v>0</v>
      </c>
      <c r="BD1020" s="38">
        <f>H1020/(100-BE1020)*100</f>
        <v>0</v>
      </c>
      <c r="BE1020" s="38">
        <v>0</v>
      </c>
      <c r="BF1020" s="38">
        <f>K1020</f>
        <v>1.2100000000000002</v>
      </c>
      <c r="BH1020" s="38">
        <f>G1020*AO1020</f>
        <v>0</v>
      </c>
      <c r="BI1020" s="38">
        <f>G1020*AP1020</f>
        <v>0</v>
      </c>
      <c r="BJ1020" s="38">
        <f>G1020*H1020</f>
        <v>0</v>
      </c>
      <c r="BK1020" s="38"/>
      <c r="BL1020" s="38">
        <v>96</v>
      </c>
      <c r="BW1020" s="38">
        <v>21</v>
      </c>
    </row>
    <row r="1021" spans="1:12" ht="13.5" customHeight="1">
      <c r="A1021" s="74"/>
      <c r="D1021" s="194" t="s">
        <v>153</v>
      </c>
      <c r="E1021" s="195"/>
      <c r="F1021" s="195"/>
      <c r="G1021" s="195"/>
      <c r="H1021" s="196"/>
      <c r="I1021" s="195"/>
      <c r="J1021" s="195"/>
      <c r="K1021" s="195"/>
      <c r="L1021" s="197"/>
    </row>
    <row r="1022" spans="1:12" ht="15">
      <c r="A1022" s="74"/>
      <c r="D1022" s="75" t="s">
        <v>1816</v>
      </c>
      <c r="E1022" s="75" t="s">
        <v>1817</v>
      </c>
      <c r="G1022" s="76">
        <v>0.55</v>
      </c>
      <c r="L1022" s="77"/>
    </row>
    <row r="1023" spans="1:75" ht="13.5" customHeight="1">
      <c r="A1023" s="1" t="s">
        <v>1818</v>
      </c>
      <c r="B1023" s="2" t="s">
        <v>84</v>
      </c>
      <c r="C1023" s="2" t="s">
        <v>1819</v>
      </c>
      <c r="D1023" s="108" t="s">
        <v>1820</v>
      </c>
      <c r="E1023" s="103"/>
      <c r="F1023" s="2" t="s">
        <v>135</v>
      </c>
      <c r="G1023" s="38">
        <v>1.34</v>
      </c>
      <c r="H1023" s="70">
        <v>0</v>
      </c>
      <c r="I1023" s="38">
        <f>G1023*H1023</f>
        <v>0</v>
      </c>
      <c r="J1023" s="38">
        <v>0</v>
      </c>
      <c r="K1023" s="38">
        <f>G1023*J1023</f>
        <v>0</v>
      </c>
      <c r="L1023" s="71" t="s">
        <v>136</v>
      </c>
      <c r="Z1023" s="38">
        <f>IF(AQ1023="5",BJ1023,0)</f>
        <v>0</v>
      </c>
      <c r="AB1023" s="38">
        <f>IF(AQ1023="1",BH1023,0)</f>
        <v>0</v>
      </c>
      <c r="AC1023" s="38">
        <f>IF(AQ1023="1",BI1023,0)</f>
        <v>0</v>
      </c>
      <c r="AD1023" s="38">
        <f>IF(AQ1023="7",BH1023,0)</f>
        <v>0</v>
      </c>
      <c r="AE1023" s="38">
        <f>IF(AQ1023="7",BI1023,0)</f>
        <v>0</v>
      </c>
      <c r="AF1023" s="38">
        <f>IF(AQ1023="2",BH1023,0)</f>
        <v>0</v>
      </c>
      <c r="AG1023" s="38">
        <f>IF(AQ1023="2",BI1023,0)</f>
        <v>0</v>
      </c>
      <c r="AH1023" s="38">
        <f>IF(AQ1023="0",BJ1023,0)</f>
        <v>0</v>
      </c>
      <c r="AI1023" s="50" t="s">
        <v>84</v>
      </c>
      <c r="AJ1023" s="38">
        <f>IF(AN1023=0,I1023,0)</f>
        <v>0</v>
      </c>
      <c r="AK1023" s="38">
        <f>IF(AN1023=12,I1023,0)</f>
        <v>0</v>
      </c>
      <c r="AL1023" s="38">
        <f>IF(AN1023=21,I1023,0)</f>
        <v>0</v>
      </c>
      <c r="AN1023" s="38">
        <v>21</v>
      </c>
      <c r="AO1023" s="38">
        <f>H1023*0</f>
        <v>0</v>
      </c>
      <c r="AP1023" s="38">
        <f>H1023*(1-0)</f>
        <v>0</v>
      </c>
      <c r="AQ1023" s="72" t="s">
        <v>132</v>
      </c>
      <c r="AV1023" s="38">
        <f>AW1023+AX1023</f>
        <v>0</v>
      </c>
      <c r="AW1023" s="38">
        <f>G1023*AO1023</f>
        <v>0</v>
      </c>
      <c r="AX1023" s="38">
        <f>G1023*AP1023</f>
        <v>0</v>
      </c>
      <c r="AY1023" s="72" t="s">
        <v>1707</v>
      </c>
      <c r="AZ1023" s="72" t="s">
        <v>1657</v>
      </c>
      <c r="BA1023" s="50" t="s">
        <v>139</v>
      </c>
      <c r="BB1023" s="73">
        <v>100007</v>
      </c>
      <c r="BC1023" s="38">
        <f>AW1023+AX1023</f>
        <v>0</v>
      </c>
      <c r="BD1023" s="38">
        <f>H1023/(100-BE1023)*100</f>
        <v>0</v>
      </c>
      <c r="BE1023" s="38">
        <v>0</v>
      </c>
      <c r="BF1023" s="38">
        <f>K1023</f>
        <v>0</v>
      </c>
      <c r="BH1023" s="38">
        <f>G1023*AO1023</f>
        <v>0</v>
      </c>
      <c r="BI1023" s="38">
        <f>G1023*AP1023</f>
        <v>0</v>
      </c>
      <c r="BJ1023" s="38">
        <f>G1023*H1023</f>
        <v>0</v>
      </c>
      <c r="BK1023" s="38"/>
      <c r="BL1023" s="38">
        <v>96</v>
      </c>
      <c r="BW1023" s="38">
        <v>21</v>
      </c>
    </row>
    <row r="1024" spans="1:12" ht="13.5" customHeight="1">
      <c r="A1024" s="74"/>
      <c r="D1024" s="194" t="s">
        <v>153</v>
      </c>
      <c r="E1024" s="195"/>
      <c r="F1024" s="195"/>
      <c r="G1024" s="195"/>
      <c r="H1024" s="196"/>
      <c r="I1024" s="195"/>
      <c r="J1024" s="195"/>
      <c r="K1024" s="195"/>
      <c r="L1024" s="197"/>
    </row>
    <row r="1025" spans="1:12" ht="15">
      <c r="A1025" s="74"/>
      <c r="D1025" s="75" t="s">
        <v>708</v>
      </c>
      <c r="E1025" s="75" t="s">
        <v>1821</v>
      </c>
      <c r="G1025" s="76">
        <v>0.5</v>
      </c>
      <c r="L1025" s="77"/>
    </row>
    <row r="1026" spans="1:12" ht="15">
      <c r="A1026" s="74"/>
      <c r="D1026" s="75" t="s">
        <v>1816</v>
      </c>
      <c r="E1026" s="75" t="s">
        <v>1817</v>
      </c>
      <c r="G1026" s="76">
        <v>0.55</v>
      </c>
      <c r="L1026" s="77"/>
    </row>
    <row r="1027" spans="1:12" ht="15">
      <c r="A1027" s="74"/>
      <c r="D1027" s="75" t="s">
        <v>1802</v>
      </c>
      <c r="E1027" s="75" t="s">
        <v>979</v>
      </c>
      <c r="G1027" s="76">
        <v>0.29</v>
      </c>
      <c r="L1027" s="77"/>
    </row>
    <row r="1028" spans="1:75" ht="13.5" customHeight="1">
      <c r="A1028" s="1" t="s">
        <v>1822</v>
      </c>
      <c r="B1028" s="2" t="s">
        <v>84</v>
      </c>
      <c r="C1028" s="2" t="s">
        <v>1823</v>
      </c>
      <c r="D1028" s="108" t="s">
        <v>1824</v>
      </c>
      <c r="E1028" s="103"/>
      <c r="F1028" s="2" t="s">
        <v>263</v>
      </c>
      <c r="G1028" s="38">
        <v>38.2</v>
      </c>
      <c r="H1028" s="70">
        <v>0</v>
      </c>
      <c r="I1028" s="38">
        <f>G1028*H1028</f>
        <v>0</v>
      </c>
      <c r="J1028" s="38">
        <v>0.0126</v>
      </c>
      <c r="K1028" s="38">
        <f>G1028*J1028</f>
        <v>0.48132</v>
      </c>
      <c r="L1028" s="71" t="s">
        <v>136</v>
      </c>
      <c r="Z1028" s="38">
        <f>IF(AQ1028="5",BJ1028,0)</f>
        <v>0</v>
      </c>
      <c r="AB1028" s="38">
        <f>IF(AQ1028="1",BH1028,0)</f>
        <v>0</v>
      </c>
      <c r="AC1028" s="38">
        <f>IF(AQ1028="1",BI1028,0)</f>
        <v>0</v>
      </c>
      <c r="AD1028" s="38">
        <f>IF(AQ1028="7",BH1028,0)</f>
        <v>0</v>
      </c>
      <c r="AE1028" s="38">
        <f>IF(AQ1028="7",BI1028,0)</f>
        <v>0</v>
      </c>
      <c r="AF1028" s="38">
        <f>IF(AQ1028="2",BH1028,0)</f>
        <v>0</v>
      </c>
      <c r="AG1028" s="38">
        <f>IF(AQ1028="2",BI1028,0)</f>
        <v>0</v>
      </c>
      <c r="AH1028" s="38">
        <f>IF(AQ1028="0",BJ1028,0)</f>
        <v>0</v>
      </c>
      <c r="AI1028" s="50" t="s">
        <v>84</v>
      </c>
      <c r="AJ1028" s="38">
        <f>IF(AN1028=0,I1028,0)</f>
        <v>0</v>
      </c>
      <c r="AK1028" s="38">
        <f>IF(AN1028=12,I1028,0)</f>
        <v>0</v>
      </c>
      <c r="AL1028" s="38">
        <f>IF(AN1028=21,I1028,0)</f>
        <v>0</v>
      </c>
      <c r="AN1028" s="38">
        <v>21</v>
      </c>
      <c r="AO1028" s="38">
        <f>H1028*0</f>
        <v>0</v>
      </c>
      <c r="AP1028" s="38">
        <f>H1028*(1-0)</f>
        <v>0</v>
      </c>
      <c r="AQ1028" s="72" t="s">
        <v>132</v>
      </c>
      <c r="AV1028" s="38">
        <f>AW1028+AX1028</f>
        <v>0</v>
      </c>
      <c r="AW1028" s="38">
        <f>G1028*AO1028</f>
        <v>0</v>
      </c>
      <c r="AX1028" s="38">
        <f>G1028*AP1028</f>
        <v>0</v>
      </c>
      <c r="AY1028" s="72" t="s">
        <v>1707</v>
      </c>
      <c r="AZ1028" s="72" t="s">
        <v>1657</v>
      </c>
      <c r="BA1028" s="50" t="s">
        <v>139</v>
      </c>
      <c r="BB1028" s="73">
        <v>100007</v>
      </c>
      <c r="BC1028" s="38">
        <f>AW1028+AX1028</f>
        <v>0</v>
      </c>
      <c r="BD1028" s="38">
        <f>H1028/(100-BE1028)*100</f>
        <v>0</v>
      </c>
      <c r="BE1028" s="38">
        <v>0</v>
      </c>
      <c r="BF1028" s="38">
        <f>K1028</f>
        <v>0.48132</v>
      </c>
      <c r="BH1028" s="38">
        <f>G1028*AO1028</f>
        <v>0</v>
      </c>
      <c r="BI1028" s="38">
        <f>G1028*AP1028</f>
        <v>0</v>
      </c>
      <c r="BJ1028" s="38">
        <f>G1028*H1028</f>
        <v>0</v>
      </c>
      <c r="BK1028" s="38"/>
      <c r="BL1028" s="38">
        <v>96</v>
      </c>
      <c r="BW1028" s="38">
        <v>21</v>
      </c>
    </row>
    <row r="1029" spans="1:12" ht="13.5" customHeight="1">
      <c r="A1029" s="74"/>
      <c r="D1029" s="194" t="s">
        <v>1825</v>
      </c>
      <c r="E1029" s="195"/>
      <c r="F1029" s="195"/>
      <c r="G1029" s="195"/>
      <c r="H1029" s="196"/>
      <c r="I1029" s="195"/>
      <c r="J1029" s="195"/>
      <c r="K1029" s="195"/>
      <c r="L1029" s="197"/>
    </row>
    <row r="1030" spans="1:12" ht="15">
      <c r="A1030" s="74"/>
      <c r="D1030" s="75" t="s">
        <v>1408</v>
      </c>
      <c r="E1030" s="75" t="s">
        <v>1826</v>
      </c>
      <c r="G1030" s="76">
        <v>38.2</v>
      </c>
      <c r="L1030" s="77"/>
    </row>
    <row r="1031" spans="1:47" ht="15">
      <c r="A1031" s="65" t="s">
        <v>4</v>
      </c>
      <c r="B1031" s="66" t="s">
        <v>84</v>
      </c>
      <c r="C1031" s="66" t="s">
        <v>729</v>
      </c>
      <c r="D1031" s="192" t="s">
        <v>1827</v>
      </c>
      <c r="E1031" s="193"/>
      <c r="F1031" s="67" t="s">
        <v>78</v>
      </c>
      <c r="G1031" s="67" t="s">
        <v>78</v>
      </c>
      <c r="H1031" s="68" t="s">
        <v>78</v>
      </c>
      <c r="I1031" s="44">
        <f>SUM(I1032:I1096)</f>
        <v>0</v>
      </c>
      <c r="J1031" s="50" t="s">
        <v>4</v>
      </c>
      <c r="K1031" s="44">
        <f>SUM(K1032:K1096)</f>
        <v>34.3617124</v>
      </c>
      <c r="L1031" s="69" t="s">
        <v>4</v>
      </c>
      <c r="AI1031" s="50" t="s">
        <v>84</v>
      </c>
      <c r="AS1031" s="44">
        <f>SUM(AJ1032:AJ1096)</f>
        <v>0</v>
      </c>
      <c r="AT1031" s="44">
        <f>SUM(AK1032:AK1096)</f>
        <v>0</v>
      </c>
      <c r="AU1031" s="44">
        <f>SUM(AL1032:AL1096)</f>
        <v>0</v>
      </c>
    </row>
    <row r="1032" spans="1:75" ht="13.5" customHeight="1">
      <c r="A1032" s="1" t="s">
        <v>1828</v>
      </c>
      <c r="B1032" s="2" t="s">
        <v>84</v>
      </c>
      <c r="C1032" s="2" t="s">
        <v>1829</v>
      </c>
      <c r="D1032" s="108" t="s">
        <v>1830</v>
      </c>
      <c r="E1032" s="103"/>
      <c r="F1032" s="2" t="s">
        <v>199</v>
      </c>
      <c r="G1032" s="38">
        <v>4</v>
      </c>
      <c r="H1032" s="70">
        <v>0</v>
      </c>
      <c r="I1032" s="38">
        <f>G1032*H1032</f>
        <v>0</v>
      </c>
      <c r="J1032" s="38">
        <v>0.15033</v>
      </c>
      <c r="K1032" s="38">
        <f>G1032*J1032</f>
        <v>0.60132</v>
      </c>
      <c r="L1032" s="71" t="s">
        <v>136</v>
      </c>
      <c r="Z1032" s="38">
        <f>IF(AQ1032="5",BJ1032,0)</f>
        <v>0</v>
      </c>
      <c r="AB1032" s="38">
        <f>IF(AQ1032="1",BH1032,0)</f>
        <v>0</v>
      </c>
      <c r="AC1032" s="38">
        <f>IF(AQ1032="1",BI1032,0)</f>
        <v>0</v>
      </c>
      <c r="AD1032" s="38">
        <f>IF(AQ1032="7",BH1032,0)</f>
        <v>0</v>
      </c>
      <c r="AE1032" s="38">
        <f>IF(AQ1032="7",BI1032,0)</f>
        <v>0</v>
      </c>
      <c r="AF1032" s="38">
        <f>IF(AQ1032="2",BH1032,0)</f>
        <v>0</v>
      </c>
      <c r="AG1032" s="38">
        <f>IF(AQ1032="2",BI1032,0)</f>
        <v>0</v>
      </c>
      <c r="AH1032" s="38">
        <f>IF(AQ1032="0",BJ1032,0)</f>
        <v>0</v>
      </c>
      <c r="AI1032" s="50" t="s">
        <v>84</v>
      </c>
      <c r="AJ1032" s="38">
        <f>IF(AN1032=0,I1032,0)</f>
        <v>0</v>
      </c>
      <c r="AK1032" s="38">
        <f>IF(AN1032=12,I1032,0)</f>
        <v>0</v>
      </c>
      <c r="AL1032" s="38">
        <f>IF(AN1032=21,I1032,0)</f>
        <v>0</v>
      </c>
      <c r="AN1032" s="38">
        <v>21</v>
      </c>
      <c r="AO1032" s="38">
        <f>H1032*0.039331984</f>
        <v>0</v>
      </c>
      <c r="AP1032" s="38">
        <f>H1032*(1-0.039331984)</f>
        <v>0</v>
      </c>
      <c r="AQ1032" s="72" t="s">
        <v>132</v>
      </c>
      <c r="AV1032" s="38">
        <f>AW1032+AX1032</f>
        <v>0</v>
      </c>
      <c r="AW1032" s="38">
        <f>G1032*AO1032</f>
        <v>0</v>
      </c>
      <c r="AX1032" s="38">
        <f>G1032*AP1032</f>
        <v>0</v>
      </c>
      <c r="AY1032" s="72" t="s">
        <v>1831</v>
      </c>
      <c r="AZ1032" s="72" t="s">
        <v>1657</v>
      </c>
      <c r="BA1032" s="50" t="s">
        <v>139</v>
      </c>
      <c r="BB1032" s="73">
        <v>100010</v>
      </c>
      <c r="BC1032" s="38">
        <f>AW1032+AX1032</f>
        <v>0</v>
      </c>
      <c r="BD1032" s="38">
        <f>H1032/(100-BE1032)*100</f>
        <v>0</v>
      </c>
      <c r="BE1032" s="38">
        <v>0</v>
      </c>
      <c r="BF1032" s="38">
        <f>K1032</f>
        <v>0.60132</v>
      </c>
      <c r="BH1032" s="38">
        <f>G1032*AO1032</f>
        <v>0</v>
      </c>
      <c r="BI1032" s="38">
        <f>G1032*AP1032</f>
        <v>0</v>
      </c>
      <c r="BJ1032" s="38">
        <f>G1032*H1032</f>
        <v>0</v>
      </c>
      <c r="BK1032" s="38"/>
      <c r="BL1032" s="38">
        <v>97</v>
      </c>
      <c r="BW1032" s="38">
        <v>21</v>
      </c>
    </row>
    <row r="1033" spans="1:12" ht="15">
      <c r="A1033" s="74"/>
      <c r="D1033" s="75" t="s">
        <v>157</v>
      </c>
      <c r="E1033" s="75" t="s">
        <v>1832</v>
      </c>
      <c r="G1033" s="76">
        <v>4</v>
      </c>
      <c r="L1033" s="77"/>
    </row>
    <row r="1034" spans="1:75" ht="13.5" customHeight="1">
      <c r="A1034" s="1" t="s">
        <v>1833</v>
      </c>
      <c r="B1034" s="2" t="s">
        <v>84</v>
      </c>
      <c r="C1034" s="2" t="s">
        <v>1834</v>
      </c>
      <c r="D1034" s="108" t="s">
        <v>1835</v>
      </c>
      <c r="E1034" s="103"/>
      <c r="F1034" s="2" t="s">
        <v>135</v>
      </c>
      <c r="G1034" s="38">
        <v>1.08</v>
      </c>
      <c r="H1034" s="70">
        <v>0</v>
      </c>
      <c r="I1034" s="38">
        <f>G1034*H1034</f>
        <v>0</v>
      </c>
      <c r="J1034" s="38">
        <v>1.80133</v>
      </c>
      <c r="K1034" s="38">
        <f>G1034*J1034</f>
        <v>1.9454364000000002</v>
      </c>
      <c r="L1034" s="71" t="s">
        <v>136</v>
      </c>
      <c r="Z1034" s="38">
        <f>IF(AQ1034="5",BJ1034,0)</f>
        <v>0</v>
      </c>
      <c r="AB1034" s="38">
        <f>IF(AQ1034="1",BH1034,0)</f>
        <v>0</v>
      </c>
      <c r="AC1034" s="38">
        <f>IF(AQ1034="1",BI1034,0)</f>
        <v>0</v>
      </c>
      <c r="AD1034" s="38">
        <f>IF(AQ1034="7",BH1034,0)</f>
        <v>0</v>
      </c>
      <c r="AE1034" s="38">
        <f>IF(AQ1034="7",BI1034,0)</f>
        <v>0</v>
      </c>
      <c r="AF1034" s="38">
        <f>IF(AQ1034="2",BH1034,0)</f>
        <v>0</v>
      </c>
      <c r="AG1034" s="38">
        <f>IF(AQ1034="2",BI1034,0)</f>
        <v>0</v>
      </c>
      <c r="AH1034" s="38">
        <f>IF(AQ1034="0",BJ1034,0)</f>
        <v>0</v>
      </c>
      <c r="AI1034" s="50" t="s">
        <v>84</v>
      </c>
      <c r="AJ1034" s="38">
        <f>IF(AN1034=0,I1034,0)</f>
        <v>0</v>
      </c>
      <c r="AK1034" s="38">
        <f>IF(AN1034=12,I1034,0)</f>
        <v>0</v>
      </c>
      <c r="AL1034" s="38">
        <f>IF(AN1034=21,I1034,0)</f>
        <v>0</v>
      </c>
      <c r="AN1034" s="38">
        <v>21</v>
      </c>
      <c r="AO1034" s="38">
        <f>H1034*0.012909505</f>
        <v>0</v>
      </c>
      <c r="AP1034" s="38">
        <f>H1034*(1-0.012909505)</f>
        <v>0</v>
      </c>
      <c r="AQ1034" s="72" t="s">
        <v>132</v>
      </c>
      <c r="AV1034" s="38">
        <f>AW1034+AX1034</f>
        <v>0</v>
      </c>
      <c r="AW1034" s="38">
        <f>G1034*AO1034</f>
        <v>0</v>
      </c>
      <c r="AX1034" s="38">
        <f>G1034*AP1034</f>
        <v>0</v>
      </c>
      <c r="AY1034" s="72" t="s">
        <v>1831</v>
      </c>
      <c r="AZ1034" s="72" t="s">
        <v>1657</v>
      </c>
      <c r="BA1034" s="50" t="s">
        <v>139</v>
      </c>
      <c r="BB1034" s="73">
        <v>100010</v>
      </c>
      <c r="BC1034" s="38">
        <f>AW1034+AX1034</f>
        <v>0</v>
      </c>
      <c r="BD1034" s="38">
        <f>H1034/(100-BE1034)*100</f>
        <v>0</v>
      </c>
      <c r="BE1034" s="38">
        <v>0</v>
      </c>
      <c r="BF1034" s="38">
        <f>K1034</f>
        <v>1.9454364000000002</v>
      </c>
      <c r="BH1034" s="38">
        <f>G1034*AO1034</f>
        <v>0</v>
      </c>
      <c r="BI1034" s="38">
        <f>G1034*AP1034</f>
        <v>0</v>
      </c>
      <c r="BJ1034" s="38">
        <f>G1034*H1034</f>
        <v>0</v>
      </c>
      <c r="BK1034" s="38"/>
      <c r="BL1034" s="38">
        <v>97</v>
      </c>
      <c r="BW1034" s="38">
        <v>21</v>
      </c>
    </row>
    <row r="1035" spans="1:12" ht="15">
      <c r="A1035" s="74"/>
      <c r="D1035" s="75" t="s">
        <v>1836</v>
      </c>
      <c r="E1035" s="75" t="s">
        <v>1837</v>
      </c>
      <c r="G1035" s="76">
        <v>0.71</v>
      </c>
      <c r="L1035" s="77"/>
    </row>
    <row r="1036" spans="1:12" ht="15">
      <c r="A1036" s="74"/>
      <c r="D1036" s="75" t="s">
        <v>1838</v>
      </c>
      <c r="E1036" s="75" t="s">
        <v>690</v>
      </c>
      <c r="G1036" s="76">
        <v>0.37</v>
      </c>
      <c r="L1036" s="77"/>
    </row>
    <row r="1037" spans="1:75" ht="13.5" customHeight="1">
      <c r="A1037" s="1" t="s">
        <v>1839</v>
      </c>
      <c r="B1037" s="2" t="s">
        <v>84</v>
      </c>
      <c r="C1037" s="2" t="s">
        <v>1840</v>
      </c>
      <c r="D1037" s="108" t="s">
        <v>1841</v>
      </c>
      <c r="E1037" s="103"/>
      <c r="F1037" s="2" t="s">
        <v>135</v>
      </c>
      <c r="G1037" s="38">
        <v>0.38</v>
      </c>
      <c r="H1037" s="70">
        <v>0</v>
      </c>
      <c r="I1037" s="38">
        <f>G1037*H1037</f>
        <v>0</v>
      </c>
      <c r="J1037" s="38">
        <v>1.80133</v>
      </c>
      <c r="K1037" s="38">
        <f>G1037*J1037</f>
        <v>0.6845054</v>
      </c>
      <c r="L1037" s="71" t="s">
        <v>136</v>
      </c>
      <c r="Z1037" s="38">
        <f>IF(AQ1037="5",BJ1037,0)</f>
        <v>0</v>
      </c>
      <c r="AB1037" s="38">
        <f>IF(AQ1037="1",BH1037,0)</f>
        <v>0</v>
      </c>
      <c r="AC1037" s="38">
        <f>IF(AQ1037="1",BI1037,0)</f>
        <v>0</v>
      </c>
      <c r="AD1037" s="38">
        <f>IF(AQ1037="7",BH1037,0)</f>
        <v>0</v>
      </c>
      <c r="AE1037" s="38">
        <f>IF(AQ1037="7",BI1037,0)</f>
        <v>0</v>
      </c>
      <c r="AF1037" s="38">
        <f>IF(AQ1037="2",BH1037,0)</f>
        <v>0</v>
      </c>
      <c r="AG1037" s="38">
        <f>IF(AQ1037="2",BI1037,0)</f>
        <v>0</v>
      </c>
      <c r="AH1037" s="38">
        <f>IF(AQ1037="0",BJ1037,0)</f>
        <v>0</v>
      </c>
      <c r="AI1037" s="50" t="s">
        <v>84</v>
      </c>
      <c r="AJ1037" s="38">
        <f>IF(AN1037=0,I1037,0)</f>
        <v>0</v>
      </c>
      <c r="AK1037" s="38">
        <f>IF(AN1037=12,I1037,0)</f>
        <v>0</v>
      </c>
      <c r="AL1037" s="38">
        <f>IF(AN1037=21,I1037,0)</f>
        <v>0</v>
      </c>
      <c r="AN1037" s="38">
        <v>21</v>
      </c>
      <c r="AO1037" s="38">
        <f>H1037*0.011879968</f>
        <v>0</v>
      </c>
      <c r="AP1037" s="38">
        <f>H1037*(1-0.011879968)</f>
        <v>0</v>
      </c>
      <c r="AQ1037" s="72" t="s">
        <v>132</v>
      </c>
      <c r="AV1037" s="38">
        <f>AW1037+AX1037</f>
        <v>0</v>
      </c>
      <c r="AW1037" s="38">
        <f>G1037*AO1037</f>
        <v>0</v>
      </c>
      <c r="AX1037" s="38">
        <f>G1037*AP1037</f>
        <v>0</v>
      </c>
      <c r="AY1037" s="72" t="s">
        <v>1831</v>
      </c>
      <c r="AZ1037" s="72" t="s">
        <v>1657</v>
      </c>
      <c r="BA1037" s="50" t="s">
        <v>139</v>
      </c>
      <c r="BB1037" s="73">
        <v>100010</v>
      </c>
      <c r="BC1037" s="38">
        <f>AW1037+AX1037</f>
        <v>0</v>
      </c>
      <c r="BD1037" s="38">
        <f>H1037/(100-BE1037)*100</f>
        <v>0</v>
      </c>
      <c r="BE1037" s="38">
        <v>0</v>
      </c>
      <c r="BF1037" s="38">
        <f>K1037</f>
        <v>0.6845054</v>
      </c>
      <c r="BH1037" s="38">
        <f>G1037*AO1037</f>
        <v>0</v>
      </c>
      <c r="BI1037" s="38">
        <f>G1037*AP1037</f>
        <v>0</v>
      </c>
      <c r="BJ1037" s="38">
        <f>G1037*H1037</f>
        <v>0</v>
      </c>
      <c r="BK1037" s="38"/>
      <c r="BL1037" s="38">
        <v>97</v>
      </c>
      <c r="BW1037" s="38">
        <v>21</v>
      </c>
    </row>
    <row r="1038" spans="1:12" ht="15">
      <c r="A1038" s="74"/>
      <c r="D1038" s="75" t="s">
        <v>1842</v>
      </c>
      <c r="E1038" s="75" t="s">
        <v>1843</v>
      </c>
      <c r="G1038" s="76">
        <v>0.38</v>
      </c>
      <c r="L1038" s="77"/>
    </row>
    <row r="1039" spans="1:75" ht="13.5" customHeight="1">
      <c r="A1039" s="1" t="s">
        <v>1844</v>
      </c>
      <c r="B1039" s="2" t="s">
        <v>84</v>
      </c>
      <c r="C1039" s="2" t="s">
        <v>1845</v>
      </c>
      <c r="D1039" s="108" t="s">
        <v>1846</v>
      </c>
      <c r="E1039" s="103"/>
      <c r="F1039" s="2" t="s">
        <v>135</v>
      </c>
      <c r="G1039" s="38">
        <v>9.24</v>
      </c>
      <c r="H1039" s="70">
        <v>0</v>
      </c>
      <c r="I1039" s="38">
        <f>G1039*H1039</f>
        <v>0</v>
      </c>
      <c r="J1039" s="38">
        <v>1.80133</v>
      </c>
      <c r="K1039" s="38">
        <f>G1039*J1039</f>
        <v>16.644289200000003</v>
      </c>
      <c r="L1039" s="71" t="s">
        <v>136</v>
      </c>
      <c r="Z1039" s="38">
        <f>IF(AQ1039="5",BJ1039,0)</f>
        <v>0</v>
      </c>
      <c r="AB1039" s="38">
        <f>IF(AQ1039="1",BH1039,0)</f>
        <v>0</v>
      </c>
      <c r="AC1039" s="38">
        <f>IF(AQ1039="1",BI1039,0)</f>
        <v>0</v>
      </c>
      <c r="AD1039" s="38">
        <f>IF(AQ1039="7",BH1039,0)</f>
        <v>0</v>
      </c>
      <c r="AE1039" s="38">
        <f>IF(AQ1039="7",BI1039,0)</f>
        <v>0</v>
      </c>
      <c r="AF1039" s="38">
        <f>IF(AQ1039="2",BH1039,0)</f>
        <v>0</v>
      </c>
      <c r="AG1039" s="38">
        <f>IF(AQ1039="2",BI1039,0)</f>
        <v>0</v>
      </c>
      <c r="AH1039" s="38">
        <f>IF(AQ1039="0",BJ1039,0)</f>
        <v>0</v>
      </c>
      <c r="AI1039" s="50" t="s">
        <v>84</v>
      </c>
      <c r="AJ1039" s="38">
        <f>IF(AN1039=0,I1039,0)</f>
        <v>0</v>
      </c>
      <c r="AK1039" s="38">
        <f>IF(AN1039=12,I1039,0)</f>
        <v>0</v>
      </c>
      <c r="AL1039" s="38">
        <f>IF(AN1039=21,I1039,0)</f>
        <v>0</v>
      </c>
      <c r="AN1039" s="38">
        <v>21</v>
      </c>
      <c r="AO1039" s="38">
        <f>H1039*0.018287059</f>
        <v>0</v>
      </c>
      <c r="AP1039" s="38">
        <f>H1039*(1-0.018287059)</f>
        <v>0</v>
      </c>
      <c r="AQ1039" s="72" t="s">
        <v>132</v>
      </c>
      <c r="AV1039" s="38">
        <f>AW1039+AX1039</f>
        <v>0</v>
      </c>
      <c r="AW1039" s="38">
        <f>G1039*AO1039</f>
        <v>0</v>
      </c>
      <c r="AX1039" s="38">
        <f>G1039*AP1039</f>
        <v>0</v>
      </c>
      <c r="AY1039" s="72" t="s">
        <v>1831</v>
      </c>
      <c r="AZ1039" s="72" t="s">
        <v>1657</v>
      </c>
      <c r="BA1039" s="50" t="s">
        <v>139</v>
      </c>
      <c r="BB1039" s="73">
        <v>100010</v>
      </c>
      <c r="BC1039" s="38">
        <f>AW1039+AX1039</f>
        <v>0</v>
      </c>
      <c r="BD1039" s="38">
        <f>H1039/(100-BE1039)*100</f>
        <v>0</v>
      </c>
      <c r="BE1039" s="38">
        <v>0</v>
      </c>
      <c r="BF1039" s="38">
        <f>K1039</f>
        <v>16.644289200000003</v>
      </c>
      <c r="BH1039" s="38">
        <f>G1039*AO1039</f>
        <v>0</v>
      </c>
      <c r="BI1039" s="38">
        <f>G1039*AP1039</f>
        <v>0</v>
      </c>
      <c r="BJ1039" s="38">
        <f>G1039*H1039</f>
        <v>0</v>
      </c>
      <c r="BK1039" s="38"/>
      <c r="BL1039" s="38">
        <v>97</v>
      </c>
      <c r="BW1039" s="38">
        <v>21</v>
      </c>
    </row>
    <row r="1040" spans="1:12" ht="15">
      <c r="A1040" s="74"/>
      <c r="D1040" s="75" t="s">
        <v>1847</v>
      </c>
      <c r="E1040" s="75" t="s">
        <v>1848</v>
      </c>
      <c r="G1040" s="76">
        <v>1.96</v>
      </c>
      <c r="L1040" s="77"/>
    </row>
    <row r="1041" spans="1:12" ht="15">
      <c r="A1041" s="74"/>
      <c r="D1041" s="75" t="s">
        <v>1849</v>
      </c>
      <c r="E1041" s="75" t="s">
        <v>1850</v>
      </c>
      <c r="G1041" s="76">
        <v>1</v>
      </c>
      <c r="L1041" s="77"/>
    </row>
    <row r="1042" spans="1:12" ht="15">
      <c r="A1042" s="74"/>
      <c r="D1042" s="75" t="s">
        <v>1851</v>
      </c>
      <c r="E1042" s="75" t="s">
        <v>142</v>
      </c>
      <c r="G1042" s="76">
        <v>2.4</v>
      </c>
      <c r="L1042" s="77"/>
    </row>
    <row r="1043" spans="1:12" ht="15">
      <c r="A1043" s="74"/>
      <c r="D1043" s="75" t="s">
        <v>1852</v>
      </c>
      <c r="E1043" s="75" t="s">
        <v>1853</v>
      </c>
      <c r="G1043" s="76">
        <v>1.94</v>
      </c>
      <c r="L1043" s="77"/>
    </row>
    <row r="1044" spans="1:12" ht="15">
      <c r="A1044" s="74"/>
      <c r="D1044" s="75" t="s">
        <v>1852</v>
      </c>
      <c r="E1044" s="75" t="s">
        <v>1854</v>
      </c>
      <c r="G1044" s="76">
        <v>1.94</v>
      </c>
      <c r="L1044" s="77"/>
    </row>
    <row r="1045" spans="1:75" ht="13.5" customHeight="1">
      <c r="A1045" s="1" t="s">
        <v>1855</v>
      </c>
      <c r="B1045" s="2" t="s">
        <v>84</v>
      </c>
      <c r="C1045" s="2" t="s">
        <v>1856</v>
      </c>
      <c r="D1045" s="108" t="s">
        <v>1857</v>
      </c>
      <c r="E1045" s="103"/>
      <c r="F1045" s="2" t="s">
        <v>199</v>
      </c>
      <c r="G1045" s="38">
        <v>4</v>
      </c>
      <c r="H1045" s="70">
        <v>0</v>
      </c>
      <c r="I1045" s="38">
        <f>G1045*H1045</f>
        <v>0</v>
      </c>
      <c r="J1045" s="38">
        <v>0.03149</v>
      </c>
      <c r="K1045" s="38">
        <f>G1045*J1045</f>
        <v>0.12596</v>
      </c>
      <c r="L1045" s="71" t="s">
        <v>136</v>
      </c>
      <c r="Z1045" s="38">
        <f>IF(AQ1045="5",BJ1045,0)</f>
        <v>0</v>
      </c>
      <c r="AB1045" s="38">
        <f>IF(AQ1045="1",BH1045,0)</f>
        <v>0</v>
      </c>
      <c r="AC1045" s="38">
        <f>IF(AQ1045="1",BI1045,0)</f>
        <v>0</v>
      </c>
      <c r="AD1045" s="38">
        <f>IF(AQ1045="7",BH1045,0)</f>
        <v>0</v>
      </c>
      <c r="AE1045" s="38">
        <f>IF(AQ1045="7",BI1045,0)</f>
        <v>0</v>
      </c>
      <c r="AF1045" s="38">
        <f>IF(AQ1045="2",BH1045,0)</f>
        <v>0</v>
      </c>
      <c r="AG1045" s="38">
        <f>IF(AQ1045="2",BI1045,0)</f>
        <v>0</v>
      </c>
      <c r="AH1045" s="38">
        <f>IF(AQ1045="0",BJ1045,0)</f>
        <v>0</v>
      </c>
      <c r="AI1045" s="50" t="s">
        <v>84</v>
      </c>
      <c r="AJ1045" s="38">
        <f>IF(AN1045=0,I1045,0)</f>
        <v>0</v>
      </c>
      <c r="AK1045" s="38">
        <f>IF(AN1045=12,I1045,0)</f>
        <v>0</v>
      </c>
      <c r="AL1045" s="38">
        <f>IF(AN1045=21,I1045,0)</f>
        <v>0</v>
      </c>
      <c r="AN1045" s="38">
        <v>21</v>
      </c>
      <c r="AO1045" s="38">
        <f>H1045*0.042771982</f>
        <v>0</v>
      </c>
      <c r="AP1045" s="38">
        <f>H1045*(1-0.042771982)</f>
        <v>0</v>
      </c>
      <c r="AQ1045" s="72" t="s">
        <v>132</v>
      </c>
      <c r="AV1045" s="38">
        <f>AW1045+AX1045</f>
        <v>0</v>
      </c>
      <c r="AW1045" s="38">
        <f>G1045*AO1045</f>
        <v>0</v>
      </c>
      <c r="AX1045" s="38">
        <f>G1045*AP1045</f>
        <v>0</v>
      </c>
      <c r="AY1045" s="72" t="s">
        <v>1831</v>
      </c>
      <c r="AZ1045" s="72" t="s">
        <v>1657</v>
      </c>
      <c r="BA1045" s="50" t="s">
        <v>139</v>
      </c>
      <c r="BB1045" s="73">
        <v>100010</v>
      </c>
      <c r="BC1045" s="38">
        <f>AW1045+AX1045</f>
        <v>0</v>
      </c>
      <c r="BD1045" s="38">
        <f>H1045/(100-BE1045)*100</f>
        <v>0</v>
      </c>
      <c r="BE1045" s="38">
        <v>0</v>
      </c>
      <c r="BF1045" s="38">
        <f>K1045</f>
        <v>0.12596</v>
      </c>
      <c r="BH1045" s="38">
        <f>G1045*AO1045</f>
        <v>0</v>
      </c>
      <c r="BI1045" s="38">
        <f>G1045*AP1045</f>
        <v>0</v>
      </c>
      <c r="BJ1045" s="38">
        <f>G1045*H1045</f>
        <v>0</v>
      </c>
      <c r="BK1045" s="38"/>
      <c r="BL1045" s="38">
        <v>97</v>
      </c>
      <c r="BW1045" s="38">
        <v>21</v>
      </c>
    </row>
    <row r="1046" spans="1:12" ht="15">
      <c r="A1046" s="74"/>
      <c r="D1046" s="75" t="s">
        <v>157</v>
      </c>
      <c r="E1046" s="75" t="s">
        <v>368</v>
      </c>
      <c r="G1046" s="76">
        <v>4</v>
      </c>
      <c r="L1046" s="77"/>
    </row>
    <row r="1047" spans="1:75" ht="13.5" customHeight="1">
      <c r="A1047" s="1" t="s">
        <v>1858</v>
      </c>
      <c r="B1047" s="2" t="s">
        <v>84</v>
      </c>
      <c r="C1047" s="2" t="s">
        <v>1859</v>
      </c>
      <c r="D1047" s="108" t="s">
        <v>1860</v>
      </c>
      <c r="E1047" s="103"/>
      <c r="F1047" s="2" t="s">
        <v>214</v>
      </c>
      <c r="G1047" s="38">
        <v>5.72</v>
      </c>
      <c r="H1047" s="70">
        <v>0</v>
      </c>
      <c r="I1047" s="38">
        <f>G1047*H1047</f>
        <v>0</v>
      </c>
      <c r="J1047" s="38">
        <v>0.04049</v>
      </c>
      <c r="K1047" s="38">
        <f>G1047*J1047</f>
        <v>0.23160279999999997</v>
      </c>
      <c r="L1047" s="71" t="s">
        <v>136</v>
      </c>
      <c r="Z1047" s="38">
        <f>IF(AQ1047="5",BJ1047,0)</f>
        <v>0</v>
      </c>
      <c r="AB1047" s="38">
        <f>IF(AQ1047="1",BH1047,0)</f>
        <v>0</v>
      </c>
      <c r="AC1047" s="38">
        <f>IF(AQ1047="1",BI1047,0)</f>
        <v>0</v>
      </c>
      <c r="AD1047" s="38">
        <f>IF(AQ1047="7",BH1047,0)</f>
        <v>0</v>
      </c>
      <c r="AE1047" s="38">
        <f>IF(AQ1047="7",BI1047,0)</f>
        <v>0</v>
      </c>
      <c r="AF1047" s="38">
        <f>IF(AQ1047="2",BH1047,0)</f>
        <v>0</v>
      </c>
      <c r="AG1047" s="38">
        <f>IF(AQ1047="2",BI1047,0)</f>
        <v>0</v>
      </c>
      <c r="AH1047" s="38">
        <f>IF(AQ1047="0",BJ1047,0)</f>
        <v>0</v>
      </c>
      <c r="AI1047" s="50" t="s">
        <v>84</v>
      </c>
      <c r="AJ1047" s="38">
        <f>IF(AN1047=0,I1047,0)</f>
        <v>0</v>
      </c>
      <c r="AK1047" s="38">
        <f>IF(AN1047=12,I1047,0)</f>
        <v>0</v>
      </c>
      <c r="AL1047" s="38">
        <f>IF(AN1047=21,I1047,0)</f>
        <v>0</v>
      </c>
      <c r="AN1047" s="38">
        <v>21</v>
      </c>
      <c r="AO1047" s="38">
        <f>H1047*0.049476793</f>
        <v>0</v>
      </c>
      <c r="AP1047" s="38">
        <f>H1047*(1-0.049476793)</f>
        <v>0</v>
      </c>
      <c r="AQ1047" s="72" t="s">
        <v>132</v>
      </c>
      <c r="AV1047" s="38">
        <f>AW1047+AX1047</f>
        <v>0</v>
      </c>
      <c r="AW1047" s="38">
        <f>G1047*AO1047</f>
        <v>0</v>
      </c>
      <c r="AX1047" s="38">
        <f>G1047*AP1047</f>
        <v>0</v>
      </c>
      <c r="AY1047" s="72" t="s">
        <v>1831</v>
      </c>
      <c r="AZ1047" s="72" t="s">
        <v>1657</v>
      </c>
      <c r="BA1047" s="50" t="s">
        <v>139</v>
      </c>
      <c r="BB1047" s="73">
        <v>100010</v>
      </c>
      <c r="BC1047" s="38">
        <f>AW1047+AX1047</f>
        <v>0</v>
      </c>
      <c r="BD1047" s="38">
        <f>H1047/(100-BE1047)*100</f>
        <v>0</v>
      </c>
      <c r="BE1047" s="38">
        <v>0</v>
      </c>
      <c r="BF1047" s="38">
        <f>K1047</f>
        <v>0.23160279999999997</v>
      </c>
      <c r="BH1047" s="38">
        <f>G1047*AO1047</f>
        <v>0</v>
      </c>
      <c r="BI1047" s="38">
        <f>G1047*AP1047</f>
        <v>0</v>
      </c>
      <c r="BJ1047" s="38">
        <f>G1047*H1047</f>
        <v>0</v>
      </c>
      <c r="BK1047" s="38"/>
      <c r="BL1047" s="38">
        <v>97</v>
      </c>
      <c r="BW1047" s="38">
        <v>21</v>
      </c>
    </row>
    <row r="1048" spans="1:12" ht="13.5" customHeight="1">
      <c r="A1048" s="74"/>
      <c r="D1048" s="194" t="s">
        <v>1861</v>
      </c>
      <c r="E1048" s="195"/>
      <c r="F1048" s="195"/>
      <c r="G1048" s="195"/>
      <c r="H1048" s="196"/>
      <c r="I1048" s="195"/>
      <c r="J1048" s="195"/>
      <c r="K1048" s="195"/>
      <c r="L1048" s="197"/>
    </row>
    <row r="1049" spans="1:12" ht="15">
      <c r="A1049" s="74"/>
      <c r="D1049" s="75" t="s">
        <v>1862</v>
      </c>
      <c r="E1049" s="75" t="s">
        <v>4</v>
      </c>
      <c r="G1049" s="76">
        <v>5.72</v>
      </c>
      <c r="L1049" s="77"/>
    </row>
    <row r="1050" spans="1:75" ht="13.5" customHeight="1">
      <c r="A1050" s="1" t="s">
        <v>1863</v>
      </c>
      <c r="B1050" s="2" t="s">
        <v>84</v>
      </c>
      <c r="C1050" s="2" t="s">
        <v>1864</v>
      </c>
      <c r="D1050" s="108" t="s">
        <v>1865</v>
      </c>
      <c r="E1050" s="103"/>
      <c r="F1050" s="2" t="s">
        <v>214</v>
      </c>
      <c r="G1050" s="38">
        <v>10.25</v>
      </c>
      <c r="H1050" s="70">
        <v>0</v>
      </c>
      <c r="I1050" s="38">
        <f>G1050*H1050</f>
        <v>0</v>
      </c>
      <c r="J1050" s="38">
        <v>0.042</v>
      </c>
      <c r="K1050" s="38">
        <f>G1050*J1050</f>
        <v>0.43050000000000005</v>
      </c>
      <c r="L1050" s="71" t="s">
        <v>136</v>
      </c>
      <c r="Z1050" s="38">
        <f>IF(AQ1050="5",BJ1050,0)</f>
        <v>0</v>
      </c>
      <c r="AB1050" s="38">
        <f>IF(AQ1050="1",BH1050,0)</f>
        <v>0</v>
      </c>
      <c r="AC1050" s="38">
        <f>IF(AQ1050="1",BI1050,0)</f>
        <v>0</v>
      </c>
      <c r="AD1050" s="38">
        <f>IF(AQ1050="7",BH1050,0)</f>
        <v>0</v>
      </c>
      <c r="AE1050" s="38">
        <f>IF(AQ1050="7",BI1050,0)</f>
        <v>0</v>
      </c>
      <c r="AF1050" s="38">
        <f>IF(AQ1050="2",BH1050,0)</f>
        <v>0</v>
      </c>
      <c r="AG1050" s="38">
        <f>IF(AQ1050="2",BI1050,0)</f>
        <v>0</v>
      </c>
      <c r="AH1050" s="38">
        <f>IF(AQ1050="0",BJ1050,0)</f>
        <v>0</v>
      </c>
      <c r="AI1050" s="50" t="s">
        <v>84</v>
      </c>
      <c r="AJ1050" s="38">
        <f>IF(AN1050=0,I1050,0)</f>
        <v>0</v>
      </c>
      <c r="AK1050" s="38">
        <f>IF(AN1050=12,I1050,0)</f>
        <v>0</v>
      </c>
      <c r="AL1050" s="38">
        <f>IF(AN1050=21,I1050,0)</f>
        <v>0</v>
      </c>
      <c r="AN1050" s="38">
        <v>21</v>
      </c>
      <c r="AO1050" s="38">
        <f>H1050*0</f>
        <v>0</v>
      </c>
      <c r="AP1050" s="38">
        <f>H1050*(1-0)</f>
        <v>0</v>
      </c>
      <c r="AQ1050" s="72" t="s">
        <v>132</v>
      </c>
      <c r="AV1050" s="38">
        <f>AW1050+AX1050</f>
        <v>0</v>
      </c>
      <c r="AW1050" s="38">
        <f>G1050*AO1050</f>
        <v>0</v>
      </c>
      <c r="AX1050" s="38">
        <f>G1050*AP1050</f>
        <v>0</v>
      </c>
      <c r="AY1050" s="72" t="s">
        <v>1831</v>
      </c>
      <c r="AZ1050" s="72" t="s">
        <v>1657</v>
      </c>
      <c r="BA1050" s="50" t="s">
        <v>139</v>
      </c>
      <c r="BB1050" s="73">
        <v>100010</v>
      </c>
      <c r="BC1050" s="38">
        <f>AW1050+AX1050</f>
        <v>0</v>
      </c>
      <c r="BD1050" s="38">
        <f>H1050/(100-BE1050)*100</f>
        <v>0</v>
      </c>
      <c r="BE1050" s="38">
        <v>0</v>
      </c>
      <c r="BF1050" s="38">
        <f>K1050</f>
        <v>0.43050000000000005</v>
      </c>
      <c r="BH1050" s="38">
        <f>G1050*AO1050</f>
        <v>0</v>
      </c>
      <c r="BI1050" s="38">
        <f>G1050*AP1050</f>
        <v>0</v>
      </c>
      <c r="BJ1050" s="38">
        <f>G1050*H1050</f>
        <v>0</v>
      </c>
      <c r="BK1050" s="38"/>
      <c r="BL1050" s="38">
        <v>97</v>
      </c>
      <c r="BW1050" s="38">
        <v>21</v>
      </c>
    </row>
    <row r="1051" spans="1:12" ht="15">
      <c r="A1051" s="74"/>
      <c r="D1051" s="75" t="s">
        <v>1866</v>
      </c>
      <c r="E1051" s="75" t="s">
        <v>1867</v>
      </c>
      <c r="G1051" s="76">
        <v>3.6</v>
      </c>
      <c r="L1051" s="77"/>
    </row>
    <row r="1052" spans="1:12" ht="15">
      <c r="A1052" s="74"/>
      <c r="D1052" s="75" t="s">
        <v>1868</v>
      </c>
      <c r="E1052" s="75" t="s">
        <v>254</v>
      </c>
      <c r="G1052" s="76">
        <v>5.4</v>
      </c>
      <c r="L1052" s="77"/>
    </row>
    <row r="1053" spans="1:12" ht="15">
      <c r="A1053" s="74"/>
      <c r="D1053" s="75" t="s">
        <v>1869</v>
      </c>
      <c r="E1053" s="75" t="s">
        <v>303</v>
      </c>
      <c r="G1053" s="76">
        <v>1.25</v>
      </c>
      <c r="L1053" s="77"/>
    </row>
    <row r="1054" spans="1:75" ht="13.5" customHeight="1">
      <c r="A1054" s="1" t="s">
        <v>1870</v>
      </c>
      <c r="B1054" s="2" t="s">
        <v>84</v>
      </c>
      <c r="C1054" s="2" t="s">
        <v>1871</v>
      </c>
      <c r="D1054" s="108" t="s">
        <v>1872</v>
      </c>
      <c r="E1054" s="103"/>
      <c r="F1054" s="2" t="s">
        <v>214</v>
      </c>
      <c r="G1054" s="38">
        <v>85.5</v>
      </c>
      <c r="H1054" s="70">
        <v>0</v>
      </c>
      <c r="I1054" s="38">
        <f>G1054*H1054</f>
        <v>0</v>
      </c>
      <c r="J1054" s="38">
        <v>0.065</v>
      </c>
      <c r="K1054" s="38">
        <f>G1054*J1054</f>
        <v>5.5575</v>
      </c>
      <c r="L1054" s="71" t="s">
        <v>136</v>
      </c>
      <c r="Z1054" s="38">
        <f>IF(AQ1054="5",BJ1054,0)</f>
        <v>0</v>
      </c>
      <c r="AB1054" s="38">
        <f>IF(AQ1054="1",BH1054,0)</f>
        <v>0</v>
      </c>
      <c r="AC1054" s="38">
        <f>IF(AQ1054="1",BI1054,0)</f>
        <v>0</v>
      </c>
      <c r="AD1054" s="38">
        <f>IF(AQ1054="7",BH1054,0)</f>
        <v>0</v>
      </c>
      <c r="AE1054" s="38">
        <f>IF(AQ1054="7",BI1054,0)</f>
        <v>0</v>
      </c>
      <c r="AF1054" s="38">
        <f>IF(AQ1054="2",BH1054,0)</f>
        <v>0</v>
      </c>
      <c r="AG1054" s="38">
        <f>IF(AQ1054="2",BI1054,0)</f>
        <v>0</v>
      </c>
      <c r="AH1054" s="38">
        <f>IF(AQ1054="0",BJ1054,0)</f>
        <v>0</v>
      </c>
      <c r="AI1054" s="50" t="s">
        <v>84</v>
      </c>
      <c r="AJ1054" s="38">
        <f>IF(AN1054=0,I1054,0)</f>
        <v>0</v>
      </c>
      <c r="AK1054" s="38">
        <f>IF(AN1054=12,I1054,0)</f>
        <v>0</v>
      </c>
      <c r="AL1054" s="38">
        <f>IF(AN1054=21,I1054,0)</f>
        <v>0</v>
      </c>
      <c r="AN1054" s="38">
        <v>21</v>
      </c>
      <c r="AO1054" s="38">
        <f>H1054*0</f>
        <v>0</v>
      </c>
      <c r="AP1054" s="38">
        <f>H1054*(1-0)</f>
        <v>0</v>
      </c>
      <c r="AQ1054" s="72" t="s">
        <v>132</v>
      </c>
      <c r="AV1054" s="38">
        <f>AW1054+AX1054</f>
        <v>0</v>
      </c>
      <c r="AW1054" s="38">
        <f>G1054*AO1054</f>
        <v>0</v>
      </c>
      <c r="AX1054" s="38">
        <f>G1054*AP1054</f>
        <v>0</v>
      </c>
      <c r="AY1054" s="72" t="s">
        <v>1831</v>
      </c>
      <c r="AZ1054" s="72" t="s">
        <v>1657</v>
      </c>
      <c r="BA1054" s="50" t="s">
        <v>139</v>
      </c>
      <c r="BB1054" s="73">
        <v>100010</v>
      </c>
      <c r="BC1054" s="38">
        <f>AW1054+AX1054</f>
        <v>0</v>
      </c>
      <c r="BD1054" s="38">
        <f>H1054/(100-BE1054)*100</f>
        <v>0</v>
      </c>
      <c r="BE1054" s="38">
        <v>0</v>
      </c>
      <c r="BF1054" s="38">
        <f>K1054</f>
        <v>5.5575</v>
      </c>
      <c r="BH1054" s="38">
        <f>G1054*AO1054</f>
        <v>0</v>
      </c>
      <c r="BI1054" s="38">
        <f>G1054*AP1054</f>
        <v>0</v>
      </c>
      <c r="BJ1054" s="38">
        <f>G1054*H1054</f>
        <v>0</v>
      </c>
      <c r="BK1054" s="38"/>
      <c r="BL1054" s="38">
        <v>97</v>
      </c>
      <c r="BW1054" s="38">
        <v>21</v>
      </c>
    </row>
    <row r="1055" spans="1:12" ht="15">
      <c r="A1055" s="74"/>
      <c r="D1055" s="75" t="s">
        <v>1873</v>
      </c>
      <c r="E1055" s="75" t="s">
        <v>204</v>
      </c>
      <c r="G1055" s="76">
        <v>36</v>
      </c>
      <c r="L1055" s="77"/>
    </row>
    <row r="1056" spans="1:12" ht="15">
      <c r="A1056" s="74"/>
      <c r="D1056" s="75" t="s">
        <v>1874</v>
      </c>
      <c r="E1056" s="75" t="s">
        <v>210</v>
      </c>
      <c r="G1056" s="76">
        <v>14.4</v>
      </c>
      <c r="L1056" s="77"/>
    </row>
    <row r="1057" spans="1:12" ht="15">
      <c r="A1057" s="74"/>
      <c r="D1057" s="75" t="s">
        <v>1875</v>
      </c>
      <c r="E1057" s="75" t="s">
        <v>250</v>
      </c>
      <c r="G1057" s="76">
        <v>16.2</v>
      </c>
      <c r="L1057" s="77"/>
    </row>
    <row r="1058" spans="1:12" ht="15">
      <c r="A1058" s="74"/>
      <c r="D1058" s="75" t="s">
        <v>1876</v>
      </c>
      <c r="E1058" s="75" t="s">
        <v>252</v>
      </c>
      <c r="G1058" s="76">
        <v>18.9</v>
      </c>
      <c r="L1058" s="77"/>
    </row>
    <row r="1059" spans="1:75" ht="13.5" customHeight="1">
      <c r="A1059" s="1" t="s">
        <v>1877</v>
      </c>
      <c r="B1059" s="2" t="s">
        <v>84</v>
      </c>
      <c r="C1059" s="2" t="s">
        <v>1878</v>
      </c>
      <c r="D1059" s="108" t="s">
        <v>1879</v>
      </c>
      <c r="E1059" s="103"/>
      <c r="F1059" s="2" t="s">
        <v>214</v>
      </c>
      <c r="G1059" s="38">
        <v>13.1</v>
      </c>
      <c r="H1059" s="70">
        <v>0</v>
      </c>
      <c r="I1059" s="38">
        <f>G1059*H1059</f>
        <v>0</v>
      </c>
      <c r="J1059" s="38">
        <v>0.007</v>
      </c>
      <c r="K1059" s="38">
        <f>G1059*J1059</f>
        <v>0.0917</v>
      </c>
      <c r="L1059" s="71" t="s">
        <v>136</v>
      </c>
      <c r="Z1059" s="38">
        <f>IF(AQ1059="5",BJ1059,0)</f>
        <v>0</v>
      </c>
      <c r="AB1059" s="38">
        <f>IF(AQ1059="1",BH1059,0)</f>
        <v>0</v>
      </c>
      <c r="AC1059" s="38">
        <f>IF(AQ1059="1",BI1059,0)</f>
        <v>0</v>
      </c>
      <c r="AD1059" s="38">
        <f>IF(AQ1059="7",BH1059,0)</f>
        <v>0</v>
      </c>
      <c r="AE1059" s="38">
        <f>IF(AQ1059="7",BI1059,0)</f>
        <v>0</v>
      </c>
      <c r="AF1059" s="38">
        <f>IF(AQ1059="2",BH1059,0)</f>
        <v>0</v>
      </c>
      <c r="AG1059" s="38">
        <f>IF(AQ1059="2",BI1059,0)</f>
        <v>0</v>
      </c>
      <c r="AH1059" s="38">
        <f>IF(AQ1059="0",BJ1059,0)</f>
        <v>0</v>
      </c>
      <c r="AI1059" s="50" t="s">
        <v>84</v>
      </c>
      <c r="AJ1059" s="38">
        <f>IF(AN1059=0,I1059,0)</f>
        <v>0</v>
      </c>
      <c r="AK1059" s="38">
        <f>IF(AN1059=12,I1059,0)</f>
        <v>0</v>
      </c>
      <c r="AL1059" s="38">
        <f>IF(AN1059=21,I1059,0)</f>
        <v>0</v>
      </c>
      <c r="AN1059" s="38">
        <v>21</v>
      </c>
      <c r="AO1059" s="38">
        <f>H1059*0</f>
        <v>0</v>
      </c>
      <c r="AP1059" s="38">
        <f>H1059*(1-0)</f>
        <v>0</v>
      </c>
      <c r="AQ1059" s="72" t="s">
        <v>132</v>
      </c>
      <c r="AV1059" s="38">
        <f>AW1059+AX1059</f>
        <v>0</v>
      </c>
      <c r="AW1059" s="38">
        <f>G1059*AO1059</f>
        <v>0</v>
      </c>
      <c r="AX1059" s="38">
        <f>G1059*AP1059</f>
        <v>0</v>
      </c>
      <c r="AY1059" s="72" t="s">
        <v>1831</v>
      </c>
      <c r="AZ1059" s="72" t="s">
        <v>1657</v>
      </c>
      <c r="BA1059" s="50" t="s">
        <v>139</v>
      </c>
      <c r="BB1059" s="73">
        <v>100010</v>
      </c>
      <c r="BC1059" s="38">
        <f>AW1059+AX1059</f>
        <v>0</v>
      </c>
      <c r="BD1059" s="38">
        <f>H1059/(100-BE1059)*100</f>
        <v>0</v>
      </c>
      <c r="BE1059" s="38">
        <v>0</v>
      </c>
      <c r="BF1059" s="38">
        <f>K1059</f>
        <v>0.0917</v>
      </c>
      <c r="BH1059" s="38">
        <f>G1059*AO1059</f>
        <v>0</v>
      </c>
      <c r="BI1059" s="38">
        <f>G1059*AP1059</f>
        <v>0</v>
      </c>
      <c r="BJ1059" s="38">
        <f>G1059*H1059</f>
        <v>0</v>
      </c>
      <c r="BK1059" s="38"/>
      <c r="BL1059" s="38">
        <v>97</v>
      </c>
      <c r="BW1059" s="38">
        <v>21</v>
      </c>
    </row>
    <row r="1060" spans="1:12" ht="15">
      <c r="A1060" s="74"/>
      <c r="D1060" s="75" t="s">
        <v>1880</v>
      </c>
      <c r="E1060" s="75" t="s">
        <v>765</v>
      </c>
      <c r="G1060" s="76">
        <v>6.6</v>
      </c>
      <c r="L1060" s="77"/>
    </row>
    <row r="1061" spans="1:12" ht="15">
      <c r="A1061" s="74"/>
      <c r="D1061" s="75" t="s">
        <v>1881</v>
      </c>
      <c r="E1061" s="75" t="s">
        <v>767</v>
      </c>
      <c r="G1061" s="76">
        <v>6.5</v>
      </c>
      <c r="L1061" s="77"/>
    </row>
    <row r="1062" spans="1:75" ht="13.5" customHeight="1">
      <c r="A1062" s="1" t="s">
        <v>1882</v>
      </c>
      <c r="B1062" s="2" t="s">
        <v>84</v>
      </c>
      <c r="C1062" s="2" t="s">
        <v>1883</v>
      </c>
      <c r="D1062" s="108" t="s">
        <v>1884</v>
      </c>
      <c r="E1062" s="103"/>
      <c r="F1062" s="2" t="s">
        <v>214</v>
      </c>
      <c r="G1062" s="38">
        <v>22.35</v>
      </c>
      <c r="H1062" s="70">
        <v>0</v>
      </c>
      <c r="I1062" s="38">
        <f>G1062*H1062</f>
        <v>0</v>
      </c>
      <c r="J1062" s="38">
        <v>0.009</v>
      </c>
      <c r="K1062" s="38">
        <f>G1062*J1062</f>
        <v>0.20115</v>
      </c>
      <c r="L1062" s="71" t="s">
        <v>136</v>
      </c>
      <c r="Z1062" s="38">
        <f>IF(AQ1062="5",BJ1062,0)</f>
        <v>0</v>
      </c>
      <c r="AB1062" s="38">
        <f>IF(AQ1062="1",BH1062,0)</f>
        <v>0</v>
      </c>
      <c r="AC1062" s="38">
        <f>IF(AQ1062="1",BI1062,0)</f>
        <v>0</v>
      </c>
      <c r="AD1062" s="38">
        <f>IF(AQ1062="7",BH1062,0)</f>
        <v>0</v>
      </c>
      <c r="AE1062" s="38">
        <f>IF(AQ1062="7",BI1062,0)</f>
        <v>0</v>
      </c>
      <c r="AF1062" s="38">
        <f>IF(AQ1062="2",BH1062,0)</f>
        <v>0</v>
      </c>
      <c r="AG1062" s="38">
        <f>IF(AQ1062="2",BI1062,0)</f>
        <v>0</v>
      </c>
      <c r="AH1062" s="38">
        <f>IF(AQ1062="0",BJ1062,0)</f>
        <v>0</v>
      </c>
      <c r="AI1062" s="50" t="s">
        <v>84</v>
      </c>
      <c r="AJ1062" s="38">
        <f>IF(AN1062=0,I1062,0)</f>
        <v>0</v>
      </c>
      <c r="AK1062" s="38">
        <f>IF(AN1062=12,I1062,0)</f>
        <v>0</v>
      </c>
      <c r="AL1062" s="38">
        <f>IF(AN1062=21,I1062,0)</f>
        <v>0</v>
      </c>
      <c r="AN1062" s="38">
        <v>21</v>
      </c>
      <c r="AO1062" s="38">
        <f>H1062*0</f>
        <v>0</v>
      </c>
      <c r="AP1062" s="38">
        <f>H1062*(1-0)</f>
        <v>0</v>
      </c>
      <c r="AQ1062" s="72" t="s">
        <v>132</v>
      </c>
      <c r="AV1062" s="38">
        <f>AW1062+AX1062</f>
        <v>0</v>
      </c>
      <c r="AW1062" s="38">
        <f>G1062*AO1062</f>
        <v>0</v>
      </c>
      <c r="AX1062" s="38">
        <f>G1062*AP1062</f>
        <v>0</v>
      </c>
      <c r="AY1062" s="72" t="s">
        <v>1831</v>
      </c>
      <c r="AZ1062" s="72" t="s">
        <v>1657</v>
      </c>
      <c r="BA1062" s="50" t="s">
        <v>139</v>
      </c>
      <c r="BB1062" s="73">
        <v>100010</v>
      </c>
      <c r="BC1062" s="38">
        <f>AW1062+AX1062</f>
        <v>0</v>
      </c>
      <c r="BD1062" s="38">
        <f>H1062/(100-BE1062)*100</f>
        <v>0</v>
      </c>
      <c r="BE1062" s="38">
        <v>0</v>
      </c>
      <c r="BF1062" s="38">
        <f>K1062</f>
        <v>0.20115</v>
      </c>
      <c r="BH1062" s="38">
        <f>G1062*AO1062</f>
        <v>0</v>
      </c>
      <c r="BI1062" s="38">
        <f>G1062*AP1062</f>
        <v>0</v>
      </c>
      <c r="BJ1062" s="38">
        <f>G1062*H1062</f>
        <v>0</v>
      </c>
      <c r="BK1062" s="38"/>
      <c r="BL1062" s="38">
        <v>97</v>
      </c>
      <c r="BW1062" s="38">
        <v>21</v>
      </c>
    </row>
    <row r="1063" spans="1:12" ht="15">
      <c r="A1063" s="74"/>
      <c r="D1063" s="75" t="s">
        <v>1885</v>
      </c>
      <c r="E1063" s="75" t="s">
        <v>765</v>
      </c>
      <c r="G1063" s="76">
        <v>1.7</v>
      </c>
      <c r="L1063" s="77"/>
    </row>
    <row r="1064" spans="1:12" ht="15">
      <c r="A1064" s="74"/>
      <c r="D1064" s="75" t="s">
        <v>1886</v>
      </c>
      <c r="E1064" s="75" t="s">
        <v>767</v>
      </c>
      <c r="G1064" s="76">
        <v>20.65</v>
      </c>
      <c r="L1064" s="77"/>
    </row>
    <row r="1065" spans="1:75" ht="13.5" customHeight="1">
      <c r="A1065" s="1" t="s">
        <v>1887</v>
      </c>
      <c r="B1065" s="2" t="s">
        <v>84</v>
      </c>
      <c r="C1065" s="2" t="s">
        <v>1888</v>
      </c>
      <c r="D1065" s="108" t="s">
        <v>1889</v>
      </c>
      <c r="E1065" s="103"/>
      <c r="F1065" s="2" t="s">
        <v>214</v>
      </c>
      <c r="G1065" s="38">
        <v>2.01</v>
      </c>
      <c r="H1065" s="70">
        <v>0</v>
      </c>
      <c r="I1065" s="38">
        <f>G1065*H1065</f>
        <v>0</v>
      </c>
      <c r="J1065" s="38">
        <v>0.00046</v>
      </c>
      <c r="K1065" s="38">
        <f>G1065*J1065</f>
        <v>0.0009245999999999999</v>
      </c>
      <c r="L1065" s="71" t="s">
        <v>136</v>
      </c>
      <c r="Z1065" s="38">
        <f>IF(AQ1065="5",BJ1065,0)</f>
        <v>0</v>
      </c>
      <c r="AB1065" s="38">
        <f>IF(AQ1065="1",BH1065,0)</f>
        <v>0</v>
      </c>
      <c r="AC1065" s="38">
        <f>IF(AQ1065="1",BI1065,0)</f>
        <v>0</v>
      </c>
      <c r="AD1065" s="38">
        <f>IF(AQ1065="7",BH1065,0)</f>
        <v>0</v>
      </c>
      <c r="AE1065" s="38">
        <f>IF(AQ1065="7",BI1065,0)</f>
        <v>0</v>
      </c>
      <c r="AF1065" s="38">
        <f>IF(AQ1065="2",BH1065,0)</f>
        <v>0</v>
      </c>
      <c r="AG1065" s="38">
        <f>IF(AQ1065="2",BI1065,0)</f>
        <v>0</v>
      </c>
      <c r="AH1065" s="38">
        <f>IF(AQ1065="0",BJ1065,0)</f>
        <v>0</v>
      </c>
      <c r="AI1065" s="50" t="s">
        <v>84</v>
      </c>
      <c r="AJ1065" s="38">
        <f>IF(AN1065=0,I1065,0)</f>
        <v>0</v>
      </c>
      <c r="AK1065" s="38">
        <f>IF(AN1065=12,I1065,0)</f>
        <v>0</v>
      </c>
      <c r="AL1065" s="38">
        <f>IF(AN1065=21,I1065,0)</f>
        <v>0</v>
      </c>
      <c r="AN1065" s="38">
        <v>21</v>
      </c>
      <c r="AO1065" s="38">
        <f>H1065*0.137974576</f>
        <v>0</v>
      </c>
      <c r="AP1065" s="38">
        <f>H1065*(1-0.137974576)</f>
        <v>0</v>
      </c>
      <c r="AQ1065" s="72" t="s">
        <v>132</v>
      </c>
      <c r="AV1065" s="38">
        <f>AW1065+AX1065</f>
        <v>0</v>
      </c>
      <c r="AW1065" s="38">
        <f>G1065*AO1065</f>
        <v>0</v>
      </c>
      <c r="AX1065" s="38">
        <f>G1065*AP1065</f>
        <v>0</v>
      </c>
      <c r="AY1065" s="72" t="s">
        <v>1831</v>
      </c>
      <c r="AZ1065" s="72" t="s">
        <v>1657</v>
      </c>
      <c r="BA1065" s="50" t="s">
        <v>139</v>
      </c>
      <c r="BB1065" s="73">
        <v>100010</v>
      </c>
      <c r="BC1065" s="38">
        <f>AW1065+AX1065</f>
        <v>0</v>
      </c>
      <c r="BD1065" s="38">
        <f>H1065/(100-BE1065)*100</f>
        <v>0</v>
      </c>
      <c r="BE1065" s="38">
        <v>0</v>
      </c>
      <c r="BF1065" s="38">
        <f>K1065</f>
        <v>0.0009245999999999999</v>
      </c>
      <c r="BH1065" s="38">
        <f>G1065*AO1065</f>
        <v>0</v>
      </c>
      <c r="BI1065" s="38">
        <f>G1065*AP1065</f>
        <v>0</v>
      </c>
      <c r="BJ1065" s="38">
        <f>G1065*H1065</f>
        <v>0</v>
      </c>
      <c r="BK1065" s="38"/>
      <c r="BL1065" s="38">
        <v>97</v>
      </c>
      <c r="BW1065" s="38">
        <v>21</v>
      </c>
    </row>
    <row r="1066" spans="1:12" ht="15">
      <c r="A1066" s="74"/>
      <c r="D1066" s="75" t="s">
        <v>1890</v>
      </c>
      <c r="E1066" s="75" t="s">
        <v>1891</v>
      </c>
      <c r="G1066" s="76">
        <v>2.01</v>
      </c>
      <c r="L1066" s="77"/>
    </row>
    <row r="1067" spans="1:75" ht="13.5" customHeight="1">
      <c r="A1067" s="1" t="s">
        <v>1892</v>
      </c>
      <c r="B1067" s="2" t="s">
        <v>84</v>
      </c>
      <c r="C1067" s="2" t="s">
        <v>1893</v>
      </c>
      <c r="D1067" s="108" t="s">
        <v>1894</v>
      </c>
      <c r="E1067" s="103"/>
      <c r="F1067" s="2" t="s">
        <v>263</v>
      </c>
      <c r="G1067" s="38">
        <v>28.17</v>
      </c>
      <c r="H1067" s="70">
        <v>0</v>
      </c>
      <c r="I1067" s="38">
        <f>G1067*H1067</f>
        <v>0</v>
      </c>
      <c r="J1067" s="38">
        <v>0.068</v>
      </c>
      <c r="K1067" s="38">
        <f>G1067*J1067</f>
        <v>1.9155600000000002</v>
      </c>
      <c r="L1067" s="71" t="s">
        <v>136</v>
      </c>
      <c r="Z1067" s="38">
        <f>IF(AQ1067="5",BJ1067,0)</f>
        <v>0</v>
      </c>
      <c r="AB1067" s="38">
        <f>IF(AQ1067="1",BH1067,0)</f>
        <v>0</v>
      </c>
      <c r="AC1067" s="38">
        <f>IF(AQ1067="1",BI1067,0)</f>
        <v>0</v>
      </c>
      <c r="AD1067" s="38">
        <f>IF(AQ1067="7",BH1067,0)</f>
        <v>0</v>
      </c>
      <c r="AE1067" s="38">
        <f>IF(AQ1067="7",BI1067,0)</f>
        <v>0</v>
      </c>
      <c r="AF1067" s="38">
        <f>IF(AQ1067="2",BH1067,0)</f>
        <v>0</v>
      </c>
      <c r="AG1067" s="38">
        <f>IF(AQ1067="2",BI1067,0)</f>
        <v>0</v>
      </c>
      <c r="AH1067" s="38">
        <f>IF(AQ1067="0",BJ1067,0)</f>
        <v>0</v>
      </c>
      <c r="AI1067" s="50" t="s">
        <v>84</v>
      </c>
      <c r="AJ1067" s="38">
        <f>IF(AN1067=0,I1067,0)</f>
        <v>0</v>
      </c>
      <c r="AK1067" s="38">
        <f>IF(AN1067=12,I1067,0)</f>
        <v>0</v>
      </c>
      <c r="AL1067" s="38">
        <f>IF(AN1067=21,I1067,0)</f>
        <v>0</v>
      </c>
      <c r="AN1067" s="38">
        <v>21</v>
      </c>
      <c r="AO1067" s="38">
        <f>H1067*0</f>
        <v>0</v>
      </c>
      <c r="AP1067" s="38">
        <f>H1067*(1-0)</f>
        <v>0</v>
      </c>
      <c r="AQ1067" s="72" t="s">
        <v>132</v>
      </c>
      <c r="AV1067" s="38">
        <f>AW1067+AX1067</f>
        <v>0</v>
      </c>
      <c r="AW1067" s="38">
        <f>G1067*AO1067</f>
        <v>0</v>
      </c>
      <c r="AX1067" s="38">
        <f>G1067*AP1067</f>
        <v>0</v>
      </c>
      <c r="AY1067" s="72" t="s">
        <v>1831</v>
      </c>
      <c r="AZ1067" s="72" t="s">
        <v>1657</v>
      </c>
      <c r="BA1067" s="50" t="s">
        <v>139</v>
      </c>
      <c r="BB1067" s="73">
        <v>100010</v>
      </c>
      <c r="BC1067" s="38">
        <f>AW1067+AX1067</f>
        <v>0</v>
      </c>
      <c r="BD1067" s="38">
        <f>H1067/(100-BE1067)*100</f>
        <v>0</v>
      </c>
      <c r="BE1067" s="38">
        <v>0</v>
      </c>
      <c r="BF1067" s="38">
        <f>K1067</f>
        <v>1.9155600000000002</v>
      </c>
      <c r="BH1067" s="38">
        <f>G1067*AO1067</f>
        <v>0</v>
      </c>
      <c r="BI1067" s="38">
        <f>G1067*AP1067</f>
        <v>0</v>
      </c>
      <c r="BJ1067" s="38">
        <f>G1067*H1067</f>
        <v>0</v>
      </c>
      <c r="BK1067" s="38"/>
      <c r="BL1067" s="38">
        <v>97</v>
      </c>
      <c r="BW1067" s="38">
        <v>21</v>
      </c>
    </row>
    <row r="1068" spans="1:12" ht="15">
      <c r="A1068" s="74"/>
      <c r="D1068" s="75" t="s">
        <v>1895</v>
      </c>
      <c r="E1068" s="75" t="s">
        <v>624</v>
      </c>
      <c r="G1068" s="76">
        <v>19.6</v>
      </c>
      <c r="L1068" s="77"/>
    </row>
    <row r="1069" spans="1:12" ht="15">
      <c r="A1069" s="74"/>
      <c r="D1069" s="75" t="s">
        <v>667</v>
      </c>
      <c r="E1069" s="75" t="s">
        <v>1552</v>
      </c>
      <c r="G1069" s="76">
        <v>6.32</v>
      </c>
      <c r="L1069" s="77"/>
    </row>
    <row r="1070" spans="1:12" ht="15">
      <c r="A1070" s="74"/>
      <c r="D1070" s="75" t="s">
        <v>1896</v>
      </c>
      <c r="E1070" s="75" t="s">
        <v>580</v>
      </c>
      <c r="G1070" s="76">
        <v>2.25</v>
      </c>
      <c r="L1070" s="77"/>
    </row>
    <row r="1071" spans="1:75" ht="13.5" customHeight="1">
      <c r="A1071" s="1" t="s">
        <v>1897</v>
      </c>
      <c r="B1071" s="2" t="s">
        <v>84</v>
      </c>
      <c r="C1071" s="2" t="s">
        <v>1898</v>
      </c>
      <c r="D1071" s="108" t="s">
        <v>1899</v>
      </c>
      <c r="E1071" s="103"/>
      <c r="F1071" s="2" t="s">
        <v>263</v>
      </c>
      <c r="G1071" s="38">
        <v>78.27</v>
      </c>
      <c r="H1071" s="70">
        <v>0</v>
      </c>
      <c r="I1071" s="38">
        <f>G1071*H1071</f>
        <v>0</v>
      </c>
      <c r="J1071" s="38">
        <v>0.046</v>
      </c>
      <c r="K1071" s="38">
        <f>G1071*J1071</f>
        <v>3.6004199999999997</v>
      </c>
      <c r="L1071" s="71" t="s">
        <v>136</v>
      </c>
      <c r="Z1071" s="38">
        <f>IF(AQ1071="5",BJ1071,0)</f>
        <v>0</v>
      </c>
      <c r="AB1071" s="38">
        <f>IF(AQ1071="1",BH1071,0)</f>
        <v>0</v>
      </c>
      <c r="AC1071" s="38">
        <f>IF(AQ1071="1",BI1071,0)</f>
        <v>0</v>
      </c>
      <c r="AD1071" s="38">
        <f>IF(AQ1071="7",BH1071,0)</f>
        <v>0</v>
      </c>
      <c r="AE1071" s="38">
        <f>IF(AQ1071="7",BI1071,0)</f>
        <v>0</v>
      </c>
      <c r="AF1071" s="38">
        <f>IF(AQ1071="2",BH1071,0)</f>
        <v>0</v>
      </c>
      <c r="AG1071" s="38">
        <f>IF(AQ1071="2",BI1071,0)</f>
        <v>0</v>
      </c>
      <c r="AH1071" s="38">
        <f>IF(AQ1071="0",BJ1071,0)</f>
        <v>0</v>
      </c>
      <c r="AI1071" s="50" t="s">
        <v>84</v>
      </c>
      <c r="AJ1071" s="38">
        <f>IF(AN1071=0,I1071,0)</f>
        <v>0</v>
      </c>
      <c r="AK1071" s="38">
        <f>IF(AN1071=12,I1071,0)</f>
        <v>0</v>
      </c>
      <c r="AL1071" s="38">
        <f>IF(AN1071=21,I1071,0)</f>
        <v>0</v>
      </c>
      <c r="AN1071" s="38">
        <v>21</v>
      </c>
      <c r="AO1071" s="38">
        <f>H1071*0</f>
        <v>0</v>
      </c>
      <c r="AP1071" s="38">
        <f>H1071*(1-0)</f>
        <v>0</v>
      </c>
      <c r="AQ1071" s="72" t="s">
        <v>132</v>
      </c>
      <c r="AV1071" s="38">
        <f>AW1071+AX1071</f>
        <v>0</v>
      </c>
      <c r="AW1071" s="38">
        <f>G1071*AO1071</f>
        <v>0</v>
      </c>
      <c r="AX1071" s="38">
        <f>G1071*AP1071</f>
        <v>0</v>
      </c>
      <c r="AY1071" s="72" t="s">
        <v>1831</v>
      </c>
      <c r="AZ1071" s="72" t="s">
        <v>1657</v>
      </c>
      <c r="BA1071" s="50" t="s">
        <v>139</v>
      </c>
      <c r="BB1071" s="73">
        <v>100010</v>
      </c>
      <c r="BC1071" s="38">
        <f>AW1071+AX1071</f>
        <v>0</v>
      </c>
      <c r="BD1071" s="38">
        <f>H1071/(100-BE1071)*100</f>
        <v>0</v>
      </c>
      <c r="BE1071" s="38">
        <v>0</v>
      </c>
      <c r="BF1071" s="38">
        <f>K1071</f>
        <v>3.6004199999999997</v>
      </c>
      <c r="BH1071" s="38">
        <f>G1071*AO1071</f>
        <v>0</v>
      </c>
      <c r="BI1071" s="38">
        <f>G1071*AP1071</f>
        <v>0</v>
      </c>
      <c r="BJ1071" s="38">
        <f>G1071*H1071</f>
        <v>0</v>
      </c>
      <c r="BK1071" s="38"/>
      <c r="BL1071" s="38">
        <v>97</v>
      </c>
      <c r="BW1071" s="38">
        <v>21</v>
      </c>
    </row>
    <row r="1072" spans="1:12" ht="15">
      <c r="A1072" s="74"/>
      <c r="D1072" s="75" t="s">
        <v>309</v>
      </c>
      <c r="E1072" s="75" t="s">
        <v>1900</v>
      </c>
      <c r="G1072" s="76">
        <v>15.9</v>
      </c>
      <c r="L1072" s="77"/>
    </row>
    <row r="1073" spans="1:12" ht="15">
      <c r="A1073" s="74"/>
      <c r="D1073" s="75" t="s">
        <v>1901</v>
      </c>
      <c r="E1073" s="75" t="s">
        <v>1902</v>
      </c>
      <c r="G1073" s="76">
        <v>57.71</v>
      </c>
      <c r="L1073" s="77"/>
    </row>
    <row r="1074" spans="1:12" ht="15">
      <c r="A1074" s="74"/>
      <c r="D1074" s="75" t="s">
        <v>1903</v>
      </c>
      <c r="E1074" s="75" t="s">
        <v>1904</v>
      </c>
      <c r="G1074" s="76">
        <v>4.66</v>
      </c>
      <c r="L1074" s="77"/>
    </row>
    <row r="1075" spans="1:75" ht="13.5" customHeight="1">
      <c r="A1075" s="1" t="s">
        <v>1905</v>
      </c>
      <c r="B1075" s="2" t="s">
        <v>84</v>
      </c>
      <c r="C1075" s="2" t="s">
        <v>1906</v>
      </c>
      <c r="D1075" s="108" t="s">
        <v>1907</v>
      </c>
      <c r="E1075" s="103"/>
      <c r="F1075" s="2" t="s">
        <v>214</v>
      </c>
      <c r="G1075" s="38">
        <v>15.8</v>
      </c>
      <c r="H1075" s="70">
        <v>0</v>
      </c>
      <c r="I1075" s="38">
        <f>G1075*H1075</f>
        <v>0</v>
      </c>
      <c r="J1075" s="38">
        <v>0</v>
      </c>
      <c r="K1075" s="38">
        <f>G1075*J1075</f>
        <v>0</v>
      </c>
      <c r="L1075" s="71" t="s">
        <v>207</v>
      </c>
      <c r="Z1075" s="38">
        <f>IF(AQ1075="5",BJ1075,0)</f>
        <v>0</v>
      </c>
      <c r="AB1075" s="38">
        <f>IF(AQ1075="1",BH1075,0)</f>
        <v>0</v>
      </c>
      <c r="AC1075" s="38">
        <f>IF(AQ1075="1",BI1075,0)</f>
        <v>0</v>
      </c>
      <c r="AD1075" s="38">
        <f>IF(AQ1075="7",BH1075,0)</f>
        <v>0</v>
      </c>
      <c r="AE1075" s="38">
        <f>IF(AQ1075="7",BI1075,0)</f>
        <v>0</v>
      </c>
      <c r="AF1075" s="38">
        <f>IF(AQ1075="2",BH1075,0)</f>
        <v>0</v>
      </c>
      <c r="AG1075" s="38">
        <f>IF(AQ1075="2",BI1075,0)</f>
        <v>0</v>
      </c>
      <c r="AH1075" s="38">
        <f>IF(AQ1075="0",BJ1075,0)</f>
        <v>0</v>
      </c>
      <c r="AI1075" s="50" t="s">
        <v>84</v>
      </c>
      <c r="AJ1075" s="38">
        <f>IF(AN1075=0,I1075,0)</f>
        <v>0</v>
      </c>
      <c r="AK1075" s="38">
        <f>IF(AN1075=12,I1075,0)</f>
        <v>0</v>
      </c>
      <c r="AL1075" s="38">
        <f>IF(AN1075=21,I1075,0)</f>
        <v>0</v>
      </c>
      <c r="AN1075" s="38">
        <v>21</v>
      </c>
      <c r="AO1075" s="38">
        <f>H1075*0.605176122</f>
        <v>0</v>
      </c>
      <c r="AP1075" s="38">
        <f>H1075*(1-0.605176122)</f>
        <v>0</v>
      </c>
      <c r="AQ1075" s="72" t="s">
        <v>132</v>
      </c>
      <c r="AV1075" s="38">
        <f>AW1075+AX1075</f>
        <v>0</v>
      </c>
      <c r="AW1075" s="38">
        <f>G1075*AO1075</f>
        <v>0</v>
      </c>
      <c r="AX1075" s="38">
        <f>G1075*AP1075</f>
        <v>0</v>
      </c>
      <c r="AY1075" s="72" t="s">
        <v>1831</v>
      </c>
      <c r="AZ1075" s="72" t="s">
        <v>1657</v>
      </c>
      <c r="BA1075" s="50" t="s">
        <v>139</v>
      </c>
      <c r="BB1075" s="73">
        <v>100010</v>
      </c>
      <c r="BC1075" s="38">
        <f>AW1075+AX1075</f>
        <v>0</v>
      </c>
      <c r="BD1075" s="38">
        <f>H1075/(100-BE1075)*100</f>
        <v>0</v>
      </c>
      <c r="BE1075" s="38">
        <v>0</v>
      </c>
      <c r="BF1075" s="38">
        <f>K1075</f>
        <v>0</v>
      </c>
      <c r="BH1075" s="38">
        <f>G1075*AO1075</f>
        <v>0</v>
      </c>
      <c r="BI1075" s="38">
        <f>G1075*AP1075</f>
        <v>0</v>
      </c>
      <c r="BJ1075" s="38">
        <f>G1075*H1075</f>
        <v>0</v>
      </c>
      <c r="BK1075" s="38"/>
      <c r="BL1075" s="38">
        <v>97</v>
      </c>
      <c r="BW1075" s="38">
        <v>21</v>
      </c>
    </row>
    <row r="1076" spans="1:12" ht="13.5" customHeight="1">
      <c r="A1076" s="74"/>
      <c r="D1076" s="194" t="s">
        <v>1908</v>
      </c>
      <c r="E1076" s="195"/>
      <c r="F1076" s="195"/>
      <c r="G1076" s="195"/>
      <c r="H1076" s="196"/>
      <c r="I1076" s="195"/>
      <c r="J1076" s="195"/>
      <c r="K1076" s="195"/>
      <c r="L1076" s="197"/>
    </row>
    <row r="1077" spans="1:12" ht="15">
      <c r="A1077" s="74"/>
      <c r="D1077" s="75" t="s">
        <v>1909</v>
      </c>
      <c r="E1077" s="75" t="s">
        <v>266</v>
      </c>
      <c r="G1077" s="76">
        <v>15.8</v>
      </c>
      <c r="L1077" s="77"/>
    </row>
    <row r="1078" spans="1:75" ht="13.5" customHeight="1">
      <c r="A1078" s="1" t="s">
        <v>1910</v>
      </c>
      <c r="B1078" s="2" t="s">
        <v>84</v>
      </c>
      <c r="C1078" s="2" t="s">
        <v>1911</v>
      </c>
      <c r="D1078" s="108" t="s">
        <v>1912</v>
      </c>
      <c r="E1078" s="103"/>
      <c r="F1078" s="2" t="s">
        <v>214</v>
      </c>
      <c r="G1078" s="38">
        <v>0.9</v>
      </c>
      <c r="H1078" s="70">
        <v>0</v>
      </c>
      <c r="I1078" s="38">
        <f>G1078*H1078</f>
        <v>0</v>
      </c>
      <c r="J1078" s="38">
        <v>0.07536</v>
      </c>
      <c r="K1078" s="38">
        <f>G1078*J1078</f>
        <v>0.067824</v>
      </c>
      <c r="L1078" s="71" t="s">
        <v>136</v>
      </c>
      <c r="Z1078" s="38">
        <f>IF(AQ1078="5",BJ1078,0)</f>
        <v>0</v>
      </c>
      <c r="AB1078" s="38">
        <f>IF(AQ1078="1",BH1078,0)</f>
        <v>0</v>
      </c>
      <c r="AC1078" s="38">
        <f>IF(AQ1078="1",BI1078,0)</f>
        <v>0</v>
      </c>
      <c r="AD1078" s="38">
        <f>IF(AQ1078="7",BH1078,0)</f>
        <v>0</v>
      </c>
      <c r="AE1078" s="38">
        <f>IF(AQ1078="7",BI1078,0)</f>
        <v>0</v>
      </c>
      <c r="AF1078" s="38">
        <f>IF(AQ1078="2",BH1078,0)</f>
        <v>0</v>
      </c>
      <c r="AG1078" s="38">
        <f>IF(AQ1078="2",BI1078,0)</f>
        <v>0</v>
      </c>
      <c r="AH1078" s="38">
        <f>IF(AQ1078="0",BJ1078,0)</f>
        <v>0</v>
      </c>
      <c r="AI1078" s="50" t="s">
        <v>84</v>
      </c>
      <c r="AJ1078" s="38">
        <f>IF(AN1078=0,I1078,0)</f>
        <v>0</v>
      </c>
      <c r="AK1078" s="38">
        <f>IF(AN1078=12,I1078,0)</f>
        <v>0</v>
      </c>
      <c r="AL1078" s="38">
        <f>IF(AN1078=21,I1078,0)</f>
        <v>0</v>
      </c>
      <c r="AN1078" s="38">
        <v>21</v>
      </c>
      <c r="AO1078" s="38">
        <f>H1078*0.283569647</f>
        <v>0</v>
      </c>
      <c r="AP1078" s="38">
        <f>H1078*(1-0.283569647)</f>
        <v>0</v>
      </c>
      <c r="AQ1078" s="72" t="s">
        <v>132</v>
      </c>
      <c r="AV1078" s="38">
        <f>AW1078+AX1078</f>
        <v>0</v>
      </c>
      <c r="AW1078" s="38">
        <f>G1078*AO1078</f>
        <v>0</v>
      </c>
      <c r="AX1078" s="38">
        <f>G1078*AP1078</f>
        <v>0</v>
      </c>
      <c r="AY1078" s="72" t="s">
        <v>1831</v>
      </c>
      <c r="AZ1078" s="72" t="s">
        <v>1657</v>
      </c>
      <c r="BA1078" s="50" t="s">
        <v>139</v>
      </c>
      <c r="BB1078" s="73">
        <v>100010</v>
      </c>
      <c r="BC1078" s="38">
        <f>AW1078+AX1078</f>
        <v>0</v>
      </c>
      <c r="BD1078" s="38">
        <f>H1078/(100-BE1078)*100</f>
        <v>0</v>
      </c>
      <c r="BE1078" s="38">
        <v>0</v>
      </c>
      <c r="BF1078" s="38">
        <f>K1078</f>
        <v>0.067824</v>
      </c>
      <c r="BH1078" s="38">
        <f>G1078*AO1078</f>
        <v>0</v>
      </c>
      <c r="BI1078" s="38">
        <f>G1078*AP1078</f>
        <v>0</v>
      </c>
      <c r="BJ1078" s="38">
        <f>G1078*H1078</f>
        <v>0</v>
      </c>
      <c r="BK1078" s="38"/>
      <c r="BL1078" s="38">
        <v>97</v>
      </c>
      <c r="BW1078" s="38">
        <v>21</v>
      </c>
    </row>
    <row r="1079" spans="1:12" ht="13.5" customHeight="1">
      <c r="A1079" s="74"/>
      <c r="D1079" s="194" t="s">
        <v>153</v>
      </c>
      <c r="E1079" s="195"/>
      <c r="F1079" s="195"/>
      <c r="G1079" s="195"/>
      <c r="H1079" s="196"/>
      <c r="I1079" s="195"/>
      <c r="J1079" s="195"/>
      <c r="K1079" s="195"/>
      <c r="L1079" s="197"/>
    </row>
    <row r="1080" spans="1:12" ht="15">
      <c r="A1080" s="74"/>
      <c r="D1080" s="75" t="s">
        <v>1913</v>
      </c>
      <c r="E1080" s="75" t="s">
        <v>153</v>
      </c>
      <c r="G1080" s="76">
        <v>0.9</v>
      </c>
      <c r="L1080" s="77"/>
    </row>
    <row r="1081" spans="1:75" ht="13.5" customHeight="1">
      <c r="A1081" s="1" t="s">
        <v>1914</v>
      </c>
      <c r="B1081" s="2" t="s">
        <v>84</v>
      </c>
      <c r="C1081" s="2" t="s">
        <v>1915</v>
      </c>
      <c r="D1081" s="108" t="s">
        <v>1916</v>
      </c>
      <c r="E1081" s="103"/>
      <c r="F1081" s="2" t="s">
        <v>214</v>
      </c>
      <c r="G1081" s="38">
        <v>16.8</v>
      </c>
      <c r="H1081" s="70">
        <v>0</v>
      </c>
      <c r="I1081" s="38">
        <f>G1081*H1081</f>
        <v>0</v>
      </c>
      <c r="J1081" s="38">
        <v>0.00046</v>
      </c>
      <c r="K1081" s="38">
        <f>G1081*J1081</f>
        <v>0.0077280000000000005</v>
      </c>
      <c r="L1081" s="71" t="s">
        <v>136</v>
      </c>
      <c r="Z1081" s="38">
        <f>IF(AQ1081="5",BJ1081,0)</f>
        <v>0</v>
      </c>
      <c r="AB1081" s="38">
        <f>IF(AQ1081="1",BH1081,0)</f>
        <v>0</v>
      </c>
      <c r="AC1081" s="38">
        <f>IF(AQ1081="1",BI1081,0)</f>
        <v>0</v>
      </c>
      <c r="AD1081" s="38">
        <f>IF(AQ1081="7",BH1081,0)</f>
        <v>0</v>
      </c>
      <c r="AE1081" s="38">
        <f>IF(AQ1081="7",BI1081,0)</f>
        <v>0</v>
      </c>
      <c r="AF1081" s="38">
        <f>IF(AQ1081="2",BH1081,0)</f>
        <v>0</v>
      </c>
      <c r="AG1081" s="38">
        <f>IF(AQ1081="2",BI1081,0)</f>
        <v>0</v>
      </c>
      <c r="AH1081" s="38">
        <f>IF(AQ1081="0",BJ1081,0)</f>
        <v>0</v>
      </c>
      <c r="AI1081" s="50" t="s">
        <v>84</v>
      </c>
      <c r="AJ1081" s="38">
        <f>IF(AN1081=0,I1081,0)</f>
        <v>0</v>
      </c>
      <c r="AK1081" s="38">
        <f>IF(AN1081=12,I1081,0)</f>
        <v>0</v>
      </c>
      <c r="AL1081" s="38">
        <f>IF(AN1081=21,I1081,0)</f>
        <v>0</v>
      </c>
      <c r="AN1081" s="38">
        <v>21</v>
      </c>
      <c r="AO1081" s="38">
        <f>H1081*0.162912371</f>
        <v>0</v>
      </c>
      <c r="AP1081" s="38">
        <f>H1081*(1-0.162912371)</f>
        <v>0</v>
      </c>
      <c r="AQ1081" s="72" t="s">
        <v>132</v>
      </c>
      <c r="AV1081" s="38">
        <f>AW1081+AX1081</f>
        <v>0</v>
      </c>
      <c r="AW1081" s="38">
        <f>G1081*AO1081</f>
        <v>0</v>
      </c>
      <c r="AX1081" s="38">
        <f>G1081*AP1081</f>
        <v>0</v>
      </c>
      <c r="AY1081" s="72" t="s">
        <v>1831</v>
      </c>
      <c r="AZ1081" s="72" t="s">
        <v>1657</v>
      </c>
      <c r="BA1081" s="50" t="s">
        <v>139</v>
      </c>
      <c r="BB1081" s="73">
        <v>100010</v>
      </c>
      <c r="BC1081" s="38">
        <f>AW1081+AX1081</f>
        <v>0</v>
      </c>
      <c r="BD1081" s="38">
        <f>H1081/(100-BE1081)*100</f>
        <v>0</v>
      </c>
      <c r="BE1081" s="38">
        <v>0</v>
      </c>
      <c r="BF1081" s="38">
        <f>K1081</f>
        <v>0.0077280000000000005</v>
      </c>
      <c r="BH1081" s="38">
        <f>G1081*AO1081</f>
        <v>0</v>
      </c>
      <c r="BI1081" s="38">
        <f>G1081*AP1081</f>
        <v>0</v>
      </c>
      <c r="BJ1081" s="38">
        <f>G1081*H1081</f>
        <v>0</v>
      </c>
      <c r="BK1081" s="38"/>
      <c r="BL1081" s="38">
        <v>97</v>
      </c>
      <c r="BW1081" s="38">
        <v>21</v>
      </c>
    </row>
    <row r="1082" spans="1:12" ht="13.5" customHeight="1">
      <c r="A1082" s="74"/>
      <c r="D1082" s="194" t="s">
        <v>153</v>
      </c>
      <c r="E1082" s="195"/>
      <c r="F1082" s="195"/>
      <c r="G1082" s="195"/>
      <c r="H1082" s="196"/>
      <c r="I1082" s="195"/>
      <c r="J1082" s="195"/>
      <c r="K1082" s="195"/>
      <c r="L1082" s="197"/>
    </row>
    <row r="1083" spans="1:12" ht="15">
      <c r="A1083" s="74"/>
      <c r="D1083" s="75" t="s">
        <v>1917</v>
      </c>
      <c r="E1083" s="75" t="s">
        <v>153</v>
      </c>
      <c r="G1083" s="76">
        <v>16.8</v>
      </c>
      <c r="L1083" s="77"/>
    </row>
    <row r="1084" spans="1:75" ht="13.5" customHeight="1">
      <c r="A1084" s="1" t="s">
        <v>1918</v>
      </c>
      <c r="B1084" s="2" t="s">
        <v>84</v>
      </c>
      <c r="C1084" s="2" t="s">
        <v>1919</v>
      </c>
      <c r="D1084" s="108" t="s">
        <v>1920</v>
      </c>
      <c r="E1084" s="103"/>
      <c r="F1084" s="2" t="s">
        <v>214</v>
      </c>
      <c r="G1084" s="38">
        <v>15.2</v>
      </c>
      <c r="H1084" s="70">
        <v>0</v>
      </c>
      <c r="I1084" s="38">
        <f>G1084*H1084</f>
        <v>0</v>
      </c>
      <c r="J1084" s="38">
        <v>0.00046</v>
      </c>
      <c r="K1084" s="38">
        <f>G1084*J1084</f>
        <v>0.006992</v>
      </c>
      <c r="L1084" s="71" t="s">
        <v>136</v>
      </c>
      <c r="Z1084" s="38">
        <f>IF(AQ1084="5",BJ1084,0)</f>
        <v>0</v>
      </c>
      <c r="AB1084" s="38">
        <f>IF(AQ1084="1",BH1084,0)</f>
        <v>0</v>
      </c>
      <c r="AC1084" s="38">
        <f>IF(AQ1084="1",BI1084,0)</f>
        <v>0</v>
      </c>
      <c r="AD1084" s="38">
        <f>IF(AQ1084="7",BH1084,0)</f>
        <v>0</v>
      </c>
      <c r="AE1084" s="38">
        <f>IF(AQ1084="7",BI1084,0)</f>
        <v>0</v>
      </c>
      <c r="AF1084" s="38">
        <f>IF(AQ1084="2",BH1084,0)</f>
        <v>0</v>
      </c>
      <c r="AG1084" s="38">
        <f>IF(AQ1084="2",BI1084,0)</f>
        <v>0</v>
      </c>
      <c r="AH1084" s="38">
        <f>IF(AQ1084="0",BJ1084,0)</f>
        <v>0</v>
      </c>
      <c r="AI1084" s="50" t="s">
        <v>84</v>
      </c>
      <c r="AJ1084" s="38">
        <f>IF(AN1084=0,I1084,0)</f>
        <v>0</v>
      </c>
      <c r="AK1084" s="38">
        <f>IF(AN1084=12,I1084,0)</f>
        <v>0</v>
      </c>
      <c r="AL1084" s="38">
        <f>IF(AN1084=21,I1084,0)</f>
        <v>0</v>
      </c>
      <c r="AN1084" s="38">
        <v>21</v>
      </c>
      <c r="AO1084" s="38">
        <f>H1084*0.150902131</f>
        <v>0</v>
      </c>
      <c r="AP1084" s="38">
        <f>H1084*(1-0.150902131)</f>
        <v>0</v>
      </c>
      <c r="AQ1084" s="72" t="s">
        <v>132</v>
      </c>
      <c r="AV1084" s="38">
        <f>AW1084+AX1084</f>
        <v>0</v>
      </c>
      <c r="AW1084" s="38">
        <f>G1084*AO1084</f>
        <v>0</v>
      </c>
      <c r="AX1084" s="38">
        <f>G1084*AP1084</f>
        <v>0</v>
      </c>
      <c r="AY1084" s="72" t="s">
        <v>1831</v>
      </c>
      <c r="AZ1084" s="72" t="s">
        <v>1657</v>
      </c>
      <c r="BA1084" s="50" t="s">
        <v>139</v>
      </c>
      <c r="BB1084" s="73">
        <v>100010</v>
      </c>
      <c r="BC1084" s="38">
        <f>AW1084+AX1084</f>
        <v>0</v>
      </c>
      <c r="BD1084" s="38">
        <f>H1084/(100-BE1084)*100</f>
        <v>0</v>
      </c>
      <c r="BE1084" s="38">
        <v>0</v>
      </c>
      <c r="BF1084" s="38">
        <f>K1084</f>
        <v>0.006992</v>
      </c>
      <c r="BH1084" s="38">
        <f>G1084*AO1084</f>
        <v>0</v>
      </c>
      <c r="BI1084" s="38">
        <f>G1084*AP1084</f>
        <v>0</v>
      </c>
      <c r="BJ1084" s="38">
        <f>G1084*H1084</f>
        <v>0</v>
      </c>
      <c r="BK1084" s="38"/>
      <c r="BL1084" s="38">
        <v>97</v>
      </c>
      <c r="BW1084" s="38">
        <v>21</v>
      </c>
    </row>
    <row r="1085" spans="1:12" ht="13.5" customHeight="1">
      <c r="A1085" s="74"/>
      <c r="D1085" s="194" t="s">
        <v>153</v>
      </c>
      <c r="E1085" s="195"/>
      <c r="F1085" s="195"/>
      <c r="G1085" s="195"/>
      <c r="H1085" s="196"/>
      <c r="I1085" s="195"/>
      <c r="J1085" s="195"/>
      <c r="K1085" s="195"/>
      <c r="L1085" s="197"/>
    </row>
    <row r="1086" spans="1:12" ht="15">
      <c r="A1086" s="74"/>
      <c r="D1086" s="75" t="s">
        <v>1921</v>
      </c>
      <c r="E1086" s="75" t="s">
        <v>153</v>
      </c>
      <c r="G1086" s="76">
        <v>15.2</v>
      </c>
      <c r="L1086" s="77"/>
    </row>
    <row r="1087" spans="1:75" ht="13.5" customHeight="1">
      <c r="A1087" s="1" t="s">
        <v>1922</v>
      </c>
      <c r="B1087" s="2" t="s">
        <v>84</v>
      </c>
      <c r="C1087" s="2" t="s">
        <v>1923</v>
      </c>
      <c r="D1087" s="108" t="s">
        <v>1924</v>
      </c>
      <c r="E1087" s="103"/>
      <c r="F1087" s="2" t="s">
        <v>263</v>
      </c>
      <c r="G1087" s="38">
        <v>25.2</v>
      </c>
      <c r="H1087" s="70">
        <v>0</v>
      </c>
      <c r="I1087" s="38">
        <f>G1087*H1087</f>
        <v>0</v>
      </c>
      <c r="J1087" s="38">
        <v>0.059</v>
      </c>
      <c r="K1087" s="38">
        <f>G1087*J1087</f>
        <v>1.4868</v>
      </c>
      <c r="L1087" s="71" t="s">
        <v>136</v>
      </c>
      <c r="Z1087" s="38">
        <f>IF(AQ1087="5",BJ1087,0)</f>
        <v>0</v>
      </c>
      <c r="AB1087" s="38">
        <f>IF(AQ1087="1",BH1087,0)</f>
        <v>0</v>
      </c>
      <c r="AC1087" s="38">
        <f>IF(AQ1087="1",BI1087,0)</f>
        <v>0</v>
      </c>
      <c r="AD1087" s="38">
        <f>IF(AQ1087="7",BH1087,0)</f>
        <v>0</v>
      </c>
      <c r="AE1087" s="38">
        <f>IF(AQ1087="7",BI1087,0)</f>
        <v>0</v>
      </c>
      <c r="AF1087" s="38">
        <f>IF(AQ1087="2",BH1087,0)</f>
        <v>0</v>
      </c>
      <c r="AG1087" s="38">
        <f>IF(AQ1087="2",BI1087,0)</f>
        <v>0</v>
      </c>
      <c r="AH1087" s="38">
        <f>IF(AQ1087="0",BJ1087,0)</f>
        <v>0</v>
      </c>
      <c r="AI1087" s="50" t="s">
        <v>84</v>
      </c>
      <c r="AJ1087" s="38">
        <f>IF(AN1087=0,I1087,0)</f>
        <v>0</v>
      </c>
      <c r="AK1087" s="38">
        <f>IF(AN1087=12,I1087,0)</f>
        <v>0</v>
      </c>
      <c r="AL1087" s="38">
        <f>IF(AN1087=21,I1087,0)</f>
        <v>0</v>
      </c>
      <c r="AN1087" s="38">
        <v>21</v>
      </c>
      <c r="AO1087" s="38">
        <f>H1087*0</f>
        <v>0</v>
      </c>
      <c r="AP1087" s="38">
        <f>H1087*(1-0)</f>
        <v>0</v>
      </c>
      <c r="AQ1087" s="72" t="s">
        <v>132</v>
      </c>
      <c r="AV1087" s="38">
        <f>AW1087+AX1087</f>
        <v>0</v>
      </c>
      <c r="AW1087" s="38">
        <f>G1087*AO1087</f>
        <v>0</v>
      </c>
      <c r="AX1087" s="38">
        <f>G1087*AP1087</f>
        <v>0</v>
      </c>
      <c r="AY1087" s="72" t="s">
        <v>1831</v>
      </c>
      <c r="AZ1087" s="72" t="s">
        <v>1657</v>
      </c>
      <c r="BA1087" s="50" t="s">
        <v>139</v>
      </c>
      <c r="BB1087" s="73">
        <v>100010</v>
      </c>
      <c r="BC1087" s="38">
        <f>AW1087+AX1087</f>
        <v>0</v>
      </c>
      <c r="BD1087" s="38">
        <f>H1087/(100-BE1087)*100</f>
        <v>0</v>
      </c>
      <c r="BE1087" s="38">
        <v>0</v>
      </c>
      <c r="BF1087" s="38">
        <f>K1087</f>
        <v>1.4868</v>
      </c>
      <c r="BH1087" s="38">
        <f>G1087*AO1087</f>
        <v>0</v>
      </c>
      <c r="BI1087" s="38">
        <f>G1087*AP1087</f>
        <v>0</v>
      </c>
      <c r="BJ1087" s="38">
        <f>G1087*H1087</f>
        <v>0</v>
      </c>
      <c r="BK1087" s="38"/>
      <c r="BL1087" s="38">
        <v>97</v>
      </c>
      <c r="BW1087" s="38">
        <v>21</v>
      </c>
    </row>
    <row r="1088" spans="1:12" ht="15">
      <c r="A1088" s="74"/>
      <c r="D1088" s="75" t="s">
        <v>636</v>
      </c>
      <c r="E1088" s="75" t="s">
        <v>1925</v>
      </c>
      <c r="G1088" s="76">
        <v>25.2</v>
      </c>
      <c r="L1088" s="77"/>
    </row>
    <row r="1089" spans="1:75" ht="13.5" customHeight="1">
      <c r="A1089" s="1" t="s">
        <v>1926</v>
      </c>
      <c r="B1089" s="2" t="s">
        <v>84</v>
      </c>
      <c r="C1089" s="2" t="s">
        <v>1927</v>
      </c>
      <c r="D1089" s="108" t="s">
        <v>1928</v>
      </c>
      <c r="E1089" s="103"/>
      <c r="F1089" s="2" t="s">
        <v>263</v>
      </c>
      <c r="G1089" s="38">
        <v>13.34</v>
      </c>
      <c r="H1089" s="70">
        <v>0</v>
      </c>
      <c r="I1089" s="38">
        <f>G1089*H1089</f>
        <v>0</v>
      </c>
      <c r="J1089" s="38">
        <v>0.05</v>
      </c>
      <c r="K1089" s="38">
        <f>G1089*J1089</f>
        <v>0.667</v>
      </c>
      <c r="L1089" s="71" t="s">
        <v>136</v>
      </c>
      <c r="Z1089" s="38">
        <f>IF(AQ1089="5",BJ1089,0)</f>
        <v>0</v>
      </c>
      <c r="AB1089" s="38">
        <f>IF(AQ1089="1",BH1089,0)</f>
        <v>0</v>
      </c>
      <c r="AC1089" s="38">
        <f>IF(AQ1089="1",BI1089,0)</f>
        <v>0</v>
      </c>
      <c r="AD1089" s="38">
        <f>IF(AQ1089="7",BH1089,0)</f>
        <v>0</v>
      </c>
      <c r="AE1089" s="38">
        <f>IF(AQ1089="7",BI1089,0)</f>
        <v>0</v>
      </c>
      <c r="AF1089" s="38">
        <f>IF(AQ1089="2",BH1089,0)</f>
        <v>0</v>
      </c>
      <c r="AG1089" s="38">
        <f>IF(AQ1089="2",BI1089,0)</f>
        <v>0</v>
      </c>
      <c r="AH1089" s="38">
        <f>IF(AQ1089="0",BJ1089,0)</f>
        <v>0</v>
      </c>
      <c r="AI1089" s="50" t="s">
        <v>84</v>
      </c>
      <c r="AJ1089" s="38">
        <f>IF(AN1089=0,I1089,0)</f>
        <v>0</v>
      </c>
      <c r="AK1089" s="38">
        <f>IF(AN1089=12,I1089,0)</f>
        <v>0</v>
      </c>
      <c r="AL1089" s="38">
        <f>IF(AN1089=21,I1089,0)</f>
        <v>0</v>
      </c>
      <c r="AN1089" s="38">
        <v>21</v>
      </c>
      <c r="AO1089" s="38">
        <f>H1089*0</f>
        <v>0</v>
      </c>
      <c r="AP1089" s="38">
        <f>H1089*(1-0)</f>
        <v>0</v>
      </c>
      <c r="AQ1089" s="72" t="s">
        <v>132</v>
      </c>
      <c r="AV1089" s="38">
        <f>AW1089+AX1089</f>
        <v>0</v>
      </c>
      <c r="AW1089" s="38">
        <f>G1089*AO1089</f>
        <v>0</v>
      </c>
      <c r="AX1089" s="38">
        <f>G1089*AP1089</f>
        <v>0</v>
      </c>
      <c r="AY1089" s="72" t="s">
        <v>1831</v>
      </c>
      <c r="AZ1089" s="72" t="s">
        <v>1657</v>
      </c>
      <c r="BA1089" s="50" t="s">
        <v>139</v>
      </c>
      <c r="BB1089" s="73">
        <v>100010</v>
      </c>
      <c r="BC1089" s="38">
        <f>AW1089+AX1089</f>
        <v>0</v>
      </c>
      <c r="BD1089" s="38">
        <f>H1089/(100-BE1089)*100</f>
        <v>0</v>
      </c>
      <c r="BE1089" s="38">
        <v>0</v>
      </c>
      <c r="BF1089" s="38">
        <f>K1089</f>
        <v>0.667</v>
      </c>
      <c r="BH1089" s="38">
        <f>G1089*AO1089</f>
        <v>0</v>
      </c>
      <c r="BI1089" s="38">
        <f>G1089*AP1089</f>
        <v>0</v>
      </c>
      <c r="BJ1089" s="38">
        <f>G1089*H1089</f>
        <v>0</v>
      </c>
      <c r="BK1089" s="38"/>
      <c r="BL1089" s="38">
        <v>97</v>
      </c>
      <c r="BW1089" s="38">
        <v>21</v>
      </c>
    </row>
    <row r="1090" spans="1:12" ht="15">
      <c r="A1090" s="74"/>
      <c r="D1090" s="75" t="s">
        <v>644</v>
      </c>
      <c r="E1090" s="75" t="s">
        <v>4</v>
      </c>
      <c r="G1090" s="76">
        <v>13.34</v>
      </c>
      <c r="L1090" s="77"/>
    </row>
    <row r="1091" spans="1:75" ht="13.5" customHeight="1">
      <c r="A1091" s="1" t="s">
        <v>1929</v>
      </c>
      <c r="B1091" s="2" t="s">
        <v>84</v>
      </c>
      <c r="C1091" s="2" t="s">
        <v>1930</v>
      </c>
      <c r="D1091" s="108" t="s">
        <v>1931</v>
      </c>
      <c r="E1091" s="103"/>
      <c r="F1091" s="2" t="s">
        <v>263</v>
      </c>
      <c r="G1091" s="38">
        <v>2.25</v>
      </c>
      <c r="H1091" s="70">
        <v>0</v>
      </c>
      <c r="I1091" s="38">
        <f>G1091*H1091</f>
        <v>0</v>
      </c>
      <c r="J1091" s="38">
        <v>0.042</v>
      </c>
      <c r="K1091" s="38">
        <f>G1091*J1091</f>
        <v>0.0945</v>
      </c>
      <c r="L1091" s="71" t="s">
        <v>207</v>
      </c>
      <c r="Z1091" s="38">
        <f>IF(AQ1091="5",BJ1091,0)</f>
        <v>0</v>
      </c>
      <c r="AB1091" s="38">
        <f>IF(AQ1091="1",BH1091,0)</f>
        <v>0</v>
      </c>
      <c r="AC1091" s="38">
        <f>IF(AQ1091="1",BI1091,0)</f>
        <v>0</v>
      </c>
      <c r="AD1091" s="38">
        <f>IF(AQ1091="7",BH1091,0)</f>
        <v>0</v>
      </c>
      <c r="AE1091" s="38">
        <f>IF(AQ1091="7",BI1091,0)</f>
        <v>0</v>
      </c>
      <c r="AF1091" s="38">
        <f>IF(AQ1091="2",BH1091,0)</f>
        <v>0</v>
      </c>
      <c r="AG1091" s="38">
        <f>IF(AQ1091="2",BI1091,0)</f>
        <v>0</v>
      </c>
      <c r="AH1091" s="38">
        <f>IF(AQ1091="0",BJ1091,0)</f>
        <v>0</v>
      </c>
      <c r="AI1091" s="50" t="s">
        <v>84</v>
      </c>
      <c r="AJ1091" s="38">
        <f>IF(AN1091=0,I1091,0)</f>
        <v>0</v>
      </c>
      <c r="AK1091" s="38">
        <f>IF(AN1091=12,I1091,0)</f>
        <v>0</v>
      </c>
      <c r="AL1091" s="38">
        <f>IF(AN1091=21,I1091,0)</f>
        <v>0</v>
      </c>
      <c r="AN1091" s="38">
        <v>21</v>
      </c>
      <c r="AO1091" s="38">
        <f>H1091*0</f>
        <v>0</v>
      </c>
      <c r="AP1091" s="38">
        <f>H1091*(1-0)</f>
        <v>0</v>
      </c>
      <c r="AQ1091" s="72" t="s">
        <v>132</v>
      </c>
      <c r="AV1091" s="38">
        <f>AW1091+AX1091</f>
        <v>0</v>
      </c>
      <c r="AW1091" s="38">
        <f>G1091*AO1091</f>
        <v>0</v>
      </c>
      <c r="AX1091" s="38">
        <f>G1091*AP1091</f>
        <v>0</v>
      </c>
      <c r="AY1091" s="72" t="s">
        <v>1831</v>
      </c>
      <c r="AZ1091" s="72" t="s">
        <v>1657</v>
      </c>
      <c r="BA1091" s="50" t="s">
        <v>139</v>
      </c>
      <c r="BB1091" s="73">
        <v>100010</v>
      </c>
      <c r="BC1091" s="38">
        <f>AW1091+AX1091</f>
        <v>0</v>
      </c>
      <c r="BD1091" s="38">
        <f>H1091/(100-BE1091)*100</f>
        <v>0</v>
      </c>
      <c r="BE1091" s="38">
        <v>0</v>
      </c>
      <c r="BF1091" s="38">
        <f>K1091</f>
        <v>0.0945</v>
      </c>
      <c r="BH1091" s="38">
        <f>G1091*AO1091</f>
        <v>0</v>
      </c>
      <c r="BI1091" s="38">
        <f>G1091*AP1091</f>
        <v>0</v>
      </c>
      <c r="BJ1091" s="38">
        <f>G1091*H1091</f>
        <v>0</v>
      </c>
      <c r="BK1091" s="38"/>
      <c r="BL1091" s="38">
        <v>97</v>
      </c>
      <c r="BW1091" s="38">
        <v>21</v>
      </c>
    </row>
    <row r="1092" spans="1:12" ht="13.5" customHeight="1">
      <c r="A1092" s="74"/>
      <c r="D1092" s="194" t="s">
        <v>142</v>
      </c>
      <c r="E1092" s="195"/>
      <c r="F1092" s="195"/>
      <c r="G1092" s="195"/>
      <c r="H1092" s="196"/>
      <c r="I1092" s="195"/>
      <c r="J1092" s="195"/>
      <c r="K1092" s="195"/>
      <c r="L1092" s="197"/>
    </row>
    <row r="1093" spans="1:12" ht="15">
      <c r="A1093" s="74"/>
      <c r="D1093" s="75" t="s">
        <v>1932</v>
      </c>
      <c r="E1093" s="75" t="s">
        <v>4</v>
      </c>
      <c r="G1093" s="76">
        <v>2.25</v>
      </c>
      <c r="L1093" s="77"/>
    </row>
    <row r="1094" spans="1:75" ht="13.5" customHeight="1">
      <c r="A1094" s="1" t="s">
        <v>1933</v>
      </c>
      <c r="B1094" s="2" t="s">
        <v>84</v>
      </c>
      <c r="C1094" s="2" t="s">
        <v>1934</v>
      </c>
      <c r="D1094" s="108" t="s">
        <v>1935</v>
      </c>
      <c r="E1094" s="103"/>
      <c r="F1094" s="2" t="s">
        <v>263</v>
      </c>
      <c r="G1094" s="38">
        <v>1.4</v>
      </c>
      <c r="H1094" s="70">
        <v>0</v>
      </c>
      <c r="I1094" s="38">
        <f>G1094*H1094</f>
        <v>0</v>
      </c>
      <c r="J1094" s="38">
        <v>0</v>
      </c>
      <c r="K1094" s="38">
        <f>G1094*J1094</f>
        <v>0</v>
      </c>
      <c r="L1094" s="71" t="s">
        <v>207</v>
      </c>
      <c r="Z1094" s="38">
        <f>IF(AQ1094="5",BJ1094,0)</f>
        <v>0</v>
      </c>
      <c r="AB1094" s="38">
        <f>IF(AQ1094="1",BH1094,0)</f>
        <v>0</v>
      </c>
      <c r="AC1094" s="38">
        <f>IF(AQ1094="1",BI1094,0)</f>
        <v>0</v>
      </c>
      <c r="AD1094" s="38">
        <f>IF(AQ1094="7",BH1094,0)</f>
        <v>0</v>
      </c>
      <c r="AE1094" s="38">
        <f>IF(AQ1094="7",BI1094,0)</f>
        <v>0</v>
      </c>
      <c r="AF1094" s="38">
        <f>IF(AQ1094="2",BH1094,0)</f>
        <v>0</v>
      </c>
      <c r="AG1094" s="38">
        <f>IF(AQ1094="2",BI1094,0)</f>
        <v>0</v>
      </c>
      <c r="AH1094" s="38">
        <f>IF(AQ1094="0",BJ1094,0)</f>
        <v>0</v>
      </c>
      <c r="AI1094" s="50" t="s">
        <v>84</v>
      </c>
      <c r="AJ1094" s="38">
        <f>IF(AN1094=0,I1094,0)</f>
        <v>0</v>
      </c>
      <c r="AK1094" s="38">
        <f>IF(AN1094=12,I1094,0)</f>
        <v>0</v>
      </c>
      <c r="AL1094" s="38">
        <f>IF(AN1094=21,I1094,0)</f>
        <v>0</v>
      </c>
      <c r="AN1094" s="38">
        <v>21</v>
      </c>
      <c r="AO1094" s="38">
        <f>H1094*0</f>
        <v>0</v>
      </c>
      <c r="AP1094" s="38">
        <f>H1094*(1-0)</f>
        <v>0</v>
      </c>
      <c r="AQ1094" s="72" t="s">
        <v>132</v>
      </c>
      <c r="AV1094" s="38">
        <f>AW1094+AX1094</f>
        <v>0</v>
      </c>
      <c r="AW1094" s="38">
        <f>G1094*AO1094</f>
        <v>0</v>
      </c>
      <c r="AX1094" s="38">
        <f>G1094*AP1094</f>
        <v>0</v>
      </c>
      <c r="AY1094" s="72" t="s">
        <v>1831</v>
      </c>
      <c r="AZ1094" s="72" t="s">
        <v>1657</v>
      </c>
      <c r="BA1094" s="50" t="s">
        <v>139</v>
      </c>
      <c r="BB1094" s="73">
        <v>100010</v>
      </c>
      <c r="BC1094" s="38">
        <f>AW1094+AX1094</f>
        <v>0</v>
      </c>
      <c r="BD1094" s="38">
        <f>H1094/(100-BE1094)*100</f>
        <v>0</v>
      </c>
      <c r="BE1094" s="38">
        <v>0</v>
      </c>
      <c r="BF1094" s="38">
        <f>K1094</f>
        <v>0</v>
      </c>
      <c r="BH1094" s="38">
        <f>G1094*AO1094</f>
        <v>0</v>
      </c>
      <c r="BI1094" s="38">
        <f>G1094*AP1094</f>
        <v>0</v>
      </c>
      <c r="BJ1094" s="38">
        <f>G1094*H1094</f>
        <v>0</v>
      </c>
      <c r="BK1094" s="38"/>
      <c r="BL1094" s="38">
        <v>97</v>
      </c>
      <c r="BW1094" s="38">
        <v>21</v>
      </c>
    </row>
    <row r="1095" spans="1:12" ht="15">
      <c r="A1095" s="74"/>
      <c r="D1095" s="75" t="s">
        <v>1936</v>
      </c>
      <c r="E1095" s="75" t="s">
        <v>4</v>
      </c>
      <c r="G1095" s="76">
        <v>1.4</v>
      </c>
      <c r="L1095" s="77"/>
    </row>
    <row r="1096" spans="1:75" ht="13.5" customHeight="1">
      <c r="A1096" s="1" t="s">
        <v>1937</v>
      </c>
      <c r="B1096" s="2" t="s">
        <v>84</v>
      </c>
      <c r="C1096" s="2" t="s">
        <v>1938</v>
      </c>
      <c r="D1096" s="108" t="s">
        <v>1939</v>
      </c>
      <c r="E1096" s="103"/>
      <c r="F1096" s="2" t="s">
        <v>199</v>
      </c>
      <c r="G1096" s="38">
        <v>2</v>
      </c>
      <c r="H1096" s="70">
        <v>0</v>
      </c>
      <c r="I1096" s="38">
        <f>G1096*H1096</f>
        <v>0</v>
      </c>
      <c r="J1096" s="38">
        <v>0</v>
      </c>
      <c r="K1096" s="38">
        <f>G1096*J1096</f>
        <v>0</v>
      </c>
      <c r="L1096" s="71" t="s">
        <v>207</v>
      </c>
      <c r="Z1096" s="38">
        <f>IF(AQ1096="5",BJ1096,0)</f>
        <v>0</v>
      </c>
      <c r="AB1096" s="38">
        <f>IF(AQ1096="1",BH1096,0)</f>
        <v>0</v>
      </c>
      <c r="AC1096" s="38">
        <f>IF(AQ1096="1",BI1096,0)</f>
        <v>0</v>
      </c>
      <c r="AD1096" s="38">
        <f>IF(AQ1096="7",BH1096,0)</f>
        <v>0</v>
      </c>
      <c r="AE1096" s="38">
        <f>IF(AQ1096="7",BI1096,0)</f>
        <v>0</v>
      </c>
      <c r="AF1096" s="38">
        <f>IF(AQ1096="2",BH1096,0)</f>
        <v>0</v>
      </c>
      <c r="AG1096" s="38">
        <f>IF(AQ1096="2",BI1096,0)</f>
        <v>0</v>
      </c>
      <c r="AH1096" s="38">
        <f>IF(AQ1096="0",BJ1096,0)</f>
        <v>0</v>
      </c>
      <c r="AI1096" s="50" t="s">
        <v>84</v>
      </c>
      <c r="AJ1096" s="38">
        <f>IF(AN1096=0,I1096,0)</f>
        <v>0</v>
      </c>
      <c r="AK1096" s="38">
        <f>IF(AN1096=12,I1096,0)</f>
        <v>0</v>
      </c>
      <c r="AL1096" s="38">
        <f>IF(AN1096=21,I1096,0)</f>
        <v>0</v>
      </c>
      <c r="AN1096" s="38">
        <v>21</v>
      </c>
      <c r="AO1096" s="38">
        <f>H1096*0</f>
        <v>0</v>
      </c>
      <c r="AP1096" s="38">
        <f>H1096*(1-0)</f>
        <v>0</v>
      </c>
      <c r="AQ1096" s="72" t="s">
        <v>132</v>
      </c>
      <c r="AV1096" s="38">
        <f>AW1096+AX1096</f>
        <v>0</v>
      </c>
      <c r="AW1096" s="38">
        <f>G1096*AO1096</f>
        <v>0</v>
      </c>
      <c r="AX1096" s="38">
        <f>G1096*AP1096</f>
        <v>0</v>
      </c>
      <c r="AY1096" s="72" t="s">
        <v>1831</v>
      </c>
      <c r="AZ1096" s="72" t="s">
        <v>1657</v>
      </c>
      <c r="BA1096" s="50" t="s">
        <v>139</v>
      </c>
      <c r="BC1096" s="38">
        <f>AW1096+AX1096</f>
        <v>0</v>
      </c>
      <c r="BD1096" s="38">
        <f>H1096/(100-BE1096)*100</f>
        <v>0</v>
      </c>
      <c r="BE1096" s="38">
        <v>0</v>
      </c>
      <c r="BF1096" s="38">
        <f>K1096</f>
        <v>0</v>
      </c>
      <c r="BH1096" s="38">
        <f>G1096*AO1096</f>
        <v>0</v>
      </c>
      <c r="BI1096" s="38">
        <f>G1096*AP1096</f>
        <v>0</v>
      </c>
      <c r="BJ1096" s="38">
        <f>G1096*H1096</f>
        <v>0</v>
      </c>
      <c r="BK1096" s="38"/>
      <c r="BL1096" s="38">
        <v>97</v>
      </c>
      <c r="BW1096" s="38">
        <v>21</v>
      </c>
    </row>
    <row r="1097" spans="1:12" ht="13.5" customHeight="1">
      <c r="A1097" s="74"/>
      <c r="D1097" s="194" t="s">
        <v>1940</v>
      </c>
      <c r="E1097" s="195"/>
      <c r="F1097" s="195"/>
      <c r="G1097" s="195"/>
      <c r="H1097" s="196"/>
      <c r="I1097" s="195"/>
      <c r="J1097" s="195"/>
      <c r="K1097" s="195"/>
      <c r="L1097" s="197"/>
    </row>
    <row r="1098" spans="1:12" ht="15">
      <c r="A1098" s="74"/>
      <c r="D1098" s="75" t="s">
        <v>143</v>
      </c>
      <c r="E1098" s="75" t="s">
        <v>4</v>
      </c>
      <c r="G1098" s="76">
        <v>2</v>
      </c>
      <c r="L1098" s="77"/>
    </row>
    <row r="1099" spans="1:47" ht="15">
      <c r="A1099" s="65" t="s">
        <v>4</v>
      </c>
      <c r="B1099" s="66" t="s">
        <v>84</v>
      </c>
      <c r="C1099" s="66" t="s">
        <v>1941</v>
      </c>
      <c r="D1099" s="192" t="s">
        <v>1942</v>
      </c>
      <c r="E1099" s="193"/>
      <c r="F1099" s="67" t="s">
        <v>78</v>
      </c>
      <c r="G1099" s="67" t="s">
        <v>78</v>
      </c>
      <c r="H1099" s="68" t="s">
        <v>78</v>
      </c>
      <c r="I1099" s="44">
        <f>SUM(I1100:I1100)</f>
        <v>0</v>
      </c>
      <c r="J1099" s="50" t="s">
        <v>4</v>
      </c>
      <c r="K1099" s="44">
        <f>SUM(K1100:K1100)</f>
        <v>0</v>
      </c>
      <c r="L1099" s="69" t="s">
        <v>4</v>
      </c>
      <c r="AI1099" s="50" t="s">
        <v>84</v>
      </c>
      <c r="AS1099" s="44">
        <f>SUM(AJ1100:AJ1100)</f>
        <v>0</v>
      </c>
      <c r="AT1099" s="44">
        <f>SUM(AK1100:AK1100)</f>
        <v>0</v>
      </c>
      <c r="AU1099" s="44">
        <f>SUM(AL1100:AL1100)</f>
        <v>0</v>
      </c>
    </row>
    <row r="1100" spans="1:75" ht="13.5" customHeight="1">
      <c r="A1100" s="1" t="s">
        <v>1943</v>
      </c>
      <c r="B1100" s="2" t="s">
        <v>84</v>
      </c>
      <c r="C1100" s="2" t="s">
        <v>1944</v>
      </c>
      <c r="D1100" s="108" t="s">
        <v>1945</v>
      </c>
      <c r="E1100" s="103"/>
      <c r="F1100" s="2" t="s">
        <v>189</v>
      </c>
      <c r="G1100" s="38">
        <v>236.48</v>
      </c>
      <c r="H1100" s="70">
        <v>0</v>
      </c>
      <c r="I1100" s="38">
        <f>G1100*H1100</f>
        <v>0</v>
      </c>
      <c r="J1100" s="38">
        <v>0</v>
      </c>
      <c r="K1100" s="38">
        <f>G1100*J1100</f>
        <v>0</v>
      </c>
      <c r="L1100" s="71" t="s">
        <v>136</v>
      </c>
      <c r="Z1100" s="38">
        <f>IF(AQ1100="5",BJ1100,0)</f>
        <v>0</v>
      </c>
      <c r="AB1100" s="38">
        <f>IF(AQ1100="1",BH1100,0)</f>
        <v>0</v>
      </c>
      <c r="AC1100" s="38">
        <f>IF(AQ1100="1",BI1100,0)</f>
        <v>0</v>
      </c>
      <c r="AD1100" s="38">
        <f>IF(AQ1100="7",BH1100,0)</f>
        <v>0</v>
      </c>
      <c r="AE1100" s="38">
        <f>IF(AQ1100="7",BI1100,0)</f>
        <v>0</v>
      </c>
      <c r="AF1100" s="38">
        <f>IF(AQ1100="2",BH1100,0)</f>
        <v>0</v>
      </c>
      <c r="AG1100" s="38">
        <f>IF(AQ1100="2",BI1100,0)</f>
        <v>0</v>
      </c>
      <c r="AH1100" s="38">
        <f>IF(AQ1100="0",BJ1100,0)</f>
        <v>0</v>
      </c>
      <c r="AI1100" s="50" t="s">
        <v>84</v>
      </c>
      <c r="AJ1100" s="38">
        <f>IF(AN1100=0,I1100,0)</f>
        <v>0</v>
      </c>
      <c r="AK1100" s="38">
        <f>IF(AN1100=12,I1100,0)</f>
        <v>0</v>
      </c>
      <c r="AL1100" s="38">
        <f>IF(AN1100=21,I1100,0)</f>
        <v>0</v>
      </c>
      <c r="AN1100" s="38">
        <v>21</v>
      </c>
      <c r="AO1100" s="38">
        <f>H1100*0</f>
        <v>0</v>
      </c>
      <c r="AP1100" s="38">
        <f>H1100*(1-0)</f>
        <v>0</v>
      </c>
      <c r="AQ1100" s="72" t="s">
        <v>162</v>
      </c>
      <c r="AV1100" s="38">
        <f>AW1100+AX1100</f>
        <v>0</v>
      </c>
      <c r="AW1100" s="38">
        <f>G1100*AO1100</f>
        <v>0</v>
      </c>
      <c r="AX1100" s="38">
        <f>G1100*AP1100</f>
        <v>0</v>
      </c>
      <c r="AY1100" s="72" t="s">
        <v>1946</v>
      </c>
      <c r="AZ1100" s="72" t="s">
        <v>1657</v>
      </c>
      <c r="BA1100" s="50" t="s">
        <v>139</v>
      </c>
      <c r="BC1100" s="38">
        <f>AW1100+AX1100</f>
        <v>0</v>
      </c>
      <c r="BD1100" s="38">
        <f>H1100/(100-BE1100)*100</f>
        <v>0</v>
      </c>
      <c r="BE1100" s="38">
        <v>0</v>
      </c>
      <c r="BF1100" s="38">
        <f>K1100</f>
        <v>0</v>
      </c>
      <c r="BH1100" s="38">
        <f>G1100*AO1100</f>
        <v>0</v>
      </c>
      <c r="BI1100" s="38">
        <f>G1100*AP1100</f>
        <v>0</v>
      </c>
      <c r="BJ1100" s="38">
        <f>G1100*H1100</f>
        <v>0</v>
      </c>
      <c r="BK1100" s="38"/>
      <c r="BL1100" s="38"/>
      <c r="BW1100" s="38">
        <v>21</v>
      </c>
    </row>
    <row r="1101" spans="1:12" ht="15">
      <c r="A1101" s="74"/>
      <c r="D1101" s="75" t="s">
        <v>1947</v>
      </c>
      <c r="E1101" s="75" t="s">
        <v>4</v>
      </c>
      <c r="G1101" s="76">
        <v>236.48</v>
      </c>
      <c r="L1101" s="77"/>
    </row>
    <row r="1102" spans="1:47" ht="15">
      <c r="A1102" s="65" t="s">
        <v>4</v>
      </c>
      <c r="B1102" s="66" t="s">
        <v>84</v>
      </c>
      <c r="C1102" s="66" t="s">
        <v>1948</v>
      </c>
      <c r="D1102" s="192" t="s">
        <v>1949</v>
      </c>
      <c r="E1102" s="193"/>
      <c r="F1102" s="67" t="s">
        <v>78</v>
      </c>
      <c r="G1102" s="67" t="s">
        <v>78</v>
      </c>
      <c r="H1102" s="68" t="s">
        <v>78</v>
      </c>
      <c r="I1102" s="44">
        <f>SUM(I1103:I1105)</f>
        <v>0</v>
      </c>
      <c r="J1102" s="50" t="s">
        <v>4</v>
      </c>
      <c r="K1102" s="44">
        <f>SUM(K1103:K1105)</f>
        <v>0</v>
      </c>
      <c r="L1102" s="69" t="s">
        <v>4</v>
      </c>
      <c r="AI1102" s="50" t="s">
        <v>84</v>
      </c>
      <c r="AS1102" s="44">
        <f>SUM(AJ1103:AJ1105)</f>
        <v>0</v>
      </c>
      <c r="AT1102" s="44">
        <f>SUM(AK1103:AK1105)</f>
        <v>0</v>
      </c>
      <c r="AU1102" s="44">
        <f>SUM(AL1103:AL1105)</f>
        <v>0</v>
      </c>
    </row>
    <row r="1103" spans="1:75" ht="13.5" customHeight="1">
      <c r="A1103" s="1" t="s">
        <v>1950</v>
      </c>
      <c r="B1103" s="2" t="s">
        <v>84</v>
      </c>
      <c r="C1103" s="2" t="s">
        <v>1951</v>
      </c>
      <c r="D1103" s="108" t="s">
        <v>1952</v>
      </c>
      <c r="E1103" s="103"/>
      <c r="F1103" s="2" t="s">
        <v>471</v>
      </c>
      <c r="G1103" s="38">
        <v>1</v>
      </c>
      <c r="H1103" s="70">
        <v>0</v>
      </c>
      <c r="I1103" s="38">
        <f>G1103*H1103</f>
        <v>0</v>
      </c>
      <c r="J1103" s="38">
        <v>0</v>
      </c>
      <c r="K1103" s="38">
        <f>G1103*J1103</f>
        <v>0</v>
      </c>
      <c r="L1103" s="71" t="s">
        <v>207</v>
      </c>
      <c r="Z1103" s="38">
        <f>IF(AQ1103="5",BJ1103,0)</f>
        <v>0</v>
      </c>
      <c r="AB1103" s="38">
        <f>IF(AQ1103="1",BH1103,0)</f>
        <v>0</v>
      </c>
      <c r="AC1103" s="38">
        <f>IF(AQ1103="1",BI1103,0)</f>
        <v>0</v>
      </c>
      <c r="AD1103" s="38">
        <f>IF(AQ1103="7",BH1103,0)</f>
        <v>0</v>
      </c>
      <c r="AE1103" s="38">
        <f>IF(AQ1103="7",BI1103,0)</f>
        <v>0</v>
      </c>
      <c r="AF1103" s="38">
        <f>IF(AQ1103="2",BH1103,0)</f>
        <v>0</v>
      </c>
      <c r="AG1103" s="38">
        <f>IF(AQ1103="2",BI1103,0)</f>
        <v>0</v>
      </c>
      <c r="AH1103" s="38">
        <f>IF(AQ1103="0",BJ1103,0)</f>
        <v>0</v>
      </c>
      <c r="AI1103" s="50" t="s">
        <v>84</v>
      </c>
      <c r="AJ1103" s="38">
        <f>IF(AN1103=0,I1103,0)</f>
        <v>0</v>
      </c>
      <c r="AK1103" s="38">
        <f>IF(AN1103=12,I1103,0)</f>
        <v>0</v>
      </c>
      <c r="AL1103" s="38">
        <f>IF(AN1103=21,I1103,0)</f>
        <v>0</v>
      </c>
      <c r="AN1103" s="38">
        <v>21</v>
      </c>
      <c r="AO1103" s="38">
        <f>H1103*0</f>
        <v>0</v>
      </c>
      <c r="AP1103" s="38">
        <f>H1103*(1-0)</f>
        <v>0</v>
      </c>
      <c r="AQ1103" s="72" t="s">
        <v>132</v>
      </c>
      <c r="AV1103" s="38">
        <f>AW1103+AX1103</f>
        <v>0</v>
      </c>
      <c r="AW1103" s="38">
        <f>G1103*AO1103</f>
        <v>0</v>
      </c>
      <c r="AX1103" s="38">
        <f>G1103*AP1103</f>
        <v>0</v>
      </c>
      <c r="AY1103" s="72" t="s">
        <v>1953</v>
      </c>
      <c r="AZ1103" s="72" t="s">
        <v>1657</v>
      </c>
      <c r="BA1103" s="50" t="s">
        <v>139</v>
      </c>
      <c r="BB1103" s="73">
        <v>100032</v>
      </c>
      <c r="BC1103" s="38">
        <f>AW1103+AX1103</f>
        <v>0</v>
      </c>
      <c r="BD1103" s="38">
        <f>H1103/(100-BE1103)*100</f>
        <v>0</v>
      </c>
      <c r="BE1103" s="38">
        <v>0</v>
      </c>
      <c r="BF1103" s="38">
        <f>K1103</f>
        <v>0</v>
      </c>
      <c r="BH1103" s="38">
        <f>G1103*AO1103</f>
        <v>0</v>
      </c>
      <c r="BI1103" s="38">
        <f>G1103*AP1103</f>
        <v>0</v>
      </c>
      <c r="BJ1103" s="38">
        <f>G1103*H1103</f>
        <v>0</v>
      </c>
      <c r="BK1103" s="38"/>
      <c r="BL1103" s="38"/>
      <c r="BW1103" s="38">
        <v>21</v>
      </c>
    </row>
    <row r="1104" spans="1:12" ht="15">
      <c r="A1104" s="74"/>
      <c r="D1104" s="75" t="s">
        <v>132</v>
      </c>
      <c r="E1104" s="75" t="s">
        <v>4</v>
      </c>
      <c r="G1104" s="76">
        <v>1</v>
      </c>
      <c r="L1104" s="77"/>
    </row>
    <row r="1105" spans="1:75" ht="13.5" customHeight="1">
      <c r="A1105" s="1" t="s">
        <v>1954</v>
      </c>
      <c r="B1105" s="2" t="s">
        <v>84</v>
      </c>
      <c r="C1105" s="2" t="s">
        <v>1955</v>
      </c>
      <c r="D1105" s="108" t="s">
        <v>1956</v>
      </c>
      <c r="E1105" s="103"/>
      <c r="F1105" s="2" t="s">
        <v>1199</v>
      </c>
      <c r="G1105" s="38">
        <v>630</v>
      </c>
      <c r="H1105" s="70">
        <v>0</v>
      </c>
      <c r="I1105" s="38">
        <f>G1105*H1105</f>
        <v>0</v>
      </c>
      <c r="J1105" s="38">
        <v>0</v>
      </c>
      <c r="K1105" s="38">
        <f>G1105*J1105</f>
        <v>0</v>
      </c>
      <c r="L1105" s="71" t="s">
        <v>136</v>
      </c>
      <c r="Z1105" s="38">
        <f>IF(AQ1105="5",BJ1105,0)</f>
        <v>0</v>
      </c>
      <c r="AB1105" s="38">
        <f>IF(AQ1105="1",BH1105,0)</f>
        <v>0</v>
      </c>
      <c r="AC1105" s="38">
        <f>IF(AQ1105="1",BI1105,0)</f>
        <v>0</v>
      </c>
      <c r="AD1105" s="38">
        <f>IF(AQ1105="7",BH1105,0)</f>
        <v>0</v>
      </c>
      <c r="AE1105" s="38">
        <f>IF(AQ1105="7",BI1105,0)</f>
        <v>0</v>
      </c>
      <c r="AF1105" s="38">
        <f>IF(AQ1105="2",BH1105,0)</f>
        <v>0</v>
      </c>
      <c r="AG1105" s="38">
        <f>IF(AQ1105="2",BI1105,0)</f>
        <v>0</v>
      </c>
      <c r="AH1105" s="38">
        <f>IF(AQ1105="0",BJ1105,0)</f>
        <v>0</v>
      </c>
      <c r="AI1105" s="50" t="s">
        <v>84</v>
      </c>
      <c r="AJ1105" s="38">
        <f>IF(AN1105=0,I1105,0)</f>
        <v>0</v>
      </c>
      <c r="AK1105" s="38">
        <f>IF(AN1105=12,I1105,0)</f>
        <v>0</v>
      </c>
      <c r="AL1105" s="38">
        <f>IF(AN1105=21,I1105,0)</f>
        <v>0</v>
      </c>
      <c r="AN1105" s="38">
        <v>21</v>
      </c>
      <c r="AO1105" s="38">
        <f>H1105*0.432989691</f>
        <v>0</v>
      </c>
      <c r="AP1105" s="38">
        <f>H1105*(1-0.432989691)</f>
        <v>0</v>
      </c>
      <c r="AQ1105" s="72" t="s">
        <v>143</v>
      </c>
      <c r="AV1105" s="38">
        <f>AW1105+AX1105</f>
        <v>0</v>
      </c>
      <c r="AW1105" s="38">
        <f>G1105*AO1105</f>
        <v>0</v>
      </c>
      <c r="AX1105" s="38">
        <f>G1105*AP1105</f>
        <v>0</v>
      </c>
      <c r="AY1105" s="72" t="s">
        <v>1953</v>
      </c>
      <c r="AZ1105" s="72" t="s">
        <v>1657</v>
      </c>
      <c r="BA1105" s="50" t="s">
        <v>139</v>
      </c>
      <c r="BB1105" s="73">
        <v>100032</v>
      </c>
      <c r="BC1105" s="38">
        <f>AW1105+AX1105</f>
        <v>0</v>
      </c>
      <c r="BD1105" s="38">
        <f>H1105/(100-BE1105)*100</f>
        <v>0</v>
      </c>
      <c r="BE1105" s="38">
        <v>0</v>
      </c>
      <c r="BF1105" s="38">
        <f>K1105</f>
        <v>0</v>
      </c>
      <c r="BH1105" s="38">
        <f>G1105*AO1105</f>
        <v>0</v>
      </c>
      <c r="BI1105" s="38">
        <f>G1105*AP1105</f>
        <v>0</v>
      </c>
      <c r="BJ1105" s="38">
        <f>G1105*H1105</f>
        <v>0</v>
      </c>
      <c r="BK1105" s="38"/>
      <c r="BL1105" s="38"/>
      <c r="BW1105" s="38">
        <v>21</v>
      </c>
    </row>
    <row r="1106" spans="1:12" ht="40.5" customHeight="1">
      <c r="A1106" s="74"/>
      <c r="D1106" s="194" t="s">
        <v>1957</v>
      </c>
      <c r="E1106" s="195"/>
      <c r="F1106" s="195"/>
      <c r="G1106" s="195"/>
      <c r="H1106" s="196"/>
      <c r="I1106" s="195"/>
      <c r="J1106" s="195"/>
      <c r="K1106" s="195"/>
      <c r="L1106" s="197"/>
    </row>
    <row r="1107" spans="1:12" ht="15">
      <c r="A1107" s="74"/>
      <c r="D1107" s="75" t="s">
        <v>1958</v>
      </c>
      <c r="E1107" s="75" t="s">
        <v>4</v>
      </c>
      <c r="G1107" s="76">
        <v>630</v>
      </c>
      <c r="L1107" s="77"/>
    </row>
    <row r="1108" spans="1:47" ht="15">
      <c r="A1108" s="65" t="s">
        <v>4</v>
      </c>
      <c r="B1108" s="66" t="s">
        <v>84</v>
      </c>
      <c r="C1108" s="66" t="s">
        <v>696</v>
      </c>
      <c r="D1108" s="192" t="s">
        <v>1959</v>
      </c>
      <c r="E1108" s="193"/>
      <c r="F1108" s="67" t="s">
        <v>78</v>
      </c>
      <c r="G1108" s="67" t="s">
        <v>78</v>
      </c>
      <c r="H1108" s="68" t="s">
        <v>78</v>
      </c>
      <c r="I1108" s="44">
        <f>SUM(I1109:I1117)</f>
        <v>0</v>
      </c>
      <c r="J1108" s="50" t="s">
        <v>4</v>
      </c>
      <c r="K1108" s="44">
        <f>SUM(K1109:K1117)</f>
        <v>2.5</v>
      </c>
      <c r="L1108" s="69" t="s">
        <v>4</v>
      </c>
      <c r="AI1108" s="50" t="s">
        <v>84</v>
      </c>
      <c r="AS1108" s="44">
        <f>SUM(AJ1109:AJ1117)</f>
        <v>0</v>
      </c>
      <c r="AT1108" s="44">
        <f>SUM(AK1109:AK1117)</f>
        <v>0</v>
      </c>
      <c r="AU1108" s="44">
        <f>SUM(AL1109:AL1117)</f>
        <v>0</v>
      </c>
    </row>
    <row r="1109" spans="1:75" ht="13.5" customHeight="1">
      <c r="A1109" s="1" t="s">
        <v>1960</v>
      </c>
      <c r="B1109" s="2" t="s">
        <v>84</v>
      </c>
      <c r="C1109" s="2" t="s">
        <v>1961</v>
      </c>
      <c r="D1109" s="108" t="s">
        <v>1962</v>
      </c>
      <c r="E1109" s="103"/>
      <c r="F1109" s="2" t="s">
        <v>1963</v>
      </c>
      <c r="G1109" s="38">
        <v>40</v>
      </c>
      <c r="H1109" s="70">
        <v>0</v>
      </c>
      <c r="I1109" s="38">
        <f>G1109*H1109</f>
        <v>0</v>
      </c>
      <c r="J1109" s="38">
        <v>0</v>
      </c>
      <c r="K1109" s="38">
        <f>G1109*J1109</f>
        <v>0</v>
      </c>
      <c r="L1109" s="71" t="s">
        <v>136</v>
      </c>
      <c r="Z1109" s="38">
        <f>IF(AQ1109="5",BJ1109,0)</f>
        <v>0</v>
      </c>
      <c r="AB1109" s="38">
        <f>IF(AQ1109="1",BH1109,0)</f>
        <v>0</v>
      </c>
      <c r="AC1109" s="38">
        <f>IF(AQ1109="1",BI1109,0)</f>
        <v>0</v>
      </c>
      <c r="AD1109" s="38">
        <f>IF(AQ1109="7",BH1109,0)</f>
        <v>0</v>
      </c>
      <c r="AE1109" s="38">
        <f>IF(AQ1109="7",BI1109,0)</f>
        <v>0</v>
      </c>
      <c r="AF1109" s="38">
        <f>IF(AQ1109="2",BH1109,0)</f>
        <v>0</v>
      </c>
      <c r="AG1109" s="38">
        <f>IF(AQ1109="2",BI1109,0)</f>
        <v>0</v>
      </c>
      <c r="AH1109" s="38">
        <f>IF(AQ1109="0",BJ1109,0)</f>
        <v>0</v>
      </c>
      <c r="AI1109" s="50" t="s">
        <v>84</v>
      </c>
      <c r="AJ1109" s="38">
        <f>IF(AN1109=0,I1109,0)</f>
        <v>0</v>
      </c>
      <c r="AK1109" s="38">
        <f>IF(AN1109=12,I1109,0)</f>
        <v>0</v>
      </c>
      <c r="AL1109" s="38">
        <f>IF(AN1109=21,I1109,0)</f>
        <v>0</v>
      </c>
      <c r="AN1109" s="38">
        <v>21</v>
      </c>
      <c r="AO1109" s="38">
        <f>H1109*0</f>
        <v>0</v>
      </c>
      <c r="AP1109" s="38">
        <f>H1109*(1-0)</f>
        <v>0</v>
      </c>
      <c r="AQ1109" s="72" t="s">
        <v>132</v>
      </c>
      <c r="AV1109" s="38">
        <f>AW1109+AX1109</f>
        <v>0</v>
      </c>
      <c r="AW1109" s="38">
        <f>G1109*AO1109</f>
        <v>0</v>
      </c>
      <c r="AX1109" s="38">
        <f>G1109*AP1109</f>
        <v>0</v>
      </c>
      <c r="AY1109" s="72" t="s">
        <v>1964</v>
      </c>
      <c r="AZ1109" s="72" t="s">
        <v>1657</v>
      </c>
      <c r="BA1109" s="50" t="s">
        <v>139</v>
      </c>
      <c r="BB1109" s="73">
        <v>100006</v>
      </c>
      <c r="BC1109" s="38">
        <f>AW1109+AX1109</f>
        <v>0</v>
      </c>
      <c r="BD1109" s="38">
        <f>H1109/(100-BE1109)*100</f>
        <v>0</v>
      </c>
      <c r="BE1109" s="38">
        <v>0</v>
      </c>
      <c r="BF1109" s="38">
        <f>K1109</f>
        <v>0</v>
      </c>
      <c r="BH1109" s="38">
        <f>G1109*AO1109</f>
        <v>0</v>
      </c>
      <c r="BI1109" s="38">
        <f>G1109*AP1109</f>
        <v>0</v>
      </c>
      <c r="BJ1109" s="38">
        <f>G1109*H1109</f>
        <v>0</v>
      </c>
      <c r="BK1109" s="38"/>
      <c r="BL1109" s="38">
        <v>90</v>
      </c>
      <c r="BW1109" s="38">
        <v>21</v>
      </c>
    </row>
    <row r="1110" spans="1:12" ht="13.5" customHeight="1">
      <c r="A1110" s="74"/>
      <c r="D1110" s="194" t="s">
        <v>1965</v>
      </c>
      <c r="E1110" s="195"/>
      <c r="F1110" s="195"/>
      <c r="G1110" s="195"/>
      <c r="H1110" s="196"/>
      <c r="I1110" s="195"/>
      <c r="J1110" s="195"/>
      <c r="K1110" s="195"/>
      <c r="L1110" s="197"/>
    </row>
    <row r="1111" spans="1:12" ht="15">
      <c r="A1111" s="74"/>
      <c r="D1111" s="75" t="s">
        <v>362</v>
      </c>
      <c r="E1111" s="75" t="s">
        <v>4</v>
      </c>
      <c r="G1111" s="76">
        <v>40</v>
      </c>
      <c r="L1111" s="77"/>
    </row>
    <row r="1112" spans="1:75" ht="13.5" customHeight="1">
      <c r="A1112" s="78" t="s">
        <v>1966</v>
      </c>
      <c r="B1112" s="79" t="s">
        <v>84</v>
      </c>
      <c r="C1112" s="79" t="s">
        <v>1967</v>
      </c>
      <c r="D1112" s="198" t="s">
        <v>1968</v>
      </c>
      <c r="E1112" s="199"/>
      <c r="F1112" s="79" t="s">
        <v>1693</v>
      </c>
      <c r="G1112" s="80">
        <v>1</v>
      </c>
      <c r="H1112" s="81">
        <v>0</v>
      </c>
      <c r="I1112" s="80">
        <f>G1112*H1112</f>
        <v>0</v>
      </c>
      <c r="J1112" s="80">
        <v>2.5</v>
      </c>
      <c r="K1112" s="80">
        <f>G1112*J1112</f>
        <v>2.5</v>
      </c>
      <c r="L1112" s="82" t="s">
        <v>207</v>
      </c>
      <c r="Z1112" s="38">
        <f>IF(AQ1112="5",BJ1112,0)</f>
        <v>0</v>
      </c>
      <c r="AB1112" s="38">
        <f>IF(AQ1112="1",BH1112,0)</f>
        <v>0</v>
      </c>
      <c r="AC1112" s="38">
        <f>IF(AQ1112="1",BI1112,0)</f>
        <v>0</v>
      </c>
      <c r="AD1112" s="38">
        <f>IF(AQ1112="7",BH1112,0)</f>
        <v>0</v>
      </c>
      <c r="AE1112" s="38">
        <f>IF(AQ1112="7",BI1112,0)</f>
        <v>0</v>
      </c>
      <c r="AF1112" s="38">
        <f>IF(AQ1112="2",BH1112,0)</f>
        <v>0</v>
      </c>
      <c r="AG1112" s="38">
        <f>IF(AQ1112="2",BI1112,0)</f>
        <v>0</v>
      </c>
      <c r="AH1112" s="38">
        <f>IF(AQ1112="0",BJ1112,0)</f>
        <v>0</v>
      </c>
      <c r="AI1112" s="50" t="s">
        <v>84</v>
      </c>
      <c r="AJ1112" s="80">
        <f>IF(AN1112=0,I1112,0)</f>
        <v>0</v>
      </c>
      <c r="AK1112" s="80">
        <f>IF(AN1112=12,I1112,0)</f>
        <v>0</v>
      </c>
      <c r="AL1112" s="80">
        <f>IF(AN1112=21,I1112,0)</f>
        <v>0</v>
      </c>
      <c r="AN1112" s="38">
        <v>21</v>
      </c>
      <c r="AO1112" s="38">
        <f>H1112*1</f>
        <v>0</v>
      </c>
      <c r="AP1112" s="38">
        <f>H1112*(1-1)</f>
        <v>0</v>
      </c>
      <c r="AQ1112" s="83" t="s">
        <v>132</v>
      </c>
      <c r="AV1112" s="38">
        <f>AW1112+AX1112</f>
        <v>0</v>
      </c>
      <c r="AW1112" s="38">
        <f>G1112*AO1112</f>
        <v>0</v>
      </c>
      <c r="AX1112" s="38">
        <f>G1112*AP1112</f>
        <v>0</v>
      </c>
      <c r="AY1112" s="72" t="s">
        <v>1964</v>
      </c>
      <c r="AZ1112" s="72" t="s">
        <v>1657</v>
      </c>
      <c r="BA1112" s="50" t="s">
        <v>139</v>
      </c>
      <c r="BC1112" s="38">
        <f>AW1112+AX1112</f>
        <v>0</v>
      </c>
      <c r="BD1112" s="38">
        <f>H1112/(100-BE1112)*100</f>
        <v>0</v>
      </c>
      <c r="BE1112" s="38">
        <v>0</v>
      </c>
      <c r="BF1112" s="38">
        <f>K1112</f>
        <v>2.5</v>
      </c>
      <c r="BH1112" s="80">
        <f>G1112*AO1112</f>
        <v>0</v>
      </c>
      <c r="BI1112" s="80">
        <f>G1112*AP1112</f>
        <v>0</v>
      </c>
      <c r="BJ1112" s="80">
        <f>G1112*H1112</f>
        <v>0</v>
      </c>
      <c r="BK1112" s="80"/>
      <c r="BL1112" s="38">
        <v>90</v>
      </c>
      <c r="BW1112" s="38">
        <v>21</v>
      </c>
    </row>
    <row r="1113" spans="1:12" ht="15">
      <c r="A1113" s="74"/>
      <c r="D1113" s="75" t="s">
        <v>132</v>
      </c>
      <c r="E1113" s="75" t="s">
        <v>4</v>
      </c>
      <c r="G1113" s="76">
        <v>1</v>
      </c>
      <c r="L1113" s="77"/>
    </row>
    <row r="1114" spans="1:75" ht="13.5" customHeight="1">
      <c r="A1114" s="1" t="s">
        <v>1969</v>
      </c>
      <c r="B1114" s="2" t="s">
        <v>84</v>
      </c>
      <c r="C1114" s="2" t="s">
        <v>1970</v>
      </c>
      <c r="D1114" s="108" t="s">
        <v>1971</v>
      </c>
      <c r="E1114" s="103"/>
      <c r="F1114" s="2" t="s">
        <v>1963</v>
      </c>
      <c r="G1114" s="38">
        <v>32</v>
      </c>
      <c r="H1114" s="70">
        <v>0</v>
      </c>
      <c r="I1114" s="38">
        <f>G1114*H1114</f>
        <v>0</v>
      </c>
      <c r="J1114" s="38">
        <v>0</v>
      </c>
      <c r="K1114" s="38">
        <f>G1114*J1114</f>
        <v>0</v>
      </c>
      <c r="L1114" s="71" t="s">
        <v>136</v>
      </c>
      <c r="Z1114" s="38">
        <f>IF(AQ1114="5",BJ1114,0)</f>
        <v>0</v>
      </c>
      <c r="AB1114" s="38">
        <f>IF(AQ1114="1",BH1114,0)</f>
        <v>0</v>
      </c>
      <c r="AC1114" s="38">
        <f>IF(AQ1114="1",BI1114,0)</f>
        <v>0</v>
      </c>
      <c r="AD1114" s="38">
        <f>IF(AQ1114="7",BH1114,0)</f>
        <v>0</v>
      </c>
      <c r="AE1114" s="38">
        <f>IF(AQ1114="7",BI1114,0)</f>
        <v>0</v>
      </c>
      <c r="AF1114" s="38">
        <f>IF(AQ1114="2",BH1114,0)</f>
        <v>0</v>
      </c>
      <c r="AG1114" s="38">
        <f>IF(AQ1114="2",BI1114,0)</f>
        <v>0</v>
      </c>
      <c r="AH1114" s="38">
        <f>IF(AQ1114="0",BJ1114,0)</f>
        <v>0</v>
      </c>
      <c r="AI1114" s="50" t="s">
        <v>84</v>
      </c>
      <c r="AJ1114" s="38">
        <f>IF(AN1114=0,I1114,0)</f>
        <v>0</v>
      </c>
      <c r="AK1114" s="38">
        <f>IF(AN1114=12,I1114,0)</f>
        <v>0</v>
      </c>
      <c r="AL1114" s="38">
        <f>IF(AN1114=21,I1114,0)</f>
        <v>0</v>
      </c>
      <c r="AN1114" s="38">
        <v>21</v>
      </c>
      <c r="AO1114" s="38">
        <f>H1114*0</f>
        <v>0</v>
      </c>
      <c r="AP1114" s="38">
        <f>H1114*(1-0)</f>
        <v>0</v>
      </c>
      <c r="AQ1114" s="72" t="s">
        <v>132</v>
      </c>
      <c r="AV1114" s="38">
        <f>AW1114+AX1114</f>
        <v>0</v>
      </c>
      <c r="AW1114" s="38">
        <f>G1114*AO1114</f>
        <v>0</v>
      </c>
      <c r="AX1114" s="38">
        <f>G1114*AP1114</f>
        <v>0</v>
      </c>
      <c r="AY1114" s="72" t="s">
        <v>1964</v>
      </c>
      <c r="AZ1114" s="72" t="s">
        <v>1657</v>
      </c>
      <c r="BA1114" s="50" t="s">
        <v>139</v>
      </c>
      <c r="BB1114" s="73">
        <v>100006</v>
      </c>
      <c r="BC1114" s="38">
        <f>AW1114+AX1114</f>
        <v>0</v>
      </c>
      <c r="BD1114" s="38">
        <f>H1114/(100-BE1114)*100</f>
        <v>0</v>
      </c>
      <c r="BE1114" s="38">
        <v>0</v>
      </c>
      <c r="BF1114" s="38">
        <f>K1114</f>
        <v>0</v>
      </c>
      <c r="BH1114" s="38">
        <f>G1114*AO1114</f>
        <v>0</v>
      </c>
      <c r="BI1114" s="38">
        <f>G1114*AP1114</f>
        <v>0</v>
      </c>
      <c r="BJ1114" s="38">
        <f>G1114*H1114</f>
        <v>0</v>
      </c>
      <c r="BK1114" s="38"/>
      <c r="BL1114" s="38">
        <v>90</v>
      </c>
      <c r="BW1114" s="38">
        <v>21</v>
      </c>
    </row>
    <row r="1115" spans="1:12" ht="13.5" customHeight="1">
      <c r="A1115" s="74"/>
      <c r="D1115" s="194" t="s">
        <v>1972</v>
      </c>
      <c r="E1115" s="195"/>
      <c r="F1115" s="195"/>
      <c r="G1115" s="195"/>
      <c r="H1115" s="196"/>
      <c r="I1115" s="195"/>
      <c r="J1115" s="195"/>
      <c r="K1115" s="195"/>
      <c r="L1115" s="197"/>
    </row>
    <row r="1116" spans="1:12" ht="15">
      <c r="A1116" s="74"/>
      <c r="D1116" s="75" t="s">
        <v>322</v>
      </c>
      <c r="E1116" s="75" t="s">
        <v>4</v>
      </c>
      <c r="G1116" s="76">
        <v>32</v>
      </c>
      <c r="L1116" s="77"/>
    </row>
    <row r="1117" spans="1:75" ht="13.5" customHeight="1">
      <c r="A1117" s="1" t="s">
        <v>1973</v>
      </c>
      <c r="B1117" s="2" t="s">
        <v>84</v>
      </c>
      <c r="C1117" s="2" t="s">
        <v>1970</v>
      </c>
      <c r="D1117" s="108" t="s">
        <v>1974</v>
      </c>
      <c r="E1117" s="103"/>
      <c r="F1117" s="2" t="s">
        <v>1963</v>
      </c>
      <c r="G1117" s="38">
        <v>12</v>
      </c>
      <c r="H1117" s="70">
        <v>0</v>
      </c>
      <c r="I1117" s="38">
        <f>G1117*H1117</f>
        <v>0</v>
      </c>
      <c r="J1117" s="38">
        <v>0</v>
      </c>
      <c r="K1117" s="38">
        <f>G1117*J1117</f>
        <v>0</v>
      </c>
      <c r="L1117" s="71" t="s">
        <v>136</v>
      </c>
      <c r="Z1117" s="38">
        <f>IF(AQ1117="5",BJ1117,0)</f>
        <v>0</v>
      </c>
      <c r="AB1117" s="38">
        <f>IF(AQ1117="1",BH1117,0)</f>
        <v>0</v>
      </c>
      <c r="AC1117" s="38">
        <f>IF(AQ1117="1",BI1117,0)</f>
        <v>0</v>
      </c>
      <c r="AD1117" s="38">
        <f>IF(AQ1117="7",BH1117,0)</f>
        <v>0</v>
      </c>
      <c r="AE1117" s="38">
        <f>IF(AQ1117="7",BI1117,0)</f>
        <v>0</v>
      </c>
      <c r="AF1117" s="38">
        <f>IF(AQ1117="2",BH1117,0)</f>
        <v>0</v>
      </c>
      <c r="AG1117" s="38">
        <f>IF(AQ1117="2",BI1117,0)</f>
        <v>0</v>
      </c>
      <c r="AH1117" s="38">
        <f>IF(AQ1117="0",BJ1117,0)</f>
        <v>0</v>
      </c>
      <c r="AI1117" s="50" t="s">
        <v>84</v>
      </c>
      <c r="AJ1117" s="38">
        <f>IF(AN1117=0,I1117,0)</f>
        <v>0</v>
      </c>
      <c r="AK1117" s="38">
        <f>IF(AN1117=12,I1117,0)</f>
        <v>0</v>
      </c>
      <c r="AL1117" s="38">
        <f>IF(AN1117=21,I1117,0)</f>
        <v>0</v>
      </c>
      <c r="AN1117" s="38">
        <v>21</v>
      </c>
      <c r="AO1117" s="38">
        <f>H1117*0</f>
        <v>0</v>
      </c>
      <c r="AP1117" s="38">
        <f>H1117*(1-0)</f>
        <v>0</v>
      </c>
      <c r="AQ1117" s="72" t="s">
        <v>132</v>
      </c>
      <c r="AV1117" s="38">
        <f>AW1117+AX1117</f>
        <v>0</v>
      </c>
      <c r="AW1117" s="38">
        <f>G1117*AO1117</f>
        <v>0</v>
      </c>
      <c r="AX1117" s="38">
        <f>G1117*AP1117</f>
        <v>0</v>
      </c>
      <c r="AY1117" s="72" t="s">
        <v>1964</v>
      </c>
      <c r="AZ1117" s="72" t="s">
        <v>1657</v>
      </c>
      <c r="BA1117" s="50" t="s">
        <v>139</v>
      </c>
      <c r="BB1117" s="73">
        <v>100006</v>
      </c>
      <c r="BC1117" s="38">
        <f>AW1117+AX1117</f>
        <v>0</v>
      </c>
      <c r="BD1117" s="38">
        <f>H1117/(100-BE1117)*100</f>
        <v>0</v>
      </c>
      <c r="BE1117" s="38">
        <v>0</v>
      </c>
      <c r="BF1117" s="38">
        <f>K1117</f>
        <v>0</v>
      </c>
      <c r="BH1117" s="38">
        <f>G1117*AO1117</f>
        <v>0</v>
      </c>
      <c r="BI1117" s="38">
        <f>G1117*AP1117</f>
        <v>0</v>
      </c>
      <c r="BJ1117" s="38">
        <f>G1117*H1117</f>
        <v>0</v>
      </c>
      <c r="BK1117" s="38"/>
      <c r="BL1117" s="38">
        <v>90</v>
      </c>
      <c r="BW1117" s="38">
        <v>21</v>
      </c>
    </row>
    <row r="1118" spans="1:12" ht="13.5" customHeight="1">
      <c r="A1118" s="74"/>
      <c r="D1118" s="194" t="s">
        <v>1972</v>
      </c>
      <c r="E1118" s="195"/>
      <c r="F1118" s="195"/>
      <c r="G1118" s="195"/>
      <c r="H1118" s="196"/>
      <c r="I1118" s="195"/>
      <c r="J1118" s="195"/>
      <c r="K1118" s="195"/>
      <c r="L1118" s="197"/>
    </row>
    <row r="1119" spans="1:12" ht="15">
      <c r="A1119" s="74"/>
      <c r="D1119" s="75" t="s">
        <v>130</v>
      </c>
      <c r="E1119" s="75" t="s">
        <v>1975</v>
      </c>
      <c r="G1119" s="76">
        <v>12</v>
      </c>
      <c r="L1119" s="77"/>
    </row>
    <row r="1120" spans="1:47" ht="15">
      <c r="A1120" s="65" t="s">
        <v>4</v>
      </c>
      <c r="B1120" s="66" t="s">
        <v>84</v>
      </c>
      <c r="C1120" s="66" t="s">
        <v>1976</v>
      </c>
      <c r="D1120" s="192" t="s">
        <v>1977</v>
      </c>
      <c r="E1120" s="193"/>
      <c r="F1120" s="67" t="s">
        <v>78</v>
      </c>
      <c r="G1120" s="67" t="s">
        <v>78</v>
      </c>
      <c r="H1120" s="68" t="s">
        <v>78</v>
      </c>
      <c r="I1120" s="44">
        <f>SUM(I1121:I1132)</f>
        <v>0</v>
      </c>
      <c r="J1120" s="50" t="s">
        <v>4</v>
      </c>
      <c r="K1120" s="44">
        <f>SUM(K1121:K1132)</f>
        <v>0</v>
      </c>
      <c r="L1120" s="69" t="s">
        <v>4</v>
      </c>
      <c r="AI1120" s="50" t="s">
        <v>84</v>
      </c>
      <c r="AS1120" s="44">
        <f>SUM(AJ1121:AJ1132)</f>
        <v>0</v>
      </c>
      <c r="AT1120" s="44">
        <f>SUM(AK1121:AK1132)</f>
        <v>0</v>
      </c>
      <c r="AU1120" s="44">
        <f>SUM(AL1121:AL1132)</f>
        <v>0</v>
      </c>
    </row>
    <row r="1121" spans="1:75" ht="13.5" customHeight="1">
      <c r="A1121" s="1" t="s">
        <v>1978</v>
      </c>
      <c r="B1121" s="2" t="s">
        <v>84</v>
      </c>
      <c r="C1121" s="2" t="s">
        <v>1979</v>
      </c>
      <c r="D1121" s="108" t="s">
        <v>1980</v>
      </c>
      <c r="E1121" s="103"/>
      <c r="F1121" s="2" t="s">
        <v>189</v>
      </c>
      <c r="G1121" s="38">
        <v>140.64</v>
      </c>
      <c r="H1121" s="70">
        <v>0</v>
      </c>
      <c r="I1121" s="38">
        <f>G1121*H1121</f>
        <v>0</v>
      </c>
      <c r="J1121" s="38">
        <v>0</v>
      </c>
      <c r="K1121" s="38">
        <f>G1121*J1121</f>
        <v>0</v>
      </c>
      <c r="L1121" s="71" t="s">
        <v>136</v>
      </c>
      <c r="Z1121" s="38">
        <f>IF(AQ1121="5",BJ1121,0)</f>
        <v>0</v>
      </c>
      <c r="AB1121" s="38">
        <f>IF(AQ1121="1",BH1121,0)</f>
        <v>0</v>
      </c>
      <c r="AC1121" s="38">
        <f>IF(AQ1121="1",BI1121,0)</f>
        <v>0</v>
      </c>
      <c r="AD1121" s="38">
        <f>IF(AQ1121="7",BH1121,0)</f>
        <v>0</v>
      </c>
      <c r="AE1121" s="38">
        <f>IF(AQ1121="7",BI1121,0)</f>
        <v>0</v>
      </c>
      <c r="AF1121" s="38">
        <f>IF(AQ1121="2",BH1121,0)</f>
        <v>0</v>
      </c>
      <c r="AG1121" s="38">
        <f>IF(AQ1121="2",BI1121,0)</f>
        <v>0</v>
      </c>
      <c r="AH1121" s="38">
        <f>IF(AQ1121="0",BJ1121,0)</f>
        <v>0</v>
      </c>
      <c r="AI1121" s="50" t="s">
        <v>84</v>
      </c>
      <c r="AJ1121" s="38">
        <f>IF(AN1121=0,I1121,0)</f>
        <v>0</v>
      </c>
      <c r="AK1121" s="38">
        <f>IF(AN1121=12,I1121,0)</f>
        <v>0</v>
      </c>
      <c r="AL1121" s="38">
        <f>IF(AN1121=21,I1121,0)</f>
        <v>0</v>
      </c>
      <c r="AN1121" s="38">
        <v>21</v>
      </c>
      <c r="AO1121" s="38">
        <f>H1121*0</f>
        <v>0</v>
      </c>
      <c r="AP1121" s="38">
        <f>H1121*(1-0)</f>
        <v>0</v>
      </c>
      <c r="AQ1121" s="72" t="s">
        <v>162</v>
      </c>
      <c r="AV1121" s="38">
        <f>AW1121+AX1121</f>
        <v>0</v>
      </c>
      <c r="AW1121" s="38">
        <f>G1121*AO1121</f>
        <v>0</v>
      </c>
      <c r="AX1121" s="38">
        <f>G1121*AP1121</f>
        <v>0</v>
      </c>
      <c r="AY1121" s="72" t="s">
        <v>1981</v>
      </c>
      <c r="AZ1121" s="72" t="s">
        <v>1657</v>
      </c>
      <c r="BA1121" s="50" t="s">
        <v>139</v>
      </c>
      <c r="BB1121" s="73">
        <v>100038</v>
      </c>
      <c r="BC1121" s="38">
        <f>AW1121+AX1121</f>
        <v>0</v>
      </c>
      <c r="BD1121" s="38">
        <f>H1121/(100-BE1121)*100</f>
        <v>0</v>
      </c>
      <c r="BE1121" s="38">
        <v>0</v>
      </c>
      <c r="BF1121" s="38">
        <f>K1121</f>
        <v>0</v>
      </c>
      <c r="BH1121" s="38">
        <f>G1121*AO1121</f>
        <v>0</v>
      </c>
      <c r="BI1121" s="38">
        <f>G1121*AP1121</f>
        <v>0</v>
      </c>
      <c r="BJ1121" s="38">
        <f>G1121*H1121</f>
        <v>0</v>
      </c>
      <c r="BK1121" s="38"/>
      <c r="BL1121" s="38"/>
      <c r="BW1121" s="38">
        <v>21</v>
      </c>
    </row>
    <row r="1122" spans="1:12" ht="13.5" customHeight="1">
      <c r="A1122" s="74"/>
      <c r="D1122" s="194" t="s">
        <v>1982</v>
      </c>
      <c r="E1122" s="195"/>
      <c r="F1122" s="195"/>
      <c r="G1122" s="195"/>
      <c r="H1122" s="196"/>
      <c r="I1122" s="195"/>
      <c r="J1122" s="195"/>
      <c r="K1122" s="195"/>
      <c r="L1122" s="197"/>
    </row>
    <row r="1123" spans="1:12" ht="15">
      <c r="A1123" s="74"/>
      <c r="D1123" s="75" t="s">
        <v>1983</v>
      </c>
      <c r="E1123" s="75" t="s">
        <v>1984</v>
      </c>
      <c r="G1123" s="76">
        <v>128.64</v>
      </c>
      <c r="L1123" s="77"/>
    </row>
    <row r="1124" spans="1:12" ht="15">
      <c r="A1124" s="74"/>
      <c r="D1124" s="75" t="s">
        <v>157</v>
      </c>
      <c r="E1124" s="75" t="s">
        <v>1985</v>
      </c>
      <c r="G1124" s="76">
        <v>4</v>
      </c>
      <c r="L1124" s="77"/>
    </row>
    <row r="1125" spans="1:12" ht="15">
      <c r="A1125" s="74"/>
      <c r="D1125" s="75" t="s">
        <v>174</v>
      </c>
      <c r="E1125" s="75" t="s">
        <v>1986</v>
      </c>
      <c r="G1125" s="76">
        <v>8</v>
      </c>
      <c r="L1125" s="77"/>
    </row>
    <row r="1126" spans="1:75" ht="13.5" customHeight="1">
      <c r="A1126" s="1" t="s">
        <v>1987</v>
      </c>
      <c r="B1126" s="2" t="s">
        <v>84</v>
      </c>
      <c r="C1126" s="2" t="s">
        <v>1988</v>
      </c>
      <c r="D1126" s="108" t="s">
        <v>1989</v>
      </c>
      <c r="E1126" s="103"/>
      <c r="F1126" s="2" t="s">
        <v>189</v>
      </c>
      <c r="G1126" s="38">
        <v>703.2</v>
      </c>
      <c r="H1126" s="70">
        <v>0</v>
      </c>
      <c r="I1126" s="38">
        <f>G1126*H1126</f>
        <v>0</v>
      </c>
      <c r="J1126" s="38">
        <v>0</v>
      </c>
      <c r="K1126" s="38">
        <f>G1126*J1126</f>
        <v>0</v>
      </c>
      <c r="L1126" s="71" t="s">
        <v>136</v>
      </c>
      <c r="Z1126" s="38">
        <f>IF(AQ1126="5",BJ1126,0)</f>
        <v>0</v>
      </c>
      <c r="AB1126" s="38">
        <f>IF(AQ1126="1",BH1126,0)</f>
        <v>0</v>
      </c>
      <c r="AC1126" s="38">
        <f>IF(AQ1126="1",BI1126,0)</f>
        <v>0</v>
      </c>
      <c r="AD1126" s="38">
        <f>IF(AQ1126="7",BH1126,0)</f>
        <v>0</v>
      </c>
      <c r="AE1126" s="38">
        <f>IF(AQ1126="7",BI1126,0)</f>
        <v>0</v>
      </c>
      <c r="AF1126" s="38">
        <f>IF(AQ1126="2",BH1126,0)</f>
        <v>0</v>
      </c>
      <c r="AG1126" s="38">
        <f>IF(AQ1126="2",BI1126,0)</f>
        <v>0</v>
      </c>
      <c r="AH1126" s="38">
        <f>IF(AQ1126="0",BJ1126,0)</f>
        <v>0</v>
      </c>
      <c r="AI1126" s="50" t="s">
        <v>84</v>
      </c>
      <c r="AJ1126" s="38">
        <f>IF(AN1126=0,I1126,0)</f>
        <v>0</v>
      </c>
      <c r="AK1126" s="38">
        <f>IF(AN1126=12,I1126,0)</f>
        <v>0</v>
      </c>
      <c r="AL1126" s="38">
        <f>IF(AN1126=21,I1126,0)</f>
        <v>0</v>
      </c>
      <c r="AN1126" s="38">
        <v>21</v>
      </c>
      <c r="AO1126" s="38">
        <f>H1126*0</f>
        <v>0</v>
      </c>
      <c r="AP1126" s="38">
        <f>H1126*(1-0)</f>
        <v>0</v>
      </c>
      <c r="AQ1126" s="72" t="s">
        <v>162</v>
      </c>
      <c r="AV1126" s="38">
        <f>AW1126+AX1126</f>
        <v>0</v>
      </c>
      <c r="AW1126" s="38">
        <f>G1126*AO1126</f>
        <v>0</v>
      </c>
      <c r="AX1126" s="38">
        <f>G1126*AP1126</f>
        <v>0</v>
      </c>
      <c r="AY1126" s="72" t="s">
        <v>1981</v>
      </c>
      <c r="AZ1126" s="72" t="s">
        <v>1657</v>
      </c>
      <c r="BA1126" s="50" t="s">
        <v>139</v>
      </c>
      <c r="BB1126" s="73">
        <v>100038</v>
      </c>
      <c r="BC1126" s="38">
        <f>AW1126+AX1126</f>
        <v>0</v>
      </c>
      <c r="BD1126" s="38">
        <f>H1126/(100-BE1126)*100</f>
        <v>0</v>
      </c>
      <c r="BE1126" s="38">
        <v>0</v>
      </c>
      <c r="BF1126" s="38">
        <f>K1126</f>
        <v>0</v>
      </c>
      <c r="BH1126" s="38">
        <f>G1126*AO1126</f>
        <v>0</v>
      </c>
      <c r="BI1126" s="38">
        <f>G1126*AP1126</f>
        <v>0</v>
      </c>
      <c r="BJ1126" s="38">
        <f>G1126*H1126</f>
        <v>0</v>
      </c>
      <c r="BK1126" s="38"/>
      <c r="BL1126" s="38"/>
      <c r="BW1126" s="38">
        <v>21</v>
      </c>
    </row>
    <row r="1127" spans="1:12" ht="15">
      <c r="A1127" s="74"/>
      <c r="D1127" s="75" t="s">
        <v>1990</v>
      </c>
      <c r="E1127" s="75" t="s">
        <v>4</v>
      </c>
      <c r="G1127" s="76">
        <v>703.2</v>
      </c>
      <c r="L1127" s="77"/>
    </row>
    <row r="1128" spans="1:75" ht="13.5" customHeight="1">
      <c r="A1128" s="1" t="s">
        <v>1991</v>
      </c>
      <c r="B1128" s="2" t="s">
        <v>84</v>
      </c>
      <c r="C1128" s="2" t="s">
        <v>1992</v>
      </c>
      <c r="D1128" s="108" t="s">
        <v>1993</v>
      </c>
      <c r="E1128" s="103"/>
      <c r="F1128" s="2" t="s">
        <v>189</v>
      </c>
      <c r="G1128" s="38">
        <v>140.64</v>
      </c>
      <c r="H1128" s="70">
        <v>0</v>
      </c>
      <c r="I1128" s="38">
        <f>G1128*H1128</f>
        <v>0</v>
      </c>
      <c r="J1128" s="38">
        <v>0</v>
      </c>
      <c r="K1128" s="38">
        <f>G1128*J1128</f>
        <v>0</v>
      </c>
      <c r="L1128" s="71" t="s">
        <v>136</v>
      </c>
      <c r="Z1128" s="38">
        <f>IF(AQ1128="5",BJ1128,0)</f>
        <v>0</v>
      </c>
      <c r="AB1128" s="38">
        <f>IF(AQ1128="1",BH1128,0)</f>
        <v>0</v>
      </c>
      <c r="AC1128" s="38">
        <f>IF(AQ1128="1",BI1128,0)</f>
        <v>0</v>
      </c>
      <c r="AD1128" s="38">
        <f>IF(AQ1128="7",BH1128,0)</f>
        <v>0</v>
      </c>
      <c r="AE1128" s="38">
        <f>IF(AQ1128="7",BI1128,0)</f>
        <v>0</v>
      </c>
      <c r="AF1128" s="38">
        <f>IF(AQ1128="2",BH1128,0)</f>
        <v>0</v>
      </c>
      <c r="AG1128" s="38">
        <f>IF(AQ1128="2",BI1128,0)</f>
        <v>0</v>
      </c>
      <c r="AH1128" s="38">
        <f>IF(AQ1128="0",BJ1128,0)</f>
        <v>0</v>
      </c>
      <c r="AI1128" s="50" t="s">
        <v>84</v>
      </c>
      <c r="AJ1128" s="38">
        <f>IF(AN1128=0,I1128,0)</f>
        <v>0</v>
      </c>
      <c r="AK1128" s="38">
        <f>IF(AN1128=12,I1128,0)</f>
        <v>0</v>
      </c>
      <c r="AL1128" s="38">
        <f>IF(AN1128=21,I1128,0)</f>
        <v>0</v>
      </c>
      <c r="AN1128" s="38">
        <v>21</v>
      </c>
      <c r="AO1128" s="38">
        <f>H1128*0</f>
        <v>0</v>
      </c>
      <c r="AP1128" s="38">
        <f>H1128*(1-0)</f>
        <v>0</v>
      </c>
      <c r="AQ1128" s="72" t="s">
        <v>162</v>
      </c>
      <c r="AV1128" s="38">
        <f>AW1128+AX1128</f>
        <v>0</v>
      </c>
      <c r="AW1128" s="38">
        <f>G1128*AO1128</f>
        <v>0</v>
      </c>
      <c r="AX1128" s="38">
        <f>G1128*AP1128</f>
        <v>0</v>
      </c>
      <c r="AY1128" s="72" t="s">
        <v>1981</v>
      </c>
      <c r="AZ1128" s="72" t="s">
        <v>1657</v>
      </c>
      <c r="BA1128" s="50" t="s">
        <v>139</v>
      </c>
      <c r="BB1128" s="73">
        <v>100038</v>
      </c>
      <c r="BC1128" s="38">
        <f>AW1128+AX1128</f>
        <v>0</v>
      </c>
      <c r="BD1128" s="38">
        <f>H1128/(100-BE1128)*100</f>
        <v>0</v>
      </c>
      <c r="BE1128" s="38">
        <v>0</v>
      </c>
      <c r="BF1128" s="38">
        <f>K1128</f>
        <v>0</v>
      </c>
      <c r="BH1128" s="38">
        <f>G1128*AO1128</f>
        <v>0</v>
      </c>
      <c r="BI1128" s="38">
        <f>G1128*AP1128</f>
        <v>0</v>
      </c>
      <c r="BJ1128" s="38">
        <f>G1128*H1128</f>
        <v>0</v>
      </c>
      <c r="BK1128" s="38"/>
      <c r="BL1128" s="38"/>
      <c r="BW1128" s="38">
        <v>21</v>
      </c>
    </row>
    <row r="1129" spans="1:12" ht="15">
      <c r="A1129" s="74"/>
      <c r="D1129" s="75" t="s">
        <v>1994</v>
      </c>
      <c r="E1129" s="75" t="s">
        <v>4</v>
      </c>
      <c r="G1129" s="76">
        <v>140.64</v>
      </c>
      <c r="L1129" s="77"/>
    </row>
    <row r="1130" spans="1:75" ht="13.5" customHeight="1">
      <c r="A1130" s="1" t="s">
        <v>1995</v>
      </c>
      <c r="B1130" s="2" t="s">
        <v>84</v>
      </c>
      <c r="C1130" s="2" t="s">
        <v>1996</v>
      </c>
      <c r="D1130" s="108" t="s">
        <v>1997</v>
      </c>
      <c r="E1130" s="103"/>
      <c r="F1130" s="2" t="s">
        <v>189</v>
      </c>
      <c r="G1130" s="38">
        <v>421.92</v>
      </c>
      <c r="H1130" s="70">
        <v>0</v>
      </c>
      <c r="I1130" s="38">
        <f>G1130*H1130</f>
        <v>0</v>
      </c>
      <c r="J1130" s="38">
        <v>0</v>
      </c>
      <c r="K1130" s="38">
        <f>G1130*J1130</f>
        <v>0</v>
      </c>
      <c r="L1130" s="71" t="s">
        <v>136</v>
      </c>
      <c r="Z1130" s="38">
        <f>IF(AQ1130="5",BJ1130,0)</f>
        <v>0</v>
      </c>
      <c r="AB1130" s="38">
        <f>IF(AQ1130="1",BH1130,0)</f>
        <v>0</v>
      </c>
      <c r="AC1130" s="38">
        <f>IF(AQ1130="1",BI1130,0)</f>
        <v>0</v>
      </c>
      <c r="AD1130" s="38">
        <f>IF(AQ1130="7",BH1130,0)</f>
        <v>0</v>
      </c>
      <c r="AE1130" s="38">
        <f>IF(AQ1130="7",BI1130,0)</f>
        <v>0</v>
      </c>
      <c r="AF1130" s="38">
        <f>IF(AQ1130="2",BH1130,0)</f>
        <v>0</v>
      </c>
      <c r="AG1130" s="38">
        <f>IF(AQ1130="2",BI1130,0)</f>
        <v>0</v>
      </c>
      <c r="AH1130" s="38">
        <f>IF(AQ1130="0",BJ1130,0)</f>
        <v>0</v>
      </c>
      <c r="AI1130" s="50" t="s">
        <v>84</v>
      </c>
      <c r="AJ1130" s="38">
        <f>IF(AN1130=0,I1130,0)</f>
        <v>0</v>
      </c>
      <c r="AK1130" s="38">
        <f>IF(AN1130=12,I1130,0)</f>
        <v>0</v>
      </c>
      <c r="AL1130" s="38">
        <f>IF(AN1130=21,I1130,0)</f>
        <v>0</v>
      </c>
      <c r="AN1130" s="38">
        <v>21</v>
      </c>
      <c r="AO1130" s="38">
        <f>H1130*0</f>
        <v>0</v>
      </c>
      <c r="AP1130" s="38">
        <f>H1130*(1-0)</f>
        <v>0</v>
      </c>
      <c r="AQ1130" s="72" t="s">
        <v>162</v>
      </c>
      <c r="AV1130" s="38">
        <f>AW1130+AX1130</f>
        <v>0</v>
      </c>
      <c r="AW1130" s="38">
        <f>G1130*AO1130</f>
        <v>0</v>
      </c>
      <c r="AX1130" s="38">
        <f>G1130*AP1130</f>
        <v>0</v>
      </c>
      <c r="AY1130" s="72" t="s">
        <v>1981</v>
      </c>
      <c r="AZ1130" s="72" t="s">
        <v>1657</v>
      </c>
      <c r="BA1130" s="50" t="s">
        <v>139</v>
      </c>
      <c r="BB1130" s="73">
        <v>100038</v>
      </c>
      <c r="BC1130" s="38">
        <f>AW1130+AX1130</f>
        <v>0</v>
      </c>
      <c r="BD1130" s="38">
        <f>H1130/(100-BE1130)*100</f>
        <v>0</v>
      </c>
      <c r="BE1130" s="38">
        <v>0</v>
      </c>
      <c r="BF1130" s="38">
        <f>K1130</f>
        <v>0</v>
      </c>
      <c r="BH1130" s="38">
        <f>G1130*AO1130</f>
        <v>0</v>
      </c>
      <c r="BI1130" s="38">
        <f>G1130*AP1130</f>
        <v>0</v>
      </c>
      <c r="BJ1130" s="38">
        <f>G1130*H1130</f>
        <v>0</v>
      </c>
      <c r="BK1130" s="38"/>
      <c r="BL1130" s="38"/>
      <c r="BW1130" s="38">
        <v>21</v>
      </c>
    </row>
    <row r="1131" spans="1:12" ht="15">
      <c r="A1131" s="74"/>
      <c r="D1131" s="75" t="s">
        <v>1998</v>
      </c>
      <c r="E1131" s="75" t="s">
        <v>4</v>
      </c>
      <c r="G1131" s="76">
        <v>421.92</v>
      </c>
      <c r="L1131" s="77"/>
    </row>
    <row r="1132" spans="1:75" ht="27" customHeight="1">
      <c r="A1132" s="1" t="s">
        <v>1999</v>
      </c>
      <c r="B1132" s="2" t="s">
        <v>84</v>
      </c>
      <c r="C1132" s="2" t="s">
        <v>2000</v>
      </c>
      <c r="D1132" s="108" t="s">
        <v>2001</v>
      </c>
      <c r="E1132" s="103"/>
      <c r="F1132" s="2" t="s">
        <v>189</v>
      </c>
      <c r="G1132" s="38">
        <v>140.64</v>
      </c>
      <c r="H1132" s="70">
        <v>0</v>
      </c>
      <c r="I1132" s="38">
        <f>G1132*H1132</f>
        <v>0</v>
      </c>
      <c r="J1132" s="38">
        <v>0</v>
      </c>
      <c r="K1132" s="38">
        <f>G1132*J1132</f>
        <v>0</v>
      </c>
      <c r="L1132" s="71" t="s">
        <v>207</v>
      </c>
      <c r="Z1132" s="38">
        <f>IF(AQ1132="5",BJ1132,0)</f>
        <v>0</v>
      </c>
      <c r="AB1132" s="38">
        <f>IF(AQ1132="1",BH1132,0)</f>
        <v>0</v>
      </c>
      <c r="AC1132" s="38">
        <f>IF(AQ1132="1",BI1132,0)</f>
        <v>0</v>
      </c>
      <c r="AD1132" s="38">
        <f>IF(AQ1132="7",BH1132,0)</f>
        <v>0</v>
      </c>
      <c r="AE1132" s="38">
        <f>IF(AQ1132="7",BI1132,0)</f>
        <v>0</v>
      </c>
      <c r="AF1132" s="38">
        <f>IF(AQ1132="2",BH1132,0)</f>
        <v>0</v>
      </c>
      <c r="AG1132" s="38">
        <f>IF(AQ1132="2",BI1132,0)</f>
        <v>0</v>
      </c>
      <c r="AH1132" s="38">
        <f>IF(AQ1132="0",BJ1132,0)</f>
        <v>0</v>
      </c>
      <c r="AI1132" s="50" t="s">
        <v>84</v>
      </c>
      <c r="AJ1132" s="38">
        <f>IF(AN1132=0,I1132,0)</f>
        <v>0</v>
      </c>
      <c r="AK1132" s="38">
        <f>IF(AN1132=12,I1132,0)</f>
        <v>0</v>
      </c>
      <c r="AL1132" s="38">
        <f>IF(AN1132=21,I1132,0)</f>
        <v>0</v>
      </c>
      <c r="AN1132" s="38">
        <v>21</v>
      </c>
      <c r="AO1132" s="38">
        <f>H1132*0</f>
        <v>0</v>
      </c>
      <c r="AP1132" s="38">
        <f>H1132*(1-0)</f>
        <v>0</v>
      </c>
      <c r="AQ1132" s="72" t="s">
        <v>162</v>
      </c>
      <c r="AV1132" s="38">
        <f>AW1132+AX1132</f>
        <v>0</v>
      </c>
      <c r="AW1132" s="38">
        <f>G1132*AO1132</f>
        <v>0</v>
      </c>
      <c r="AX1132" s="38">
        <f>G1132*AP1132</f>
        <v>0</v>
      </c>
      <c r="AY1132" s="72" t="s">
        <v>1981</v>
      </c>
      <c r="AZ1132" s="72" t="s">
        <v>1657</v>
      </c>
      <c r="BA1132" s="50" t="s">
        <v>139</v>
      </c>
      <c r="BB1132" s="73">
        <v>100038</v>
      </c>
      <c r="BC1132" s="38">
        <f>AW1132+AX1132</f>
        <v>0</v>
      </c>
      <c r="BD1132" s="38">
        <f>H1132/(100-BE1132)*100</f>
        <v>0</v>
      </c>
      <c r="BE1132" s="38">
        <v>0</v>
      </c>
      <c r="BF1132" s="38">
        <f>K1132</f>
        <v>0</v>
      </c>
      <c r="BH1132" s="38">
        <f>G1132*AO1132</f>
        <v>0</v>
      </c>
      <c r="BI1132" s="38">
        <f>G1132*AP1132</f>
        <v>0</v>
      </c>
      <c r="BJ1132" s="38">
        <f>G1132*H1132</f>
        <v>0</v>
      </c>
      <c r="BK1132" s="38"/>
      <c r="BL1132" s="38"/>
      <c r="BW1132" s="38">
        <v>21</v>
      </c>
    </row>
    <row r="1133" spans="1:12" ht="15">
      <c r="A1133" s="74"/>
      <c r="D1133" s="75" t="s">
        <v>1994</v>
      </c>
      <c r="E1133" s="75" t="s">
        <v>4</v>
      </c>
      <c r="G1133" s="76">
        <v>140.64</v>
      </c>
      <c r="L1133" s="77"/>
    </row>
    <row r="1134" spans="1:12" ht="15">
      <c r="A1134" s="65" t="s">
        <v>4</v>
      </c>
      <c r="B1134" s="66" t="s">
        <v>87</v>
      </c>
      <c r="C1134" s="66" t="s">
        <v>4</v>
      </c>
      <c r="D1134" s="192" t="s">
        <v>88</v>
      </c>
      <c r="E1134" s="193"/>
      <c r="F1134" s="67" t="s">
        <v>78</v>
      </c>
      <c r="G1134" s="67" t="s">
        <v>78</v>
      </c>
      <c r="H1134" s="68" t="s">
        <v>78</v>
      </c>
      <c r="I1134" s="44">
        <f>I1135+I1139+I1141+I1146+I1152+I1169+I1194+I1198+I1216+I1219+I1224+I1229+I1232</f>
        <v>0</v>
      </c>
      <c r="J1134" s="50" t="s">
        <v>4</v>
      </c>
      <c r="K1134" s="44">
        <f>K1135+K1139+K1141+K1146+K1152+K1169+K1194+K1198+K1216+K1219+K1224+K1229+K1232</f>
        <v>0</v>
      </c>
      <c r="L1134" s="69" t="s">
        <v>4</v>
      </c>
    </row>
    <row r="1135" spans="1:47" ht="15">
      <c r="A1135" s="65" t="s">
        <v>4</v>
      </c>
      <c r="B1135" s="66" t="s">
        <v>87</v>
      </c>
      <c r="C1135" s="66" t="s">
        <v>147</v>
      </c>
      <c r="D1135" s="192" t="s">
        <v>148</v>
      </c>
      <c r="E1135" s="193"/>
      <c r="F1135" s="67" t="s">
        <v>78</v>
      </c>
      <c r="G1135" s="67" t="s">
        <v>78</v>
      </c>
      <c r="H1135" s="68" t="s">
        <v>78</v>
      </c>
      <c r="I1135" s="44">
        <f>SUM(I1136:I1138)</f>
        <v>0</v>
      </c>
      <c r="J1135" s="50" t="s">
        <v>4</v>
      </c>
      <c r="K1135" s="44">
        <f>SUM(K1136:K1138)</f>
        <v>0</v>
      </c>
      <c r="L1135" s="69" t="s">
        <v>4</v>
      </c>
      <c r="AI1135" s="50" t="s">
        <v>87</v>
      </c>
      <c r="AS1135" s="44">
        <f>SUM(AJ1136:AJ1138)</f>
        <v>0</v>
      </c>
      <c r="AT1135" s="44">
        <f>SUM(AK1136:AK1138)</f>
        <v>0</v>
      </c>
      <c r="AU1135" s="44">
        <f>SUM(AL1136:AL1138)</f>
        <v>0</v>
      </c>
    </row>
    <row r="1136" spans="1:75" ht="13.5" customHeight="1">
      <c r="A1136" s="1" t="s">
        <v>2002</v>
      </c>
      <c r="B1136" s="2" t="s">
        <v>87</v>
      </c>
      <c r="C1136" s="2" t="s">
        <v>2003</v>
      </c>
      <c r="D1136" s="108" t="s">
        <v>2004</v>
      </c>
      <c r="E1136" s="103"/>
      <c r="F1136" s="2" t="s">
        <v>135</v>
      </c>
      <c r="G1136" s="38">
        <v>7</v>
      </c>
      <c r="H1136" s="70">
        <v>0</v>
      </c>
      <c r="I1136" s="38">
        <f>G1136*H1136</f>
        <v>0</v>
      </c>
      <c r="J1136" s="38">
        <v>0</v>
      </c>
      <c r="K1136" s="38">
        <f>G1136*J1136</f>
        <v>0</v>
      </c>
      <c r="L1136" s="71" t="s">
        <v>207</v>
      </c>
      <c r="Z1136" s="38">
        <f>IF(AQ1136="5",BJ1136,0)</f>
        <v>0</v>
      </c>
      <c r="AB1136" s="38">
        <f>IF(AQ1136="1",BH1136,0)</f>
        <v>0</v>
      </c>
      <c r="AC1136" s="38">
        <f>IF(AQ1136="1",BI1136,0)</f>
        <v>0</v>
      </c>
      <c r="AD1136" s="38">
        <f>IF(AQ1136="7",BH1136,0)</f>
        <v>0</v>
      </c>
      <c r="AE1136" s="38">
        <f>IF(AQ1136="7",BI1136,0)</f>
        <v>0</v>
      </c>
      <c r="AF1136" s="38">
        <f>IF(AQ1136="2",BH1136,0)</f>
        <v>0</v>
      </c>
      <c r="AG1136" s="38">
        <f>IF(AQ1136="2",BI1136,0)</f>
        <v>0</v>
      </c>
      <c r="AH1136" s="38">
        <f>IF(AQ1136="0",BJ1136,0)</f>
        <v>0</v>
      </c>
      <c r="AI1136" s="50" t="s">
        <v>87</v>
      </c>
      <c r="AJ1136" s="38">
        <f>IF(AN1136=0,I1136,0)</f>
        <v>0</v>
      </c>
      <c r="AK1136" s="38">
        <f>IF(AN1136=12,I1136,0)</f>
        <v>0</v>
      </c>
      <c r="AL1136" s="38">
        <f>IF(AN1136=21,I1136,0)</f>
        <v>0</v>
      </c>
      <c r="AN1136" s="38">
        <v>21</v>
      </c>
      <c r="AO1136" s="38">
        <f>H1136*0</f>
        <v>0</v>
      </c>
      <c r="AP1136" s="38">
        <f>H1136*(1-0)</f>
        <v>0</v>
      </c>
      <c r="AQ1136" s="72" t="s">
        <v>132</v>
      </c>
      <c r="AV1136" s="38">
        <f>AW1136+AX1136</f>
        <v>0</v>
      </c>
      <c r="AW1136" s="38">
        <f>G1136*AO1136</f>
        <v>0</v>
      </c>
      <c r="AX1136" s="38">
        <f>G1136*AP1136</f>
        <v>0</v>
      </c>
      <c r="AY1136" s="72" t="s">
        <v>152</v>
      </c>
      <c r="AZ1136" s="72" t="s">
        <v>2005</v>
      </c>
      <c r="BA1136" s="50" t="s">
        <v>2006</v>
      </c>
      <c r="BC1136" s="38">
        <f>AW1136+AX1136</f>
        <v>0</v>
      </c>
      <c r="BD1136" s="38">
        <f>H1136/(100-BE1136)*100</f>
        <v>0</v>
      </c>
      <c r="BE1136" s="38">
        <v>0</v>
      </c>
      <c r="BF1136" s="38">
        <f>K1136</f>
        <v>0</v>
      </c>
      <c r="BH1136" s="38">
        <f>G1136*AO1136</f>
        <v>0</v>
      </c>
      <c r="BI1136" s="38">
        <f>G1136*AP1136</f>
        <v>0</v>
      </c>
      <c r="BJ1136" s="38">
        <f>G1136*H1136</f>
        <v>0</v>
      </c>
      <c r="BK1136" s="38"/>
      <c r="BL1136" s="38">
        <v>13</v>
      </c>
      <c r="BW1136" s="38">
        <v>21</v>
      </c>
    </row>
    <row r="1137" spans="1:75" ht="27" customHeight="1">
      <c r="A1137" s="1" t="s">
        <v>2007</v>
      </c>
      <c r="B1137" s="2" t="s">
        <v>87</v>
      </c>
      <c r="C1137" s="2" t="s">
        <v>2008</v>
      </c>
      <c r="D1137" s="108" t="s">
        <v>2009</v>
      </c>
      <c r="E1137" s="103"/>
      <c r="F1137" s="2" t="s">
        <v>135</v>
      </c>
      <c r="G1137" s="38">
        <v>7</v>
      </c>
      <c r="H1137" s="70">
        <v>0</v>
      </c>
      <c r="I1137" s="38">
        <f>G1137*H1137</f>
        <v>0</v>
      </c>
      <c r="J1137" s="38">
        <v>0</v>
      </c>
      <c r="K1137" s="38">
        <f>G1137*J1137</f>
        <v>0</v>
      </c>
      <c r="L1137" s="71" t="s">
        <v>207</v>
      </c>
      <c r="Z1137" s="38">
        <f>IF(AQ1137="5",BJ1137,0)</f>
        <v>0</v>
      </c>
      <c r="AB1137" s="38">
        <f>IF(AQ1137="1",BH1137,0)</f>
        <v>0</v>
      </c>
      <c r="AC1137" s="38">
        <f>IF(AQ1137="1",BI1137,0)</f>
        <v>0</v>
      </c>
      <c r="AD1137" s="38">
        <f>IF(AQ1137="7",BH1137,0)</f>
        <v>0</v>
      </c>
      <c r="AE1137" s="38">
        <f>IF(AQ1137="7",BI1137,0)</f>
        <v>0</v>
      </c>
      <c r="AF1137" s="38">
        <f>IF(AQ1137="2",BH1137,0)</f>
        <v>0</v>
      </c>
      <c r="AG1137" s="38">
        <f>IF(AQ1137="2",BI1137,0)</f>
        <v>0</v>
      </c>
      <c r="AH1137" s="38">
        <f>IF(AQ1137="0",BJ1137,0)</f>
        <v>0</v>
      </c>
      <c r="AI1137" s="50" t="s">
        <v>87</v>
      </c>
      <c r="AJ1137" s="38">
        <f>IF(AN1137=0,I1137,0)</f>
        <v>0</v>
      </c>
      <c r="AK1137" s="38">
        <f>IF(AN1137=12,I1137,0)</f>
        <v>0</v>
      </c>
      <c r="AL1137" s="38">
        <f>IF(AN1137=21,I1137,0)</f>
        <v>0</v>
      </c>
      <c r="AN1137" s="38">
        <v>21</v>
      </c>
      <c r="AO1137" s="38">
        <f>H1137*0</f>
        <v>0</v>
      </c>
      <c r="AP1137" s="38">
        <f>H1137*(1-0)</f>
        <v>0</v>
      </c>
      <c r="AQ1137" s="72" t="s">
        <v>132</v>
      </c>
      <c r="AV1137" s="38">
        <f>AW1137+AX1137</f>
        <v>0</v>
      </c>
      <c r="AW1137" s="38">
        <f>G1137*AO1137</f>
        <v>0</v>
      </c>
      <c r="AX1137" s="38">
        <f>G1137*AP1137</f>
        <v>0</v>
      </c>
      <c r="AY1137" s="72" t="s">
        <v>152</v>
      </c>
      <c r="AZ1137" s="72" t="s">
        <v>2005</v>
      </c>
      <c r="BA1137" s="50" t="s">
        <v>2006</v>
      </c>
      <c r="BC1137" s="38">
        <f>AW1137+AX1137</f>
        <v>0</v>
      </c>
      <c r="BD1137" s="38">
        <f>H1137/(100-BE1137)*100</f>
        <v>0</v>
      </c>
      <c r="BE1137" s="38">
        <v>0</v>
      </c>
      <c r="BF1137" s="38">
        <f>K1137</f>
        <v>0</v>
      </c>
      <c r="BH1137" s="38">
        <f>G1137*AO1137</f>
        <v>0</v>
      </c>
      <c r="BI1137" s="38">
        <f>G1137*AP1137</f>
        <v>0</v>
      </c>
      <c r="BJ1137" s="38">
        <f>G1137*H1137</f>
        <v>0</v>
      </c>
      <c r="BK1137" s="38"/>
      <c r="BL1137" s="38">
        <v>13</v>
      </c>
      <c r="BW1137" s="38">
        <v>21</v>
      </c>
    </row>
    <row r="1138" spans="1:75" ht="27" customHeight="1">
      <c r="A1138" s="1" t="s">
        <v>2010</v>
      </c>
      <c r="B1138" s="2" t="s">
        <v>87</v>
      </c>
      <c r="C1138" s="2" t="s">
        <v>2011</v>
      </c>
      <c r="D1138" s="108" t="s">
        <v>2012</v>
      </c>
      <c r="E1138" s="103"/>
      <c r="F1138" s="2" t="s">
        <v>135</v>
      </c>
      <c r="G1138" s="38">
        <v>4</v>
      </c>
      <c r="H1138" s="70">
        <v>0</v>
      </c>
      <c r="I1138" s="38">
        <f>G1138*H1138</f>
        <v>0</v>
      </c>
      <c r="J1138" s="38">
        <v>0</v>
      </c>
      <c r="K1138" s="38">
        <f>G1138*J1138</f>
        <v>0</v>
      </c>
      <c r="L1138" s="71" t="s">
        <v>207</v>
      </c>
      <c r="Z1138" s="38">
        <f>IF(AQ1138="5",BJ1138,0)</f>
        <v>0</v>
      </c>
      <c r="AB1138" s="38">
        <f>IF(AQ1138="1",BH1138,0)</f>
        <v>0</v>
      </c>
      <c r="AC1138" s="38">
        <f>IF(AQ1138="1",BI1138,0)</f>
        <v>0</v>
      </c>
      <c r="AD1138" s="38">
        <f>IF(AQ1138="7",BH1138,0)</f>
        <v>0</v>
      </c>
      <c r="AE1138" s="38">
        <f>IF(AQ1138="7",BI1138,0)</f>
        <v>0</v>
      </c>
      <c r="AF1138" s="38">
        <f>IF(AQ1138="2",BH1138,0)</f>
        <v>0</v>
      </c>
      <c r="AG1138" s="38">
        <f>IF(AQ1138="2",BI1138,0)</f>
        <v>0</v>
      </c>
      <c r="AH1138" s="38">
        <f>IF(AQ1138="0",BJ1138,0)</f>
        <v>0</v>
      </c>
      <c r="AI1138" s="50" t="s">
        <v>87</v>
      </c>
      <c r="AJ1138" s="38">
        <f>IF(AN1138=0,I1138,0)</f>
        <v>0</v>
      </c>
      <c r="AK1138" s="38">
        <f>IF(AN1138=12,I1138,0)</f>
        <v>0</v>
      </c>
      <c r="AL1138" s="38">
        <f>IF(AN1138=21,I1138,0)</f>
        <v>0</v>
      </c>
      <c r="AN1138" s="38">
        <v>21</v>
      </c>
      <c r="AO1138" s="38">
        <f>H1138*0</f>
        <v>0</v>
      </c>
      <c r="AP1138" s="38">
        <f>H1138*(1-0)</f>
        <v>0</v>
      </c>
      <c r="AQ1138" s="72" t="s">
        <v>132</v>
      </c>
      <c r="AV1138" s="38">
        <f>AW1138+AX1138</f>
        <v>0</v>
      </c>
      <c r="AW1138" s="38">
        <f>G1138*AO1138</f>
        <v>0</v>
      </c>
      <c r="AX1138" s="38">
        <f>G1138*AP1138</f>
        <v>0</v>
      </c>
      <c r="AY1138" s="72" t="s">
        <v>152</v>
      </c>
      <c r="AZ1138" s="72" t="s">
        <v>2005</v>
      </c>
      <c r="BA1138" s="50" t="s">
        <v>2006</v>
      </c>
      <c r="BC1138" s="38">
        <f>AW1138+AX1138</f>
        <v>0</v>
      </c>
      <c r="BD1138" s="38">
        <f>H1138/(100-BE1138)*100</f>
        <v>0</v>
      </c>
      <c r="BE1138" s="38">
        <v>0</v>
      </c>
      <c r="BF1138" s="38">
        <f>K1138</f>
        <v>0</v>
      </c>
      <c r="BH1138" s="38">
        <f>G1138*AO1138</f>
        <v>0</v>
      </c>
      <c r="BI1138" s="38">
        <f>G1138*AP1138</f>
        <v>0</v>
      </c>
      <c r="BJ1138" s="38">
        <f>G1138*H1138</f>
        <v>0</v>
      </c>
      <c r="BK1138" s="38"/>
      <c r="BL1138" s="38">
        <v>13</v>
      </c>
      <c r="BW1138" s="38">
        <v>21</v>
      </c>
    </row>
    <row r="1139" spans="1:47" ht="15">
      <c r="A1139" s="65" t="s">
        <v>4</v>
      </c>
      <c r="B1139" s="66" t="s">
        <v>87</v>
      </c>
      <c r="C1139" s="66" t="s">
        <v>155</v>
      </c>
      <c r="D1139" s="192" t="s">
        <v>156</v>
      </c>
      <c r="E1139" s="193"/>
      <c r="F1139" s="67" t="s">
        <v>78</v>
      </c>
      <c r="G1139" s="67" t="s">
        <v>78</v>
      </c>
      <c r="H1139" s="68" t="s">
        <v>78</v>
      </c>
      <c r="I1139" s="44">
        <f>SUM(I1140:I1140)</f>
        <v>0</v>
      </c>
      <c r="J1139" s="50" t="s">
        <v>4</v>
      </c>
      <c r="K1139" s="44">
        <f>SUM(K1140:K1140)</f>
        <v>0</v>
      </c>
      <c r="L1139" s="69" t="s">
        <v>4</v>
      </c>
      <c r="AI1139" s="50" t="s">
        <v>87</v>
      </c>
      <c r="AS1139" s="44">
        <f>SUM(AJ1140:AJ1140)</f>
        <v>0</v>
      </c>
      <c r="AT1139" s="44">
        <f>SUM(AK1140:AK1140)</f>
        <v>0</v>
      </c>
      <c r="AU1139" s="44">
        <f>SUM(AL1140:AL1140)</f>
        <v>0</v>
      </c>
    </row>
    <row r="1140" spans="1:75" ht="13.5" customHeight="1">
      <c r="A1140" s="1" t="s">
        <v>2013</v>
      </c>
      <c r="B1140" s="2" t="s">
        <v>87</v>
      </c>
      <c r="C1140" s="2" t="s">
        <v>2014</v>
      </c>
      <c r="D1140" s="108" t="s">
        <v>2015</v>
      </c>
      <c r="E1140" s="103"/>
      <c r="F1140" s="2" t="s">
        <v>135</v>
      </c>
      <c r="G1140" s="38">
        <v>18</v>
      </c>
      <c r="H1140" s="70">
        <v>0</v>
      </c>
      <c r="I1140" s="38">
        <f>G1140*H1140</f>
        <v>0</v>
      </c>
      <c r="J1140" s="38">
        <v>0</v>
      </c>
      <c r="K1140" s="38">
        <f>G1140*J1140</f>
        <v>0</v>
      </c>
      <c r="L1140" s="71" t="s">
        <v>207</v>
      </c>
      <c r="Z1140" s="38">
        <f>IF(AQ1140="5",BJ1140,0)</f>
        <v>0</v>
      </c>
      <c r="AB1140" s="38">
        <f>IF(AQ1140="1",BH1140,0)</f>
        <v>0</v>
      </c>
      <c r="AC1140" s="38">
        <f>IF(AQ1140="1",BI1140,0)</f>
        <v>0</v>
      </c>
      <c r="AD1140" s="38">
        <f>IF(AQ1140="7",BH1140,0)</f>
        <v>0</v>
      </c>
      <c r="AE1140" s="38">
        <f>IF(AQ1140="7",BI1140,0)</f>
        <v>0</v>
      </c>
      <c r="AF1140" s="38">
        <f>IF(AQ1140="2",BH1140,0)</f>
        <v>0</v>
      </c>
      <c r="AG1140" s="38">
        <f>IF(AQ1140="2",BI1140,0)</f>
        <v>0</v>
      </c>
      <c r="AH1140" s="38">
        <f>IF(AQ1140="0",BJ1140,0)</f>
        <v>0</v>
      </c>
      <c r="AI1140" s="50" t="s">
        <v>87</v>
      </c>
      <c r="AJ1140" s="38">
        <f>IF(AN1140=0,I1140,0)</f>
        <v>0</v>
      </c>
      <c r="AK1140" s="38">
        <f>IF(AN1140=12,I1140,0)</f>
        <v>0</v>
      </c>
      <c r="AL1140" s="38">
        <f>IF(AN1140=21,I1140,0)</f>
        <v>0</v>
      </c>
      <c r="AN1140" s="38">
        <v>21</v>
      </c>
      <c r="AO1140" s="38">
        <f>H1140*0</f>
        <v>0</v>
      </c>
      <c r="AP1140" s="38">
        <f>H1140*(1-0)</f>
        <v>0</v>
      </c>
      <c r="AQ1140" s="72" t="s">
        <v>132</v>
      </c>
      <c r="AV1140" s="38">
        <f>AW1140+AX1140</f>
        <v>0</v>
      </c>
      <c r="AW1140" s="38">
        <f>G1140*AO1140</f>
        <v>0</v>
      </c>
      <c r="AX1140" s="38">
        <f>G1140*AP1140</f>
        <v>0</v>
      </c>
      <c r="AY1140" s="72" t="s">
        <v>160</v>
      </c>
      <c r="AZ1140" s="72" t="s">
        <v>2005</v>
      </c>
      <c r="BA1140" s="50" t="s">
        <v>2006</v>
      </c>
      <c r="BC1140" s="38">
        <f>AW1140+AX1140</f>
        <v>0</v>
      </c>
      <c r="BD1140" s="38">
        <f>H1140/(100-BE1140)*100</f>
        <v>0</v>
      </c>
      <c r="BE1140" s="38">
        <v>0</v>
      </c>
      <c r="BF1140" s="38">
        <f>K1140</f>
        <v>0</v>
      </c>
      <c r="BH1140" s="38">
        <f>G1140*AO1140</f>
        <v>0</v>
      </c>
      <c r="BI1140" s="38">
        <f>G1140*AP1140</f>
        <v>0</v>
      </c>
      <c r="BJ1140" s="38">
        <f>G1140*H1140</f>
        <v>0</v>
      </c>
      <c r="BK1140" s="38"/>
      <c r="BL1140" s="38">
        <v>16</v>
      </c>
      <c r="BW1140" s="38">
        <v>21</v>
      </c>
    </row>
    <row r="1141" spans="1:47" ht="15">
      <c r="A1141" s="65" t="s">
        <v>4</v>
      </c>
      <c r="B1141" s="66" t="s">
        <v>87</v>
      </c>
      <c r="C1141" s="66" t="s">
        <v>178</v>
      </c>
      <c r="D1141" s="192" t="s">
        <v>179</v>
      </c>
      <c r="E1141" s="193"/>
      <c r="F1141" s="67" t="s">
        <v>78</v>
      </c>
      <c r="G1141" s="67" t="s">
        <v>78</v>
      </c>
      <c r="H1141" s="68" t="s">
        <v>78</v>
      </c>
      <c r="I1141" s="44">
        <f>SUM(I1142:I1145)</f>
        <v>0</v>
      </c>
      <c r="J1141" s="50" t="s">
        <v>4</v>
      </c>
      <c r="K1141" s="44">
        <f>SUM(K1142:K1145)</f>
        <v>0</v>
      </c>
      <c r="L1141" s="69" t="s">
        <v>4</v>
      </c>
      <c r="AI1141" s="50" t="s">
        <v>87</v>
      </c>
      <c r="AS1141" s="44">
        <f>SUM(AJ1142:AJ1145)</f>
        <v>0</v>
      </c>
      <c r="AT1141" s="44">
        <f>SUM(AK1142:AK1145)</f>
        <v>0</v>
      </c>
      <c r="AU1141" s="44">
        <f>SUM(AL1142:AL1145)</f>
        <v>0</v>
      </c>
    </row>
    <row r="1142" spans="1:75" ht="27" customHeight="1">
      <c r="A1142" s="1" t="s">
        <v>2016</v>
      </c>
      <c r="B1142" s="2" t="s">
        <v>87</v>
      </c>
      <c r="C1142" s="2" t="s">
        <v>2017</v>
      </c>
      <c r="D1142" s="108" t="s">
        <v>2018</v>
      </c>
      <c r="E1142" s="103"/>
      <c r="F1142" s="2" t="s">
        <v>189</v>
      </c>
      <c r="G1142" s="38">
        <v>24</v>
      </c>
      <c r="H1142" s="70">
        <v>0</v>
      </c>
      <c r="I1142" s="38">
        <f>G1142*H1142</f>
        <v>0</v>
      </c>
      <c r="J1142" s="38">
        <v>0</v>
      </c>
      <c r="K1142" s="38">
        <f>G1142*J1142</f>
        <v>0</v>
      </c>
      <c r="L1142" s="71" t="s">
        <v>207</v>
      </c>
      <c r="Z1142" s="38">
        <f>IF(AQ1142="5",BJ1142,0)</f>
        <v>0</v>
      </c>
      <c r="AB1142" s="38">
        <f>IF(AQ1142="1",BH1142,0)</f>
        <v>0</v>
      </c>
      <c r="AC1142" s="38">
        <f>IF(AQ1142="1",BI1142,0)</f>
        <v>0</v>
      </c>
      <c r="AD1142" s="38">
        <f>IF(AQ1142="7",BH1142,0)</f>
        <v>0</v>
      </c>
      <c r="AE1142" s="38">
        <f>IF(AQ1142="7",BI1142,0)</f>
        <v>0</v>
      </c>
      <c r="AF1142" s="38">
        <f>IF(AQ1142="2",BH1142,0)</f>
        <v>0</v>
      </c>
      <c r="AG1142" s="38">
        <f>IF(AQ1142="2",BI1142,0)</f>
        <v>0</v>
      </c>
      <c r="AH1142" s="38">
        <f>IF(AQ1142="0",BJ1142,0)</f>
        <v>0</v>
      </c>
      <c r="AI1142" s="50" t="s">
        <v>87</v>
      </c>
      <c r="AJ1142" s="38">
        <f>IF(AN1142=0,I1142,0)</f>
        <v>0</v>
      </c>
      <c r="AK1142" s="38">
        <f>IF(AN1142=12,I1142,0)</f>
        <v>0</v>
      </c>
      <c r="AL1142" s="38">
        <f>IF(AN1142=21,I1142,0)</f>
        <v>0</v>
      </c>
      <c r="AN1142" s="38">
        <v>21</v>
      </c>
      <c r="AO1142" s="38">
        <f>H1142*0</f>
        <v>0</v>
      </c>
      <c r="AP1142" s="38">
        <f>H1142*(1-0)</f>
        <v>0</v>
      </c>
      <c r="AQ1142" s="72" t="s">
        <v>132</v>
      </c>
      <c r="AV1142" s="38">
        <f>AW1142+AX1142</f>
        <v>0</v>
      </c>
      <c r="AW1142" s="38">
        <f>G1142*AO1142</f>
        <v>0</v>
      </c>
      <c r="AX1142" s="38">
        <f>G1142*AP1142</f>
        <v>0</v>
      </c>
      <c r="AY1142" s="72" t="s">
        <v>183</v>
      </c>
      <c r="AZ1142" s="72" t="s">
        <v>2005</v>
      </c>
      <c r="BA1142" s="50" t="s">
        <v>2006</v>
      </c>
      <c r="BC1142" s="38">
        <f>AW1142+AX1142</f>
        <v>0</v>
      </c>
      <c r="BD1142" s="38">
        <f>H1142/(100-BE1142)*100</f>
        <v>0</v>
      </c>
      <c r="BE1142" s="38">
        <v>0</v>
      </c>
      <c r="BF1142" s="38">
        <f>K1142</f>
        <v>0</v>
      </c>
      <c r="BH1142" s="38">
        <f>G1142*AO1142</f>
        <v>0</v>
      </c>
      <c r="BI1142" s="38">
        <f>G1142*AP1142</f>
        <v>0</v>
      </c>
      <c r="BJ1142" s="38">
        <f>G1142*H1142</f>
        <v>0</v>
      </c>
      <c r="BK1142" s="38"/>
      <c r="BL1142" s="38">
        <v>17</v>
      </c>
      <c r="BW1142" s="38">
        <v>21</v>
      </c>
    </row>
    <row r="1143" spans="1:75" ht="13.5" customHeight="1">
      <c r="A1143" s="1" t="s">
        <v>2019</v>
      </c>
      <c r="B1143" s="2" t="s">
        <v>87</v>
      </c>
      <c r="C1143" s="2" t="s">
        <v>2020</v>
      </c>
      <c r="D1143" s="108" t="s">
        <v>2021</v>
      </c>
      <c r="E1143" s="103"/>
      <c r="F1143" s="2" t="s">
        <v>135</v>
      </c>
      <c r="G1143" s="38">
        <v>5</v>
      </c>
      <c r="H1143" s="70">
        <v>0</v>
      </c>
      <c r="I1143" s="38">
        <f>G1143*H1143</f>
        <v>0</v>
      </c>
      <c r="J1143" s="38">
        <v>0</v>
      </c>
      <c r="K1143" s="38">
        <f>G1143*J1143</f>
        <v>0</v>
      </c>
      <c r="L1143" s="71" t="s">
        <v>207</v>
      </c>
      <c r="Z1143" s="38">
        <f>IF(AQ1143="5",BJ1143,0)</f>
        <v>0</v>
      </c>
      <c r="AB1143" s="38">
        <f>IF(AQ1143="1",BH1143,0)</f>
        <v>0</v>
      </c>
      <c r="AC1143" s="38">
        <f>IF(AQ1143="1",BI1143,0)</f>
        <v>0</v>
      </c>
      <c r="AD1143" s="38">
        <f>IF(AQ1143="7",BH1143,0)</f>
        <v>0</v>
      </c>
      <c r="AE1143" s="38">
        <f>IF(AQ1143="7",BI1143,0)</f>
        <v>0</v>
      </c>
      <c r="AF1143" s="38">
        <f>IF(AQ1143="2",BH1143,0)</f>
        <v>0</v>
      </c>
      <c r="AG1143" s="38">
        <f>IF(AQ1143="2",BI1143,0)</f>
        <v>0</v>
      </c>
      <c r="AH1143" s="38">
        <f>IF(AQ1143="0",BJ1143,0)</f>
        <v>0</v>
      </c>
      <c r="AI1143" s="50" t="s">
        <v>87</v>
      </c>
      <c r="AJ1143" s="38">
        <f>IF(AN1143=0,I1143,0)</f>
        <v>0</v>
      </c>
      <c r="AK1143" s="38">
        <f>IF(AN1143=12,I1143,0)</f>
        <v>0</v>
      </c>
      <c r="AL1143" s="38">
        <f>IF(AN1143=21,I1143,0)</f>
        <v>0</v>
      </c>
      <c r="AN1143" s="38">
        <v>21</v>
      </c>
      <c r="AO1143" s="38">
        <f>H1143*0</f>
        <v>0</v>
      </c>
      <c r="AP1143" s="38">
        <f>H1143*(1-0)</f>
        <v>0</v>
      </c>
      <c r="AQ1143" s="72" t="s">
        <v>132</v>
      </c>
      <c r="AV1143" s="38">
        <f>AW1143+AX1143</f>
        <v>0</v>
      </c>
      <c r="AW1143" s="38">
        <f>G1143*AO1143</f>
        <v>0</v>
      </c>
      <c r="AX1143" s="38">
        <f>G1143*AP1143</f>
        <v>0</v>
      </c>
      <c r="AY1143" s="72" t="s">
        <v>183</v>
      </c>
      <c r="AZ1143" s="72" t="s">
        <v>2005</v>
      </c>
      <c r="BA1143" s="50" t="s">
        <v>2006</v>
      </c>
      <c r="BC1143" s="38">
        <f>AW1143+AX1143</f>
        <v>0</v>
      </c>
      <c r="BD1143" s="38">
        <f>H1143/(100-BE1143)*100</f>
        <v>0</v>
      </c>
      <c r="BE1143" s="38">
        <v>0</v>
      </c>
      <c r="BF1143" s="38">
        <f>K1143</f>
        <v>0</v>
      </c>
      <c r="BH1143" s="38">
        <f>G1143*AO1143</f>
        <v>0</v>
      </c>
      <c r="BI1143" s="38">
        <f>G1143*AP1143</f>
        <v>0</v>
      </c>
      <c r="BJ1143" s="38">
        <f>G1143*H1143</f>
        <v>0</v>
      </c>
      <c r="BK1143" s="38"/>
      <c r="BL1143" s="38">
        <v>17</v>
      </c>
      <c r="BW1143" s="38">
        <v>21</v>
      </c>
    </row>
    <row r="1144" spans="1:75" ht="13.5" customHeight="1">
      <c r="A1144" s="78" t="s">
        <v>2022</v>
      </c>
      <c r="B1144" s="79" t="s">
        <v>87</v>
      </c>
      <c r="C1144" s="79" t="s">
        <v>2023</v>
      </c>
      <c r="D1144" s="198" t="s">
        <v>2024</v>
      </c>
      <c r="E1144" s="199"/>
      <c r="F1144" s="79" t="s">
        <v>189</v>
      </c>
      <c r="G1144" s="80">
        <v>10</v>
      </c>
      <c r="H1144" s="81">
        <v>0</v>
      </c>
      <c r="I1144" s="80">
        <f>G1144*H1144</f>
        <v>0</v>
      </c>
      <c r="J1144" s="80">
        <v>0</v>
      </c>
      <c r="K1144" s="80">
        <f>G1144*J1144</f>
        <v>0</v>
      </c>
      <c r="L1144" s="82" t="s">
        <v>207</v>
      </c>
      <c r="Z1144" s="38">
        <f>IF(AQ1144="5",BJ1144,0)</f>
        <v>0</v>
      </c>
      <c r="AB1144" s="38">
        <f>IF(AQ1144="1",BH1144,0)</f>
        <v>0</v>
      </c>
      <c r="AC1144" s="38">
        <f>IF(AQ1144="1",BI1144,0)</f>
        <v>0</v>
      </c>
      <c r="AD1144" s="38">
        <f>IF(AQ1144="7",BH1144,0)</f>
        <v>0</v>
      </c>
      <c r="AE1144" s="38">
        <f>IF(AQ1144="7",BI1144,0)</f>
        <v>0</v>
      </c>
      <c r="AF1144" s="38">
        <f>IF(AQ1144="2",BH1144,0)</f>
        <v>0</v>
      </c>
      <c r="AG1144" s="38">
        <f>IF(AQ1144="2",BI1144,0)</f>
        <v>0</v>
      </c>
      <c r="AH1144" s="38">
        <f>IF(AQ1144="0",BJ1144,0)</f>
        <v>0</v>
      </c>
      <c r="AI1144" s="50" t="s">
        <v>87</v>
      </c>
      <c r="AJ1144" s="80">
        <f>IF(AN1144=0,I1144,0)</f>
        <v>0</v>
      </c>
      <c r="AK1144" s="80">
        <f>IF(AN1144=12,I1144,0)</f>
        <v>0</v>
      </c>
      <c r="AL1144" s="80">
        <f>IF(AN1144=21,I1144,0)</f>
        <v>0</v>
      </c>
      <c r="AN1144" s="38">
        <v>21</v>
      </c>
      <c r="AO1144" s="38">
        <f>H1144*1</f>
        <v>0</v>
      </c>
      <c r="AP1144" s="38">
        <f>H1144*(1-1)</f>
        <v>0</v>
      </c>
      <c r="AQ1144" s="83" t="s">
        <v>132</v>
      </c>
      <c r="AV1144" s="38">
        <f>AW1144+AX1144</f>
        <v>0</v>
      </c>
      <c r="AW1144" s="38">
        <f>G1144*AO1144</f>
        <v>0</v>
      </c>
      <c r="AX1144" s="38">
        <f>G1144*AP1144</f>
        <v>0</v>
      </c>
      <c r="AY1144" s="72" t="s">
        <v>183</v>
      </c>
      <c r="AZ1144" s="72" t="s">
        <v>2005</v>
      </c>
      <c r="BA1144" s="50" t="s">
        <v>2006</v>
      </c>
      <c r="BC1144" s="38">
        <f>AW1144+AX1144</f>
        <v>0</v>
      </c>
      <c r="BD1144" s="38">
        <f>H1144/(100-BE1144)*100</f>
        <v>0</v>
      </c>
      <c r="BE1144" s="38">
        <v>0</v>
      </c>
      <c r="BF1144" s="38">
        <f>K1144</f>
        <v>0</v>
      </c>
      <c r="BH1144" s="80">
        <f>G1144*AO1144</f>
        <v>0</v>
      </c>
      <c r="BI1144" s="80">
        <f>G1144*AP1144</f>
        <v>0</v>
      </c>
      <c r="BJ1144" s="80">
        <f>G1144*H1144</f>
        <v>0</v>
      </c>
      <c r="BK1144" s="80"/>
      <c r="BL1144" s="38">
        <v>17</v>
      </c>
      <c r="BW1144" s="38">
        <v>21</v>
      </c>
    </row>
    <row r="1145" spans="1:75" ht="13.5" customHeight="1">
      <c r="A1145" s="1" t="s">
        <v>2025</v>
      </c>
      <c r="B1145" s="2" t="s">
        <v>87</v>
      </c>
      <c r="C1145" s="2" t="s">
        <v>2026</v>
      </c>
      <c r="D1145" s="108" t="s">
        <v>2027</v>
      </c>
      <c r="E1145" s="103"/>
      <c r="F1145" s="2" t="s">
        <v>135</v>
      </c>
      <c r="G1145" s="38">
        <v>6</v>
      </c>
      <c r="H1145" s="70">
        <v>0</v>
      </c>
      <c r="I1145" s="38">
        <f>G1145*H1145</f>
        <v>0</v>
      </c>
      <c r="J1145" s="38">
        <v>0</v>
      </c>
      <c r="K1145" s="38">
        <f>G1145*J1145</f>
        <v>0</v>
      </c>
      <c r="L1145" s="71" t="s">
        <v>207</v>
      </c>
      <c r="Z1145" s="38">
        <f>IF(AQ1145="5",BJ1145,0)</f>
        <v>0</v>
      </c>
      <c r="AB1145" s="38">
        <f>IF(AQ1145="1",BH1145,0)</f>
        <v>0</v>
      </c>
      <c r="AC1145" s="38">
        <f>IF(AQ1145="1",BI1145,0)</f>
        <v>0</v>
      </c>
      <c r="AD1145" s="38">
        <f>IF(AQ1145="7",BH1145,0)</f>
        <v>0</v>
      </c>
      <c r="AE1145" s="38">
        <f>IF(AQ1145="7",BI1145,0)</f>
        <v>0</v>
      </c>
      <c r="AF1145" s="38">
        <f>IF(AQ1145="2",BH1145,0)</f>
        <v>0</v>
      </c>
      <c r="AG1145" s="38">
        <f>IF(AQ1145="2",BI1145,0)</f>
        <v>0</v>
      </c>
      <c r="AH1145" s="38">
        <f>IF(AQ1145="0",BJ1145,0)</f>
        <v>0</v>
      </c>
      <c r="AI1145" s="50" t="s">
        <v>87</v>
      </c>
      <c r="AJ1145" s="38">
        <f>IF(AN1145=0,I1145,0)</f>
        <v>0</v>
      </c>
      <c r="AK1145" s="38">
        <f>IF(AN1145=12,I1145,0)</f>
        <v>0</v>
      </c>
      <c r="AL1145" s="38">
        <f>IF(AN1145=21,I1145,0)</f>
        <v>0</v>
      </c>
      <c r="AN1145" s="38">
        <v>21</v>
      </c>
      <c r="AO1145" s="38">
        <f>H1145*0</f>
        <v>0</v>
      </c>
      <c r="AP1145" s="38">
        <f>H1145*(1-0)</f>
        <v>0</v>
      </c>
      <c r="AQ1145" s="72" t="s">
        <v>132</v>
      </c>
      <c r="AV1145" s="38">
        <f>AW1145+AX1145</f>
        <v>0</v>
      </c>
      <c r="AW1145" s="38">
        <f>G1145*AO1145</f>
        <v>0</v>
      </c>
      <c r="AX1145" s="38">
        <f>G1145*AP1145</f>
        <v>0</v>
      </c>
      <c r="AY1145" s="72" t="s">
        <v>183</v>
      </c>
      <c r="AZ1145" s="72" t="s">
        <v>2005</v>
      </c>
      <c r="BA1145" s="50" t="s">
        <v>2006</v>
      </c>
      <c r="BC1145" s="38">
        <f>AW1145+AX1145</f>
        <v>0</v>
      </c>
      <c r="BD1145" s="38">
        <f>H1145/(100-BE1145)*100</f>
        <v>0</v>
      </c>
      <c r="BE1145" s="38">
        <v>0</v>
      </c>
      <c r="BF1145" s="38">
        <f>K1145</f>
        <v>0</v>
      </c>
      <c r="BH1145" s="38">
        <f>G1145*AO1145</f>
        <v>0</v>
      </c>
      <c r="BI1145" s="38">
        <f>G1145*AP1145</f>
        <v>0</v>
      </c>
      <c r="BJ1145" s="38">
        <f>G1145*H1145</f>
        <v>0</v>
      </c>
      <c r="BK1145" s="38"/>
      <c r="BL1145" s="38">
        <v>17</v>
      </c>
      <c r="BW1145" s="38">
        <v>21</v>
      </c>
    </row>
    <row r="1146" spans="1:47" ht="15">
      <c r="A1146" s="65" t="s">
        <v>4</v>
      </c>
      <c r="B1146" s="66" t="s">
        <v>87</v>
      </c>
      <c r="C1146" s="66" t="s">
        <v>890</v>
      </c>
      <c r="D1146" s="192" t="s">
        <v>891</v>
      </c>
      <c r="E1146" s="193"/>
      <c r="F1146" s="67" t="s">
        <v>78</v>
      </c>
      <c r="G1146" s="67" t="s">
        <v>78</v>
      </c>
      <c r="H1146" s="68" t="s">
        <v>78</v>
      </c>
      <c r="I1146" s="44">
        <f>SUM(I1147:I1151)</f>
        <v>0</v>
      </c>
      <c r="J1146" s="50" t="s">
        <v>4</v>
      </c>
      <c r="K1146" s="44">
        <f>SUM(K1147:K1151)</f>
        <v>0</v>
      </c>
      <c r="L1146" s="69" t="s">
        <v>4</v>
      </c>
      <c r="AI1146" s="50" t="s">
        <v>87</v>
      </c>
      <c r="AS1146" s="44">
        <f>SUM(AJ1147:AJ1151)</f>
        <v>0</v>
      </c>
      <c r="AT1146" s="44">
        <f>SUM(AK1147:AK1151)</f>
        <v>0</v>
      </c>
      <c r="AU1146" s="44">
        <f>SUM(AL1147:AL1151)</f>
        <v>0</v>
      </c>
    </row>
    <row r="1147" spans="1:75" ht="27" customHeight="1">
      <c r="A1147" s="1" t="s">
        <v>2028</v>
      </c>
      <c r="B1147" s="2" t="s">
        <v>87</v>
      </c>
      <c r="C1147" s="2" t="s">
        <v>2029</v>
      </c>
      <c r="D1147" s="108" t="s">
        <v>2030</v>
      </c>
      <c r="E1147" s="103"/>
      <c r="F1147" s="2" t="s">
        <v>214</v>
      </c>
      <c r="G1147" s="38">
        <v>40</v>
      </c>
      <c r="H1147" s="70">
        <v>0</v>
      </c>
      <c r="I1147" s="38">
        <f>G1147*H1147</f>
        <v>0</v>
      </c>
      <c r="J1147" s="38">
        <v>0</v>
      </c>
      <c r="K1147" s="38">
        <f>G1147*J1147</f>
        <v>0</v>
      </c>
      <c r="L1147" s="71" t="s">
        <v>207</v>
      </c>
      <c r="Z1147" s="38">
        <f>IF(AQ1147="5",BJ1147,0)</f>
        <v>0</v>
      </c>
      <c r="AB1147" s="38">
        <f>IF(AQ1147="1",BH1147,0)</f>
        <v>0</v>
      </c>
      <c r="AC1147" s="38">
        <f>IF(AQ1147="1",BI1147,0)</f>
        <v>0</v>
      </c>
      <c r="AD1147" s="38">
        <f>IF(AQ1147="7",BH1147,0)</f>
        <v>0</v>
      </c>
      <c r="AE1147" s="38">
        <f>IF(AQ1147="7",BI1147,0)</f>
        <v>0</v>
      </c>
      <c r="AF1147" s="38">
        <f>IF(AQ1147="2",BH1147,0)</f>
        <v>0</v>
      </c>
      <c r="AG1147" s="38">
        <f>IF(AQ1147="2",BI1147,0)</f>
        <v>0</v>
      </c>
      <c r="AH1147" s="38">
        <f>IF(AQ1147="0",BJ1147,0)</f>
        <v>0</v>
      </c>
      <c r="AI1147" s="50" t="s">
        <v>87</v>
      </c>
      <c r="AJ1147" s="38">
        <f>IF(AN1147=0,I1147,0)</f>
        <v>0</v>
      </c>
      <c r="AK1147" s="38">
        <f>IF(AN1147=12,I1147,0)</f>
        <v>0</v>
      </c>
      <c r="AL1147" s="38">
        <f>IF(AN1147=21,I1147,0)</f>
        <v>0</v>
      </c>
      <c r="AN1147" s="38">
        <v>21</v>
      </c>
      <c r="AO1147" s="38">
        <f>H1147*0</f>
        <v>0</v>
      </c>
      <c r="AP1147" s="38">
        <f>H1147*(1-0)</f>
        <v>0</v>
      </c>
      <c r="AQ1147" s="72" t="s">
        <v>169</v>
      </c>
      <c r="AV1147" s="38">
        <f>AW1147+AX1147</f>
        <v>0</v>
      </c>
      <c r="AW1147" s="38">
        <f>G1147*AO1147</f>
        <v>0</v>
      </c>
      <c r="AX1147" s="38">
        <f>G1147*AP1147</f>
        <v>0</v>
      </c>
      <c r="AY1147" s="72" t="s">
        <v>895</v>
      </c>
      <c r="AZ1147" s="72" t="s">
        <v>2031</v>
      </c>
      <c r="BA1147" s="50" t="s">
        <v>2006</v>
      </c>
      <c r="BC1147" s="38">
        <f>AW1147+AX1147</f>
        <v>0</v>
      </c>
      <c r="BD1147" s="38">
        <f>H1147/(100-BE1147)*100</f>
        <v>0</v>
      </c>
      <c r="BE1147" s="38">
        <v>0</v>
      </c>
      <c r="BF1147" s="38">
        <f>K1147</f>
        <v>0</v>
      </c>
      <c r="BH1147" s="38">
        <f>G1147*AO1147</f>
        <v>0</v>
      </c>
      <c r="BI1147" s="38">
        <f>G1147*AP1147</f>
        <v>0</v>
      </c>
      <c r="BJ1147" s="38">
        <f>G1147*H1147</f>
        <v>0</v>
      </c>
      <c r="BK1147" s="38"/>
      <c r="BL1147" s="38">
        <v>713</v>
      </c>
      <c r="BW1147" s="38">
        <v>21</v>
      </c>
    </row>
    <row r="1148" spans="1:75" ht="13.5" customHeight="1">
      <c r="A1148" s="78" t="s">
        <v>2032</v>
      </c>
      <c r="B1148" s="79" t="s">
        <v>87</v>
      </c>
      <c r="C1148" s="79" t="s">
        <v>2033</v>
      </c>
      <c r="D1148" s="198" t="s">
        <v>2034</v>
      </c>
      <c r="E1148" s="199"/>
      <c r="F1148" s="79" t="s">
        <v>214</v>
      </c>
      <c r="G1148" s="80">
        <v>30</v>
      </c>
      <c r="H1148" s="81">
        <v>0</v>
      </c>
      <c r="I1148" s="80">
        <f>G1148*H1148</f>
        <v>0</v>
      </c>
      <c r="J1148" s="80">
        <v>0</v>
      </c>
      <c r="K1148" s="80">
        <f>G1148*J1148</f>
        <v>0</v>
      </c>
      <c r="L1148" s="82" t="s">
        <v>207</v>
      </c>
      <c r="Z1148" s="38">
        <f>IF(AQ1148="5",BJ1148,0)</f>
        <v>0</v>
      </c>
      <c r="AB1148" s="38">
        <f>IF(AQ1148="1",BH1148,0)</f>
        <v>0</v>
      </c>
      <c r="AC1148" s="38">
        <f>IF(AQ1148="1",BI1148,0)</f>
        <v>0</v>
      </c>
      <c r="AD1148" s="38">
        <f>IF(AQ1148="7",BH1148,0)</f>
        <v>0</v>
      </c>
      <c r="AE1148" s="38">
        <f>IF(AQ1148="7",BI1148,0)</f>
        <v>0</v>
      </c>
      <c r="AF1148" s="38">
        <f>IF(AQ1148="2",BH1148,0)</f>
        <v>0</v>
      </c>
      <c r="AG1148" s="38">
        <f>IF(AQ1148="2",BI1148,0)</f>
        <v>0</v>
      </c>
      <c r="AH1148" s="38">
        <f>IF(AQ1148="0",BJ1148,0)</f>
        <v>0</v>
      </c>
      <c r="AI1148" s="50" t="s">
        <v>87</v>
      </c>
      <c r="AJ1148" s="80">
        <f>IF(AN1148=0,I1148,0)</f>
        <v>0</v>
      </c>
      <c r="AK1148" s="80">
        <f>IF(AN1148=12,I1148,0)</f>
        <v>0</v>
      </c>
      <c r="AL1148" s="80">
        <f>IF(AN1148=21,I1148,0)</f>
        <v>0</v>
      </c>
      <c r="AN1148" s="38">
        <v>21</v>
      </c>
      <c r="AO1148" s="38">
        <f>H1148*1</f>
        <v>0</v>
      </c>
      <c r="AP1148" s="38">
        <f>H1148*(1-1)</f>
        <v>0</v>
      </c>
      <c r="AQ1148" s="83" t="s">
        <v>169</v>
      </c>
      <c r="AV1148" s="38">
        <f>AW1148+AX1148</f>
        <v>0</v>
      </c>
      <c r="AW1148" s="38">
        <f>G1148*AO1148</f>
        <v>0</v>
      </c>
      <c r="AX1148" s="38">
        <f>G1148*AP1148</f>
        <v>0</v>
      </c>
      <c r="AY1148" s="72" t="s">
        <v>895</v>
      </c>
      <c r="AZ1148" s="72" t="s">
        <v>2031</v>
      </c>
      <c r="BA1148" s="50" t="s">
        <v>2006</v>
      </c>
      <c r="BC1148" s="38">
        <f>AW1148+AX1148</f>
        <v>0</v>
      </c>
      <c r="BD1148" s="38">
        <f>H1148/(100-BE1148)*100</f>
        <v>0</v>
      </c>
      <c r="BE1148" s="38">
        <v>0</v>
      </c>
      <c r="BF1148" s="38">
        <f>K1148</f>
        <v>0</v>
      </c>
      <c r="BH1148" s="80">
        <f>G1148*AO1148</f>
        <v>0</v>
      </c>
      <c r="BI1148" s="80">
        <f>G1148*AP1148</f>
        <v>0</v>
      </c>
      <c r="BJ1148" s="80">
        <f>G1148*H1148</f>
        <v>0</v>
      </c>
      <c r="BK1148" s="80"/>
      <c r="BL1148" s="38">
        <v>713</v>
      </c>
      <c r="BW1148" s="38">
        <v>21</v>
      </c>
    </row>
    <row r="1149" spans="1:75" ht="13.5" customHeight="1">
      <c r="A1149" s="78" t="s">
        <v>2035</v>
      </c>
      <c r="B1149" s="79" t="s">
        <v>87</v>
      </c>
      <c r="C1149" s="79" t="s">
        <v>2036</v>
      </c>
      <c r="D1149" s="198" t="s">
        <v>2037</v>
      </c>
      <c r="E1149" s="199"/>
      <c r="F1149" s="79" t="s">
        <v>214</v>
      </c>
      <c r="G1149" s="80">
        <v>10</v>
      </c>
      <c r="H1149" s="81">
        <v>0</v>
      </c>
      <c r="I1149" s="80">
        <f>G1149*H1149</f>
        <v>0</v>
      </c>
      <c r="J1149" s="80">
        <v>0</v>
      </c>
      <c r="K1149" s="80">
        <f>G1149*J1149</f>
        <v>0</v>
      </c>
      <c r="L1149" s="82" t="s">
        <v>207</v>
      </c>
      <c r="Z1149" s="38">
        <f>IF(AQ1149="5",BJ1149,0)</f>
        <v>0</v>
      </c>
      <c r="AB1149" s="38">
        <f>IF(AQ1149="1",BH1149,0)</f>
        <v>0</v>
      </c>
      <c r="AC1149" s="38">
        <f>IF(AQ1149="1",BI1149,0)</f>
        <v>0</v>
      </c>
      <c r="AD1149" s="38">
        <f>IF(AQ1149="7",BH1149,0)</f>
        <v>0</v>
      </c>
      <c r="AE1149" s="38">
        <f>IF(AQ1149="7",BI1149,0)</f>
        <v>0</v>
      </c>
      <c r="AF1149" s="38">
        <f>IF(AQ1149="2",BH1149,0)</f>
        <v>0</v>
      </c>
      <c r="AG1149" s="38">
        <f>IF(AQ1149="2",BI1149,0)</f>
        <v>0</v>
      </c>
      <c r="AH1149" s="38">
        <f>IF(AQ1149="0",BJ1149,0)</f>
        <v>0</v>
      </c>
      <c r="AI1149" s="50" t="s">
        <v>87</v>
      </c>
      <c r="AJ1149" s="80">
        <f>IF(AN1149=0,I1149,0)</f>
        <v>0</v>
      </c>
      <c r="AK1149" s="80">
        <f>IF(AN1149=12,I1149,0)</f>
        <v>0</v>
      </c>
      <c r="AL1149" s="80">
        <f>IF(AN1149=21,I1149,0)</f>
        <v>0</v>
      </c>
      <c r="AN1149" s="38">
        <v>21</v>
      </c>
      <c r="AO1149" s="38">
        <f>H1149*1</f>
        <v>0</v>
      </c>
      <c r="AP1149" s="38">
        <f>H1149*(1-1)</f>
        <v>0</v>
      </c>
      <c r="AQ1149" s="83" t="s">
        <v>169</v>
      </c>
      <c r="AV1149" s="38">
        <f>AW1149+AX1149</f>
        <v>0</v>
      </c>
      <c r="AW1149" s="38">
        <f>G1149*AO1149</f>
        <v>0</v>
      </c>
      <c r="AX1149" s="38">
        <f>G1149*AP1149</f>
        <v>0</v>
      </c>
      <c r="AY1149" s="72" t="s">
        <v>895</v>
      </c>
      <c r="AZ1149" s="72" t="s">
        <v>2031</v>
      </c>
      <c r="BA1149" s="50" t="s">
        <v>2006</v>
      </c>
      <c r="BC1149" s="38">
        <f>AW1149+AX1149</f>
        <v>0</v>
      </c>
      <c r="BD1149" s="38">
        <f>H1149/(100-BE1149)*100</f>
        <v>0</v>
      </c>
      <c r="BE1149" s="38">
        <v>0</v>
      </c>
      <c r="BF1149" s="38">
        <f>K1149</f>
        <v>0</v>
      </c>
      <c r="BH1149" s="80">
        <f>G1149*AO1149</f>
        <v>0</v>
      </c>
      <c r="BI1149" s="80">
        <f>G1149*AP1149</f>
        <v>0</v>
      </c>
      <c r="BJ1149" s="80">
        <f>G1149*H1149</f>
        <v>0</v>
      </c>
      <c r="BK1149" s="80"/>
      <c r="BL1149" s="38">
        <v>713</v>
      </c>
      <c r="BW1149" s="38">
        <v>21</v>
      </c>
    </row>
    <row r="1150" spans="1:75" ht="27" customHeight="1">
      <c r="A1150" s="1" t="s">
        <v>2038</v>
      </c>
      <c r="B1150" s="2" t="s">
        <v>87</v>
      </c>
      <c r="C1150" s="2" t="s">
        <v>2039</v>
      </c>
      <c r="D1150" s="108" t="s">
        <v>2040</v>
      </c>
      <c r="E1150" s="103"/>
      <c r="F1150" s="2" t="s">
        <v>214</v>
      </c>
      <c r="G1150" s="38">
        <v>55</v>
      </c>
      <c r="H1150" s="70">
        <v>0</v>
      </c>
      <c r="I1150" s="38">
        <f>G1150*H1150</f>
        <v>0</v>
      </c>
      <c r="J1150" s="38">
        <v>0</v>
      </c>
      <c r="K1150" s="38">
        <f>G1150*J1150</f>
        <v>0</v>
      </c>
      <c r="L1150" s="71" t="s">
        <v>207</v>
      </c>
      <c r="Z1150" s="38">
        <f>IF(AQ1150="5",BJ1150,0)</f>
        <v>0</v>
      </c>
      <c r="AB1150" s="38">
        <f>IF(AQ1150="1",BH1150,0)</f>
        <v>0</v>
      </c>
      <c r="AC1150" s="38">
        <f>IF(AQ1150="1",BI1150,0)</f>
        <v>0</v>
      </c>
      <c r="AD1150" s="38">
        <f>IF(AQ1150="7",BH1150,0)</f>
        <v>0</v>
      </c>
      <c r="AE1150" s="38">
        <f>IF(AQ1150="7",BI1150,0)</f>
        <v>0</v>
      </c>
      <c r="AF1150" s="38">
        <f>IF(AQ1150="2",BH1150,0)</f>
        <v>0</v>
      </c>
      <c r="AG1150" s="38">
        <f>IF(AQ1150="2",BI1150,0)</f>
        <v>0</v>
      </c>
      <c r="AH1150" s="38">
        <f>IF(AQ1150="0",BJ1150,0)</f>
        <v>0</v>
      </c>
      <c r="AI1150" s="50" t="s">
        <v>87</v>
      </c>
      <c r="AJ1150" s="38">
        <f>IF(AN1150=0,I1150,0)</f>
        <v>0</v>
      </c>
      <c r="AK1150" s="38">
        <f>IF(AN1150=12,I1150,0)</f>
        <v>0</v>
      </c>
      <c r="AL1150" s="38">
        <f>IF(AN1150=21,I1150,0)</f>
        <v>0</v>
      </c>
      <c r="AN1150" s="38">
        <v>21</v>
      </c>
      <c r="AO1150" s="38">
        <f>H1150*0</f>
        <v>0</v>
      </c>
      <c r="AP1150" s="38">
        <f>H1150*(1-0)</f>
        <v>0</v>
      </c>
      <c r="AQ1150" s="72" t="s">
        <v>169</v>
      </c>
      <c r="AV1150" s="38">
        <f>AW1150+AX1150</f>
        <v>0</v>
      </c>
      <c r="AW1150" s="38">
        <f>G1150*AO1150</f>
        <v>0</v>
      </c>
      <c r="AX1150" s="38">
        <f>G1150*AP1150</f>
        <v>0</v>
      </c>
      <c r="AY1150" s="72" t="s">
        <v>895</v>
      </c>
      <c r="AZ1150" s="72" t="s">
        <v>2031</v>
      </c>
      <c r="BA1150" s="50" t="s">
        <v>2006</v>
      </c>
      <c r="BC1150" s="38">
        <f>AW1150+AX1150</f>
        <v>0</v>
      </c>
      <c r="BD1150" s="38">
        <f>H1150/(100-BE1150)*100</f>
        <v>0</v>
      </c>
      <c r="BE1150" s="38">
        <v>0</v>
      </c>
      <c r="BF1150" s="38">
        <f>K1150</f>
        <v>0</v>
      </c>
      <c r="BH1150" s="38">
        <f>G1150*AO1150</f>
        <v>0</v>
      </c>
      <c r="BI1150" s="38">
        <f>G1150*AP1150</f>
        <v>0</v>
      </c>
      <c r="BJ1150" s="38">
        <f>G1150*H1150</f>
        <v>0</v>
      </c>
      <c r="BK1150" s="38"/>
      <c r="BL1150" s="38">
        <v>713</v>
      </c>
      <c r="BW1150" s="38">
        <v>21</v>
      </c>
    </row>
    <row r="1151" spans="1:75" ht="13.5" customHeight="1">
      <c r="A1151" s="78" t="s">
        <v>2041</v>
      </c>
      <c r="B1151" s="79" t="s">
        <v>87</v>
      </c>
      <c r="C1151" s="79" t="s">
        <v>2042</v>
      </c>
      <c r="D1151" s="198" t="s">
        <v>2043</v>
      </c>
      <c r="E1151" s="199"/>
      <c r="F1151" s="79" t="s">
        <v>214</v>
      </c>
      <c r="G1151" s="80">
        <v>55</v>
      </c>
      <c r="H1151" s="81">
        <v>0</v>
      </c>
      <c r="I1151" s="80">
        <f>G1151*H1151</f>
        <v>0</v>
      </c>
      <c r="J1151" s="80">
        <v>0</v>
      </c>
      <c r="K1151" s="80">
        <f>G1151*J1151</f>
        <v>0</v>
      </c>
      <c r="L1151" s="82" t="s">
        <v>207</v>
      </c>
      <c r="Z1151" s="38">
        <f>IF(AQ1151="5",BJ1151,0)</f>
        <v>0</v>
      </c>
      <c r="AB1151" s="38">
        <f>IF(AQ1151="1",BH1151,0)</f>
        <v>0</v>
      </c>
      <c r="AC1151" s="38">
        <f>IF(AQ1151="1",BI1151,0)</f>
        <v>0</v>
      </c>
      <c r="AD1151" s="38">
        <f>IF(AQ1151="7",BH1151,0)</f>
        <v>0</v>
      </c>
      <c r="AE1151" s="38">
        <f>IF(AQ1151="7",BI1151,0)</f>
        <v>0</v>
      </c>
      <c r="AF1151" s="38">
        <f>IF(AQ1151="2",BH1151,0)</f>
        <v>0</v>
      </c>
      <c r="AG1151" s="38">
        <f>IF(AQ1151="2",BI1151,0)</f>
        <v>0</v>
      </c>
      <c r="AH1151" s="38">
        <f>IF(AQ1151="0",BJ1151,0)</f>
        <v>0</v>
      </c>
      <c r="AI1151" s="50" t="s">
        <v>87</v>
      </c>
      <c r="AJ1151" s="80">
        <f>IF(AN1151=0,I1151,0)</f>
        <v>0</v>
      </c>
      <c r="AK1151" s="80">
        <f>IF(AN1151=12,I1151,0)</f>
        <v>0</v>
      </c>
      <c r="AL1151" s="80">
        <f>IF(AN1151=21,I1151,0)</f>
        <v>0</v>
      </c>
      <c r="AN1151" s="38">
        <v>21</v>
      </c>
      <c r="AO1151" s="38">
        <f>H1151*1</f>
        <v>0</v>
      </c>
      <c r="AP1151" s="38">
        <f>H1151*(1-1)</f>
        <v>0</v>
      </c>
      <c r="AQ1151" s="83" t="s">
        <v>169</v>
      </c>
      <c r="AV1151" s="38">
        <f>AW1151+AX1151</f>
        <v>0</v>
      </c>
      <c r="AW1151" s="38">
        <f>G1151*AO1151</f>
        <v>0</v>
      </c>
      <c r="AX1151" s="38">
        <f>G1151*AP1151</f>
        <v>0</v>
      </c>
      <c r="AY1151" s="72" t="s">
        <v>895</v>
      </c>
      <c r="AZ1151" s="72" t="s">
        <v>2031</v>
      </c>
      <c r="BA1151" s="50" t="s">
        <v>2006</v>
      </c>
      <c r="BC1151" s="38">
        <f>AW1151+AX1151</f>
        <v>0</v>
      </c>
      <c r="BD1151" s="38">
        <f>H1151/(100-BE1151)*100</f>
        <v>0</v>
      </c>
      <c r="BE1151" s="38">
        <v>0</v>
      </c>
      <c r="BF1151" s="38">
        <f>K1151</f>
        <v>0</v>
      </c>
      <c r="BH1151" s="80">
        <f>G1151*AO1151</f>
        <v>0</v>
      </c>
      <c r="BI1151" s="80">
        <f>G1151*AP1151</f>
        <v>0</v>
      </c>
      <c r="BJ1151" s="80">
        <f>G1151*H1151</f>
        <v>0</v>
      </c>
      <c r="BK1151" s="80"/>
      <c r="BL1151" s="38">
        <v>713</v>
      </c>
      <c r="BW1151" s="38">
        <v>21</v>
      </c>
    </row>
    <row r="1152" spans="1:47" ht="15">
      <c r="A1152" s="65" t="s">
        <v>4</v>
      </c>
      <c r="B1152" s="66" t="s">
        <v>87</v>
      </c>
      <c r="C1152" s="66" t="s">
        <v>2044</v>
      </c>
      <c r="D1152" s="192" t="s">
        <v>2045</v>
      </c>
      <c r="E1152" s="193"/>
      <c r="F1152" s="67" t="s">
        <v>78</v>
      </c>
      <c r="G1152" s="67" t="s">
        <v>78</v>
      </c>
      <c r="H1152" s="68" t="s">
        <v>78</v>
      </c>
      <c r="I1152" s="44">
        <f>SUM(I1153:I1168)</f>
        <v>0</v>
      </c>
      <c r="J1152" s="50" t="s">
        <v>4</v>
      </c>
      <c r="K1152" s="44">
        <f>SUM(K1153:K1168)</f>
        <v>0</v>
      </c>
      <c r="L1152" s="69" t="s">
        <v>4</v>
      </c>
      <c r="AI1152" s="50" t="s">
        <v>87</v>
      </c>
      <c r="AS1152" s="44">
        <f>SUM(AJ1153:AJ1168)</f>
        <v>0</v>
      </c>
      <c r="AT1152" s="44">
        <f>SUM(AK1153:AK1168)</f>
        <v>0</v>
      </c>
      <c r="AU1152" s="44">
        <f>SUM(AL1153:AL1168)</f>
        <v>0</v>
      </c>
    </row>
    <row r="1153" spans="1:75" ht="13.5" customHeight="1">
      <c r="A1153" s="1" t="s">
        <v>2046</v>
      </c>
      <c r="B1153" s="2" t="s">
        <v>87</v>
      </c>
      <c r="C1153" s="2" t="s">
        <v>2047</v>
      </c>
      <c r="D1153" s="108" t="s">
        <v>2048</v>
      </c>
      <c r="E1153" s="103"/>
      <c r="F1153" s="2" t="s">
        <v>214</v>
      </c>
      <c r="G1153" s="38">
        <v>14</v>
      </c>
      <c r="H1153" s="70">
        <v>0</v>
      </c>
      <c r="I1153" s="38">
        <f>G1153*H1153</f>
        <v>0</v>
      </c>
      <c r="J1153" s="38">
        <v>0</v>
      </c>
      <c r="K1153" s="38">
        <f>G1153*J1153</f>
        <v>0</v>
      </c>
      <c r="L1153" s="71" t="s">
        <v>207</v>
      </c>
      <c r="Z1153" s="38">
        <f>IF(AQ1153="5",BJ1153,0)</f>
        <v>0</v>
      </c>
      <c r="AB1153" s="38">
        <f>IF(AQ1153="1",BH1153,0)</f>
        <v>0</v>
      </c>
      <c r="AC1153" s="38">
        <f>IF(AQ1153="1",BI1153,0)</f>
        <v>0</v>
      </c>
      <c r="AD1153" s="38">
        <f>IF(AQ1153="7",BH1153,0)</f>
        <v>0</v>
      </c>
      <c r="AE1153" s="38">
        <f>IF(AQ1153="7",BI1153,0)</f>
        <v>0</v>
      </c>
      <c r="AF1153" s="38">
        <f>IF(AQ1153="2",BH1153,0)</f>
        <v>0</v>
      </c>
      <c r="AG1153" s="38">
        <f>IF(AQ1153="2",BI1153,0)</f>
        <v>0</v>
      </c>
      <c r="AH1153" s="38">
        <f>IF(AQ1153="0",BJ1153,0)</f>
        <v>0</v>
      </c>
      <c r="AI1153" s="50" t="s">
        <v>87</v>
      </c>
      <c r="AJ1153" s="38">
        <f>IF(AN1153=0,I1153,0)</f>
        <v>0</v>
      </c>
      <c r="AK1153" s="38">
        <f>IF(AN1153=12,I1153,0)</f>
        <v>0</v>
      </c>
      <c r="AL1153" s="38">
        <f>IF(AN1153=21,I1153,0)</f>
        <v>0</v>
      </c>
      <c r="AN1153" s="38">
        <v>21</v>
      </c>
      <c r="AO1153" s="38">
        <f>H1153*0</f>
        <v>0</v>
      </c>
      <c r="AP1153" s="38">
        <f>H1153*(1-0)</f>
        <v>0</v>
      </c>
      <c r="AQ1153" s="72" t="s">
        <v>169</v>
      </c>
      <c r="AV1153" s="38">
        <f>AW1153+AX1153</f>
        <v>0</v>
      </c>
      <c r="AW1153" s="38">
        <f>G1153*AO1153</f>
        <v>0</v>
      </c>
      <c r="AX1153" s="38">
        <f>G1153*AP1153</f>
        <v>0</v>
      </c>
      <c r="AY1153" s="72" t="s">
        <v>2049</v>
      </c>
      <c r="AZ1153" s="72" t="s">
        <v>2050</v>
      </c>
      <c r="BA1153" s="50" t="s">
        <v>2006</v>
      </c>
      <c r="BC1153" s="38">
        <f>AW1153+AX1153</f>
        <v>0</v>
      </c>
      <c r="BD1153" s="38">
        <f>H1153/(100-BE1153)*100</f>
        <v>0</v>
      </c>
      <c r="BE1153" s="38">
        <v>0</v>
      </c>
      <c r="BF1153" s="38">
        <f>K1153</f>
        <v>0</v>
      </c>
      <c r="BH1153" s="38">
        <f>G1153*AO1153</f>
        <v>0</v>
      </c>
      <c r="BI1153" s="38">
        <f>G1153*AP1153</f>
        <v>0</v>
      </c>
      <c r="BJ1153" s="38">
        <f>G1153*H1153</f>
        <v>0</v>
      </c>
      <c r="BK1153" s="38"/>
      <c r="BL1153" s="38">
        <v>721</v>
      </c>
      <c r="BW1153" s="38">
        <v>21</v>
      </c>
    </row>
    <row r="1154" spans="1:75" ht="13.5" customHeight="1">
      <c r="A1154" s="1" t="s">
        <v>2051</v>
      </c>
      <c r="B1154" s="2" t="s">
        <v>87</v>
      </c>
      <c r="C1154" s="2" t="s">
        <v>2052</v>
      </c>
      <c r="D1154" s="108" t="s">
        <v>2053</v>
      </c>
      <c r="E1154" s="103"/>
      <c r="F1154" s="2" t="s">
        <v>214</v>
      </c>
      <c r="G1154" s="38">
        <v>20</v>
      </c>
      <c r="H1154" s="70">
        <v>0</v>
      </c>
      <c r="I1154" s="38">
        <f>G1154*H1154</f>
        <v>0</v>
      </c>
      <c r="J1154" s="38">
        <v>0</v>
      </c>
      <c r="K1154" s="38">
        <f>G1154*J1154</f>
        <v>0</v>
      </c>
      <c r="L1154" s="71" t="s">
        <v>207</v>
      </c>
      <c r="Z1154" s="38">
        <f>IF(AQ1154="5",BJ1154,0)</f>
        <v>0</v>
      </c>
      <c r="AB1154" s="38">
        <f>IF(AQ1154="1",BH1154,0)</f>
        <v>0</v>
      </c>
      <c r="AC1154" s="38">
        <f>IF(AQ1154="1",BI1154,0)</f>
        <v>0</v>
      </c>
      <c r="AD1154" s="38">
        <f>IF(AQ1154="7",BH1154,0)</f>
        <v>0</v>
      </c>
      <c r="AE1154" s="38">
        <f>IF(AQ1154="7",BI1154,0)</f>
        <v>0</v>
      </c>
      <c r="AF1154" s="38">
        <f>IF(AQ1154="2",BH1154,0)</f>
        <v>0</v>
      </c>
      <c r="AG1154" s="38">
        <f>IF(AQ1154="2",BI1154,0)</f>
        <v>0</v>
      </c>
      <c r="AH1154" s="38">
        <f>IF(AQ1154="0",BJ1154,0)</f>
        <v>0</v>
      </c>
      <c r="AI1154" s="50" t="s">
        <v>87</v>
      </c>
      <c r="AJ1154" s="38">
        <f>IF(AN1154=0,I1154,0)</f>
        <v>0</v>
      </c>
      <c r="AK1154" s="38">
        <f>IF(AN1154=12,I1154,0)</f>
        <v>0</v>
      </c>
      <c r="AL1154" s="38">
        <f>IF(AN1154=21,I1154,0)</f>
        <v>0</v>
      </c>
      <c r="AN1154" s="38">
        <v>21</v>
      </c>
      <c r="AO1154" s="38">
        <f>H1154*0</f>
        <v>0</v>
      </c>
      <c r="AP1154" s="38">
        <f>H1154*(1-0)</f>
        <v>0</v>
      </c>
      <c r="AQ1154" s="72" t="s">
        <v>169</v>
      </c>
      <c r="AV1154" s="38">
        <f>AW1154+AX1154</f>
        <v>0</v>
      </c>
      <c r="AW1154" s="38">
        <f>G1154*AO1154</f>
        <v>0</v>
      </c>
      <c r="AX1154" s="38">
        <f>G1154*AP1154</f>
        <v>0</v>
      </c>
      <c r="AY1154" s="72" t="s">
        <v>2049</v>
      </c>
      <c r="AZ1154" s="72" t="s">
        <v>2050</v>
      </c>
      <c r="BA1154" s="50" t="s">
        <v>2006</v>
      </c>
      <c r="BC1154" s="38">
        <f>AW1154+AX1154</f>
        <v>0</v>
      </c>
      <c r="BD1154" s="38">
        <f>H1154/(100-BE1154)*100</f>
        <v>0</v>
      </c>
      <c r="BE1154" s="38">
        <v>0</v>
      </c>
      <c r="BF1154" s="38">
        <f>K1154</f>
        <v>0</v>
      </c>
      <c r="BH1154" s="38">
        <f>G1154*AO1154</f>
        <v>0</v>
      </c>
      <c r="BI1154" s="38">
        <f>G1154*AP1154</f>
        <v>0</v>
      </c>
      <c r="BJ1154" s="38">
        <f>G1154*H1154</f>
        <v>0</v>
      </c>
      <c r="BK1154" s="38"/>
      <c r="BL1154" s="38">
        <v>721</v>
      </c>
      <c r="BW1154" s="38">
        <v>21</v>
      </c>
    </row>
    <row r="1155" spans="1:12" ht="13.5" customHeight="1">
      <c r="A1155" s="74"/>
      <c r="D1155" s="194" t="s">
        <v>2054</v>
      </c>
      <c r="E1155" s="195"/>
      <c r="F1155" s="195"/>
      <c r="G1155" s="195"/>
      <c r="H1155" s="196"/>
      <c r="I1155" s="195"/>
      <c r="J1155" s="195"/>
      <c r="K1155" s="195"/>
      <c r="L1155" s="197"/>
    </row>
    <row r="1156" spans="1:75" ht="13.5" customHeight="1">
      <c r="A1156" s="1" t="s">
        <v>2055</v>
      </c>
      <c r="B1156" s="2" t="s">
        <v>87</v>
      </c>
      <c r="C1156" s="2" t="s">
        <v>2056</v>
      </c>
      <c r="D1156" s="108" t="s">
        <v>2057</v>
      </c>
      <c r="E1156" s="103"/>
      <c r="F1156" s="2" t="s">
        <v>214</v>
      </c>
      <c r="G1156" s="38">
        <v>35</v>
      </c>
      <c r="H1156" s="70">
        <v>0</v>
      </c>
      <c r="I1156" s="38">
        <f aca="true" t="shared" si="0" ref="I1156:I1168">G1156*H1156</f>
        <v>0</v>
      </c>
      <c r="J1156" s="38">
        <v>0</v>
      </c>
      <c r="K1156" s="38">
        <f aca="true" t="shared" si="1" ref="K1156:K1168">G1156*J1156</f>
        <v>0</v>
      </c>
      <c r="L1156" s="71" t="s">
        <v>207</v>
      </c>
      <c r="Z1156" s="38">
        <f aca="true" t="shared" si="2" ref="Z1156:Z1168">IF(AQ1156="5",BJ1156,0)</f>
        <v>0</v>
      </c>
      <c r="AB1156" s="38">
        <f aca="true" t="shared" si="3" ref="AB1156:AB1168">IF(AQ1156="1",BH1156,0)</f>
        <v>0</v>
      </c>
      <c r="AC1156" s="38">
        <f aca="true" t="shared" si="4" ref="AC1156:AC1168">IF(AQ1156="1",BI1156,0)</f>
        <v>0</v>
      </c>
      <c r="AD1156" s="38">
        <f aca="true" t="shared" si="5" ref="AD1156:AD1168">IF(AQ1156="7",BH1156,0)</f>
        <v>0</v>
      </c>
      <c r="AE1156" s="38">
        <f aca="true" t="shared" si="6" ref="AE1156:AE1168">IF(AQ1156="7",BI1156,0)</f>
        <v>0</v>
      </c>
      <c r="AF1156" s="38">
        <f aca="true" t="shared" si="7" ref="AF1156:AF1168">IF(AQ1156="2",BH1156,0)</f>
        <v>0</v>
      </c>
      <c r="AG1156" s="38">
        <f aca="true" t="shared" si="8" ref="AG1156:AG1168">IF(AQ1156="2",BI1156,0)</f>
        <v>0</v>
      </c>
      <c r="AH1156" s="38">
        <f aca="true" t="shared" si="9" ref="AH1156:AH1168">IF(AQ1156="0",BJ1156,0)</f>
        <v>0</v>
      </c>
      <c r="AI1156" s="50" t="s">
        <v>87</v>
      </c>
      <c r="AJ1156" s="38">
        <f aca="true" t="shared" si="10" ref="AJ1156:AJ1168">IF(AN1156=0,I1156,0)</f>
        <v>0</v>
      </c>
      <c r="AK1156" s="38">
        <f aca="true" t="shared" si="11" ref="AK1156:AK1168">IF(AN1156=12,I1156,0)</f>
        <v>0</v>
      </c>
      <c r="AL1156" s="38">
        <f aca="true" t="shared" si="12" ref="AL1156:AL1168">IF(AN1156=21,I1156,0)</f>
        <v>0</v>
      </c>
      <c r="AN1156" s="38">
        <v>21</v>
      </c>
      <c r="AO1156" s="38">
        <f aca="true" t="shared" si="13" ref="AO1156:AO1168">H1156*0</f>
        <v>0</v>
      </c>
      <c r="AP1156" s="38">
        <f aca="true" t="shared" si="14" ref="AP1156:AP1168">H1156*(1-0)</f>
        <v>0</v>
      </c>
      <c r="AQ1156" s="72" t="s">
        <v>169</v>
      </c>
      <c r="AV1156" s="38">
        <f aca="true" t="shared" si="15" ref="AV1156:AV1168">AW1156+AX1156</f>
        <v>0</v>
      </c>
      <c r="AW1156" s="38">
        <f aca="true" t="shared" si="16" ref="AW1156:AW1168">G1156*AO1156</f>
        <v>0</v>
      </c>
      <c r="AX1156" s="38">
        <f aca="true" t="shared" si="17" ref="AX1156:AX1168">G1156*AP1156</f>
        <v>0</v>
      </c>
      <c r="AY1156" s="72" t="s">
        <v>2049</v>
      </c>
      <c r="AZ1156" s="72" t="s">
        <v>2050</v>
      </c>
      <c r="BA1156" s="50" t="s">
        <v>2006</v>
      </c>
      <c r="BC1156" s="38">
        <f aca="true" t="shared" si="18" ref="BC1156:BC1168">AW1156+AX1156</f>
        <v>0</v>
      </c>
      <c r="BD1156" s="38">
        <f aca="true" t="shared" si="19" ref="BD1156:BD1168">H1156/(100-BE1156)*100</f>
        <v>0</v>
      </c>
      <c r="BE1156" s="38">
        <v>0</v>
      </c>
      <c r="BF1156" s="38">
        <f aca="true" t="shared" si="20" ref="BF1156:BF1168">K1156</f>
        <v>0</v>
      </c>
      <c r="BH1156" s="38">
        <f aca="true" t="shared" si="21" ref="BH1156:BH1168">G1156*AO1156</f>
        <v>0</v>
      </c>
      <c r="BI1156" s="38">
        <f aca="true" t="shared" si="22" ref="BI1156:BI1168">G1156*AP1156</f>
        <v>0</v>
      </c>
      <c r="BJ1156" s="38">
        <f aca="true" t="shared" si="23" ref="BJ1156:BJ1168">G1156*H1156</f>
        <v>0</v>
      </c>
      <c r="BK1156" s="38"/>
      <c r="BL1156" s="38">
        <v>721</v>
      </c>
      <c r="BW1156" s="38">
        <v>21</v>
      </c>
    </row>
    <row r="1157" spans="1:75" ht="13.5" customHeight="1">
      <c r="A1157" s="1" t="s">
        <v>2058</v>
      </c>
      <c r="B1157" s="2" t="s">
        <v>87</v>
      </c>
      <c r="C1157" s="2" t="s">
        <v>2059</v>
      </c>
      <c r="D1157" s="108" t="s">
        <v>2060</v>
      </c>
      <c r="E1157" s="103"/>
      <c r="F1157" s="2" t="s">
        <v>214</v>
      </c>
      <c r="G1157" s="38">
        <v>30</v>
      </c>
      <c r="H1157" s="70">
        <v>0</v>
      </c>
      <c r="I1157" s="38">
        <f t="shared" si="0"/>
        <v>0</v>
      </c>
      <c r="J1157" s="38">
        <v>0</v>
      </c>
      <c r="K1157" s="38">
        <f t="shared" si="1"/>
        <v>0</v>
      </c>
      <c r="L1157" s="71" t="s">
        <v>207</v>
      </c>
      <c r="Z1157" s="38">
        <f t="shared" si="2"/>
        <v>0</v>
      </c>
      <c r="AB1157" s="38">
        <f t="shared" si="3"/>
        <v>0</v>
      </c>
      <c r="AC1157" s="38">
        <f t="shared" si="4"/>
        <v>0</v>
      </c>
      <c r="AD1157" s="38">
        <f t="shared" si="5"/>
        <v>0</v>
      </c>
      <c r="AE1157" s="38">
        <f t="shared" si="6"/>
        <v>0</v>
      </c>
      <c r="AF1157" s="38">
        <f t="shared" si="7"/>
        <v>0</v>
      </c>
      <c r="AG1157" s="38">
        <f t="shared" si="8"/>
        <v>0</v>
      </c>
      <c r="AH1157" s="38">
        <f t="shared" si="9"/>
        <v>0</v>
      </c>
      <c r="AI1157" s="50" t="s">
        <v>87</v>
      </c>
      <c r="AJ1157" s="38">
        <f t="shared" si="10"/>
        <v>0</v>
      </c>
      <c r="AK1157" s="38">
        <f t="shared" si="11"/>
        <v>0</v>
      </c>
      <c r="AL1157" s="38">
        <f t="shared" si="12"/>
        <v>0</v>
      </c>
      <c r="AN1157" s="38">
        <v>21</v>
      </c>
      <c r="AO1157" s="38">
        <f t="shared" si="13"/>
        <v>0</v>
      </c>
      <c r="AP1157" s="38">
        <f t="shared" si="14"/>
        <v>0</v>
      </c>
      <c r="AQ1157" s="72" t="s">
        <v>169</v>
      </c>
      <c r="AV1157" s="38">
        <f t="shared" si="15"/>
        <v>0</v>
      </c>
      <c r="AW1157" s="38">
        <f t="shared" si="16"/>
        <v>0</v>
      </c>
      <c r="AX1157" s="38">
        <f t="shared" si="17"/>
        <v>0</v>
      </c>
      <c r="AY1157" s="72" t="s">
        <v>2049</v>
      </c>
      <c r="AZ1157" s="72" t="s">
        <v>2050</v>
      </c>
      <c r="BA1157" s="50" t="s">
        <v>2006</v>
      </c>
      <c r="BC1157" s="38">
        <f t="shared" si="18"/>
        <v>0</v>
      </c>
      <c r="BD1157" s="38">
        <f t="shared" si="19"/>
        <v>0</v>
      </c>
      <c r="BE1157" s="38">
        <v>0</v>
      </c>
      <c r="BF1157" s="38">
        <f t="shared" si="20"/>
        <v>0</v>
      </c>
      <c r="BH1157" s="38">
        <f t="shared" si="21"/>
        <v>0</v>
      </c>
      <c r="BI1157" s="38">
        <f t="shared" si="22"/>
        <v>0</v>
      </c>
      <c r="BJ1157" s="38">
        <f t="shared" si="23"/>
        <v>0</v>
      </c>
      <c r="BK1157" s="38"/>
      <c r="BL1157" s="38">
        <v>721</v>
      </c>
      <c r="BW1157" s="38">
        <v>21</v>
      </c>
    </row>
    <row r="1158" spans="1:75" ht="13.5" customHeight="1">
      <c r="A1158" s="1" t="s">
        <v>2061</v>
      </c>
      <c r="B1158" s="2" t="s">
        <v>87</v>
      </c>
      <c r="C1158" s="2" t="s">
        <v>2062</v>
      </c>
      <c r="D1158" s="108" t="s">
        <v>2063</v>
      </c>
      <c r="E1158" s="103"/>
      <c r="F1158" s="2" t="s">
        <v>214</v>
      </c>
      <c r="G1158" s="38">
        <v>10</v>
      </c>
      <c r="H1158" s="70">
        <v>0</v>
      </c>
      <c r="I1158" s="38">
        <f t="shared" si="0"/>
        <v>0</v>
      </c>
      <c r="J1158" s="38">
        <v>0</v>
      </c>
      <c r="K1158" s="38">
        <f t="shared" si="1"/>
        <v>0</v>
      </c>
      <c r="L1158" s="71" t="s">
        <v>207</v>
      </c>
      <c r="Z1158" s="38">
        <f t="shared" si="2"/>
        <v>0</v>
      </c>
      <c r="AB1158" s="38">
        <f t="shared" si="3"/>
        <v>0</v>
      </c>
      <c r="AC1158" s="38">
        <f t="shared" si="4"/>
        <v>0</v>
      </c>
      <c r="AD1158" s="38">
        <f t="shared" si="5"/>
        <v>0</v>
      </c>
      <c r="AE1158" s="38">
        <f t="shared" si="6"/>
        <v>0</v>
      </c>
      <c r="AF1158" s="38">
        <f t="shared" si="7"/>
        <v>0</v>
      </c>
      <c r="AG1158" s="38">
        <f t="shared" si="8"/>
        <v>0</v>
      </c>
      <c r="AH1158" s="38">
        <f t="shared" si="9"/>
        <v>0</v>
      </c>
      <c r="AI1158" s="50" t="s">
        <v>87</v>
      </c>
      <c r="AJ1158" s="38">
        <f t="shared" si="10"/>
        <v>0</v>
      </c>
      <c r="AK1158" s="38">
        <f t="shared" si="11"/>
        <v>0</v>
      </c>
      <c r="AL1158" s="38">
        <f t="shared" si="12"/>
        <v>0</v>
      </c>
      <c r="AN1158" s="38">
        <v>21</v>
      </c>
      <c r="AO1158" s="38">
        <f t="shared" si="13"/>
        <v>0</v>
      </c>
      <c r="AP1158" s="38">
        <f t="shared" si="14"/>
        <v>0</v>
      </c>
      <c r="AQ1158" s="72" t="s">
        <v>169</v>
      </c>
      <c r="AV1158" s="38">
        <f t="shared" si="15"/>
        <v>0</v>
      </c>
      <c r="AW1158" s="38">
        <f t="shared" si="16"/>
        <v>0</v>
      </c>
      <c r="AX1158" s="38">
        <f t="shared" si="17"/>
        <v>0</v>
      </c>
      <c r="AY1158" s="72" t="s">
        <v>2049</v>
      </c>
      <c r="AZ1158" s="72" t="s">
        <v>2050</v>
      </c>
      <c r="BA1158" s="50" t="s">
        <v>2006</v>
      </c>
      <c r="BC1158" s="38">
        <f t="shared" si="18"/>
        <v>0</v>
      </c>
      <c r="BD1158" s="38">
        <f t="shared" si="19"/>
        <v>0</v>
      </c>
      <c r="BE1158" s="38">
        <v>0</v>
      </c>
      <c r="BF1158" s="38">
        <f t="shared" si="20"/>
        <v>0</v>
      </c>
      <c r="BH1158" s="38">
        <f t="shared" si="21"/>
        <v>0</v>
      </c>
      <c r="BI1158" s="38">
        <f t="shared" si="22"/>
        <v>0</v>
      </c>
      <c r="BJ1158" s="38">
        <f t="shared" si="23"/>
        <v>0</v>
      </c>
      <c r="BK1158" s="38"/>
      <c r="BL1158" s="38">
        <v>721</v>
      </c>
      <c r="BW1158" s="38">
        <v>21</v>
      </c>
    </row>
    <row r="1159" spans="1:75" ht="13.5" customHeight="1">
      <c r="A1159" s="1" t="s">
        <v>2064</v>
      </c>
      <c r="B1159" s="2" t="s">
        <v>87</v>
      </c>
      <c r="C1159" s="2" t="s">
        <v>2065</v>
      </c>
      <c r="D1159" s="108" t="s">
        <v>2066</v>
      </c>
      <c r="E1159" s="103"/>
      <c r="F1159" s="2" t="s">
        <v>214</v>
      </c>
      <c r="G1159" s="38">
        <v>20</v>
      </c>
      <c r="H1159" s="70">
        <v>0</v>
      </c>
      <c r="I1159" s="38">
        <f t="shared" si="0"/>
        <v>0</v>
      </c>
      <c r="J1159" s="38">
        <v>0</v>
      </c>
      <c r="K1159" s="38">
        <f t="shared" si="1"/>
        <v>0</v>
      </c>
      <c r="L1159" s="71" t="s">
        <v>207</v>
      </c>
      <c r="Z1159" s="38">
        <f t="shared" si="2"/>
        <v>0</v>
      </c>
      <c r="AB1159" s="38">
        <f t="shared" si="3"/>
        <v>0</v>
      </c>
      <c r="AC1159" s="38">
        <f t="shared" si="4"/>
        <v>0</v>
      </c>
      <c r="AD1159" s="38">
        <f t="shared" si="5"/>
        <v>0</v>
      </c>
      <c r="AE1159" s="38">
        <f t="shared" si="6"/>
        <v>0</v>
      </c>
      <c r="AF1159" s="38">
        <f t="shared" si="7"/>
        <v>0</v>
      </c>
      <c r="AG1159" s="38">
        <f t="shared" si="8"/>
        <v>0</v>
      </c>
      <c r="AH1159" s="38">
        <f t="shared" si="9"/>
        <v>0</v>
      </c>
      <c r="AI1159" s="50" t="s">
        <v>87</v>
      </c>
      <c r="AJ1159" s="38">
        <f t="shared" si="10"/>
        <v>0</v>
      </c>
      <c r="AK1159" s="38">
        <f t="shared" si="11"/>
        <v>0</v>
      </c>
      <c r="AL1159" s="38">
        <f t="shared" si="12"/>
        <v>0</v>
      </c>
      <c r="AN1159" s="38">
        <v>21</v>
      </c>
      <c r="AO1159" s="38">
        <f t="shared" si="13"/>
        <v>0</v>
      </c>
      <c r="AP1159" s="38">
        <f t="shared" si="14"/>
        <v>0</v>
      </c>
      <c r="AQ1159" s="72" t="s">
        <v>169</v>
      </c>
      <c r="AV1159" s="38">
        <f t="shared" si="15"/>
        <v>0</v>
      </c>
      <c r="AW1159" s="38">
        <f t="shared" si="16"/>
        <v>0</v>
      </c>
      <c r="AX1159" s="38">
        <f t="shared" si="17"/>
        <v>0</v>
      </c>
      <c r="AY1159" s="72" t="s">
        <v>2049</v>
      </c>
      <c r="AZ1159" s="72" t="s">
        <v>2050</v>
      </c>
      <c r="BA1159" s="50" t="s">
        <v>2006</v>
      </c>
      <c r="BC1159" s="38">
        <f t="shared" si="18"/>
        <v>0</v>
      </c>
      <c r="BD1159" s="38">
        <f t="shared" si="19"/>
        <v>0</v>
      </c>
      <c r="BE1159" s="38">
        <v>0</v>
      </c>
      <c r="BF1159" s="38">
        <f t="shared" si="20"/>
        <v>0</v>
      </c>
      <c r="BH1159" s="38">
        <f t="shared" si="21"/>
        <v>0</v>
      </c>
      <c r="BI1159" s="38">
        <f t="shared" si="22"/>
        <v>0</v>
      </c>
      <c r="BJ1159" s="38">
        <f t="shared" si="23"/>
        <v>0</v>
      </c>
      <c r="BK1159" s="38"/>
      <c r="BL1159" s="38">
        <v>721</v>
      </c>
      <c r="BW1159" s="38">
        <v>21</v>
      </c>
    </row>
    <row r="1160" spans="1:75" ht="13.5" customHeight="1">
      <c r="A1160" s="1" t="s">
        <v>2067</v>
      </c>
      <c r="B1160" s="2" t="s">
        <v>87</v>
      </c>
      <c r="C1160" s="2" t="s">
        <v>2068</v>
      </c>
      <c r="D1160" s="108" t="s">
        <v>2069</v>
      </c>
      <c r="E1160" s="103"/>
      <c r="F1160" s="2" t="s">
        <v>199</v>
      </c>
      <c r="G1160" s="38">
        <v>15</v>
      </c>
      <c r="H1160" s="70">
        <v>0</v>
      </c>
      <c r="I1160" s="38">
        <f t="shared" si="0"/>
        <v>0</v>
      </c>
      <c r="J1160" s="38">
        <v>0</v>
      </c>
      <c r="K1160" s="38">
        <f t="shared" si="1"/>
        <v>0</v>
      </c>
      <c r="L1160" s="71" t="s">
        <v>207</v>
      </c>
      <c r="Z1160" s="38">
        <f t="shared" si="2"/>
        <v>0</v>
      </c>
      <c r="AB1160" s="38">
        <f t="shared" si="3"/>
        <v>0</v>
      </c>
      <c r="AC1160" s="38">
        <f t="shared" si="4"/>
        <v>0</v>
      </c>
      <c r="AD1160" s="38">
        <f t="shared" si="5"/>
        <v>0</v>
      </c>
      <c r="AE1160" s="38">
        <f t="shared" si="6"/>
        <v>0</v>
      </c>
      <c r="AF1160" s="38">
        <f t="shared" si="7"/>
        <v>0</v>
      </c>
      <c r="AG1160" s="38">
        <f t="shared" si="8"/>
        <v>0</v>
      </c>
      <c r="AH1160" s="38">
        <f t="shared" si="9"/>
        <v>0</v>
      </c>
      <c r="AI1160" s="50" t="s">
        <v>87</v>
      </c>
      <c r="AJ1160" s="38">
        <f t="shared" si="10"/>
        <v>0</v>
      </c>
      <c r="AK1160" s="38">
        <f t="shared" si="11"/>
        <v>0</v>
      </c>
      <c r="AL1160" s="38">
        <f t="shared" si="12"/>
        <v>0</v>
      </c>
      <c r="AN1160" s="38">
        <v>21</v>
      </c>
      <c r="AO1160" s="38">
        <f t="shared" si="13"/>
        <v>0</v>
      </c>
      <c r="AP1160" s="38">
        <f t="shared" si="14"/>
        <v>0</v>
      </c>
      <c r="AQ1160" s="72" t="s">
        <v>169</v>
      </c>
      <c r="AV1160" s="38">
        <f t="shared" si="15"/>
        <v>0</v>
      </c>
      <c r="AW1160" s="38">
        <f t="shared" si="16"/>
        <v>0</v>
      </c>
      <c r="AX1160" s="38">
        <f t="shared" si="17"/>
        <v>0</v>
      </c>
      <c r="AY1160" s="72" t="s">
        <v>2049</v>
      </c>
      <c r="AZ1160" s="72" t="s">
        <v>2050</v>
      </c>
      <c r="BA1160" s="50" t="s">
        <v>2006</v>
      </c>
      <c r="BC1160" s="38">
        <f t="shared" si="18"/>
        <v>0</v>
      </c>
      <c r="BD1160" s="38">
        <f t="shared" si="19"/>
        <v>0</v>
      </c>
      <c r="BE1160" s="38">
        <v>0</v>
      </c>
      <c r="BF1160" s="38">
        <f t="shared" si="20"/>
        <v>0</v>
      </c>
      <c r="BH1160" s="38">
        <f t="shared" si="21"/>
        <v>0</v>
      </c>
      <c r="BI1160" s="38">
        <f t="shared" si="22"/>
        <v>0</v>
      </c>
      <c r="BJ1160" s="38">
        <f t="shared" si="23"/>
        <v>0</v>
      </c>
      <c r="BK1160" s="38"/>
      <c r="BL1160" s="38">
        <v>721</v>
      </c>
      <c r="BW1160" s="38">
        <v>21</v>
      </c>
    </row>
    <row r="1161" spans="1:75" ht="13.5" customHeight="1">
      <c r="A1161" s="1" t="s">
        <v>2070</v>
      </c>
      <c r="B1161" s="2" t="s">
        <v>87</v>
      </c>
      <c r="C1161" s="2" t="s">
        <v>2071</v>
      </c>
      <c r="D1161" s="108" t="s">
        <v>2072</v>
      </c>
      <c r="E1161" s="103"/>
      <c r="F1161" s="2" t="s">
        <v>199</v>
      </c>
      <c r="G1161" s="38">
        <v>3</v>
      </c>
      <c r="H1161" s="70">
        <v>0</v>
      </c>
      <c r="I1161" s="38">
        <f t="shared" si="0"/>
        <v>0</v>
      </c>
      <c r="J1161" s="38">
        <v>0</v>
      </c>
      <c r="K1161" s="38">
        <f t="shared" si="1"/>
        <v>0</v>
      </c>
      <c r="L1161" s="71" t="s">
        <v>207</v>
      </c>
      <c r="Z1161" s="38">
        <f t="shared" si="2"/>
        <v>0</v>
      </c>
      <c r="AB1161" s="38">
        <f t="shared" si="3"/>
        <v>0</v>
      </c>
      <c r="AC1161" s="38">
        <f t="shared" si="4"/>
        <v>0</v>
      </c>
      <c r="AD1161" s="38">
        <f t="shared" si="5"/>
        <v>0</v>
      </c>
      <c r="AE1161" s="38">
        <f t="shared" si="6"/>
        <v>0</v>
      </c>
      <c r="AF1161" s="38">
        <f t="shared" si="7"/>
        <v>0</v>
      </c>
      <c r="AG1161" s="38">
        <f t="shared" si="8"/>
        <v>0</v>
      </c>
      <c r="AH1161" s="38">
        <f t="shared" si="9"/>
        <v>0</v>
      </c>
      <c r="AI1161" s="50" t="s">
        <v>87</v>
      </c>
      <c r="AJ1161" s="38">
        <f t="shared" si="10"/>
        <v>0</v>
      </c>
      <c r="AK1161" s="38">
        <f t="shared" si="11"/>
        <v>0</v>
      </c>
      <c r="AL1161" s="38">
        <f t="shared" si="12"/>
        <v>0</v>
      </c>
      <c r="AN1161" s="38">
        <v>21</v>
      </c>
      <c r="AO1161" s="38">
        <f t="shared" si="13"/>
        <v>0</v>
      </c>
      <c r="AP1161" s="38">
        <f t="shared" si="14"/>
        <v>0</v>
      </c>
      <c r="AQ1161" s="72" t="s">
        <v>169</v>
      </c>
      <c r="AV1161" s="38">
        <f t="shared" si="15"/>
        <v>0</v>
      </c>
      <c r="AW1161" s="38">
        <f t="shared" si="16"/>
        <v>0</v>
      </c>
      <c r="AX1161" s="38">
        <f t="shared" si="17"/>
        <v>0</v>
      </c>
      <c r="AY1161" s="72" t="s">
        <v>2049</v>
      </c>
      <c r="AZ1161" s="72" t="s">
        <v>2050</v>
      </c>
      <c r="BA1161" s="50" t="s">
        <v>2006</v>
      </c>
      <c r="BC1161" s="38">
        <f t="shared" si="18"/>
        <v>0</v>
      </c>
      <c r="BD1161" s="38">
        <f t="shared" si="19"/>
        <v>0</v>
      </c>
      <c r="BE1161" s="38">
        <v>0</v>
      </c>
      <c r="BF1161" s="38">
        <f t="shared" si="20"/>
        <v>0</v>
      </c>
      <c r="BH1161" s="38">
        <f t="shared" si="21"/>
        <v>0</v>
      </c>
      <c r="BI1161" s="38">
        <f t="shared" si="22"/>
        <v>0</v>
      </c>
      <c r="BJ1161" s="38">
        <f t="shared" si="23"/>
        <v>0</v>
      </c>
      <c r="BK1161" s="38"/>
      <c r="BL1161" s="38">
        <v>721</v>
      </c>
      <c r="BW1161" s="38">
        <v>21</v>
      </c>
    </row>
    <row r="1162" spans="1:75" ht="13.5" customHeight="1">
      <c r="A1162" s="1" t="s">
        <v>2073</v>
      </c>
      <c r="B1162" s="2" t="s">
        <v>87</v>
      </c>
      <c r="C1162" s="2" t="s">
        <v>2074</v>
      </c>
      <c r="D1162" s="108" t="s">
        <v>2075</v>
      </c>
      <c r="E1162" s="103"/>
      <c r="F1162" s="2" t="s">
        <v>199</v>
      </c>
      <c r="G1162" s="38">
        <v>7</v>
      </c>
      <c r="H1162" s="70">
        <v>0</v>
      </c>
      <c r="I1162" s="38">
        <f t="shared" si="0"/>
        <v>0</v>
      </c>
      <c r="J1162" s="38">
        <v>0</v>
      </c>
      <c r="K1162" s="38">
        <f t="shared" si="1"/>
        <v>0</v>
      </c>
      <c r="L1162" s="71" t="s">
        <v>207</v>
      </c>
      <c r="Z1162" s="38">
        <f t="shared" si="2"/>
        <v>0</v>
      </c>
      <c r="AB1162" s="38">
        <f t="shared" si="3"/>
        <v>0</v>
      </c>
      <c r="AC1162" s="38">
        <f t="shared" si="4"/>
        <v>0</v>
      </c>
      <c r="AD1162" s="38">
        <f t="shared" si="5"/>
        <v>0</v>
      </c>
      <c r="AE1162" s="38">
        <f t="shared" si="6"/>
        <v>0</v>
      </c>
      <c r="AF1162" s="38">
        <f t="shared" si="7"/>
        <v>0</v>
      </c>
      <c r="AG1162" s="38">
        <f t="shared" si="8"/>
        <v>0</v>
      </c>
      <c r="AH1162" s="38">
        <f t="shared" si="9"/>
        <v>0</v>
      </c>
      <c r="AI1162" s="50" t="s">
        <v>87</v>
      </c>
      <c r="AJ1162" s="38">
        <f t="shared" si="10"/>
        <v>0</v>
      </c>
      <c r="AK1162" s="38">
        <f t="shared" si="11"/>
        <v>0</v>
      </c>
      <c r="AL1162" s="38">
        <f t="shared" si="12"/>
        <v>0</v>
      </c>
      <c r="AN1162" s="38">
        <v>21</v>
      </c>
      <c r="AO1162" s="38">
        <f t="shared" si="13"/>
        <v>0</v>
      </c>
      <c r="AP1162" s="38">
        <f t="shared" si="14"/>
        <v>0</v>
      </c>
      <c r="AQ1162" s="72" t="s">
        <v>169</v>
      </c>
      <c r="AV1162" s="38">
        <f t="shared" si="15"/>
        <v>0</v>
      </c>
      <c r="AW1162" s="38">
        <f t="shared" si="16"/>
        <v>0</v>
      </c>
      <c r="AX1162" s="38">
        <f t="shared" si="17"/>
        <v>0</v>
      </c>
      <c r="AY1162" s="72" t="s">
        <v>2049</v>
      </c>
      <c r="AZ1162" s="72" t="s">
        <v>2050</v>
      </c>
      <c r="BA1162" s="50" t="s">
        <v>2006</v>
      </c>
      <c r="BC1162" s="38">
        <f t="shared" si="18"/>
        <v>0</v>
      </c>
      <c r="BD1162" s="38">
        <f t="shared" si="19"/>
        <v>0</v>
      </c>
      <c r="BE1162" s="38">
        <v>0</v>
      </c>
      <c r="BF1162" s="38">
        <f t="shared" si="20"/>
        <v>0</v>
      </c>
      <c r="BH1162" s="38">
        <f t="shared" si="21"/>
        <v>0</v>
      </c>
      <c r="BI1162" s="38">
        <f t="shared" si="22"/>
        <v>0</v>
      </c>
      <c r="BJ1162" s="38">
        <f t="shared" si="23"/>
        <v>0</v>
      </c>
      <c r="BK1162" s="38"/>
      <c r="BL1162" s="38">
        <v>721</v>
      </c>
      <c r="BW1162" s="38">
        <v>21</v>
      </c>
    </row>
    <row r="1163" spans="1:75" ht="13.5" customHeight="1">
      <c r="A1163" s="1" t="s">
        <v>2076</v>
      </c>
      <c r="B1163" s="2" t="s">
        <v>87</v>
      </c>
      <c r="C1163" s="2" t="s">
        <v>2077</v>
      </c>
      <c r="D1163" s="108" t="s">
        <v>2078</v>
      </c>
      <c r="E1163" s="103"/>
      <c r="F1163" s="2" t="s">
        <v>199</v>
      </c>
      <c r="G1163" s="38">
        <v>2</v>
      </c>
      <c r="H1163" s="70">
        <v>0</v>
      </c>
      <c r="I1163" s="38">
        <f t="shared" si="0"/>
        <v>0</v>
      </c>
      <c r="J1163" s="38">
        <v>0</v>
      </c>
      <c r="K1163" s="38">
        <f t="shared" si="1"/>
        <v>0</v>
      </c>
      <c r="L1163" s="71" t="s">
        <v>207</v>
      </c>
      <c r="Z1163" s="38">
        <f t="shared" si="2"/>
        <v>0</v>
      </c>
      <c r="AB1163" s="38">
        <f t="shared" si="3"/>
        <v>0</v>
      </c>
      <c r="AC1163" s="38">
        <f t="shared" si="4"/>
        <v>0</v>
      </c>
      <c r="AD1163" s="38">
        <f t="shared" si="5"/>
        <v>0</v>
      </c>
      <c r="AE1163" s="38">
        <f t="shared" si="6"/>
        <v>0</v>
      </c>
      <c r="AF1163" s="38">
        <f t="shared" si="7"/>
        <v>0</v>
      </c>
      <c r="AG1163" s="38">
        <f t="shared" si="8"/>
        <v>0</v>
      </c>
      <c r="AH1163" s="38">
        <f t="shared" si="9"/>
        <v>0</v>
      </c>
      <c r="AI1163" s="50" t="s">
        <v>87</v>
      </c>
      <c r="AJ1163" s="38">
        <f t="shared" si="10"/>
        <v>0</v>
      </c>
      <c r="AK1163" s="38">
        <f t="shared" si="11"/>
        <v>0</v>
      </c>
      <c r="AL1163" s="38">
        <f t="shared" si="12"/>
        <v>0</v>
      </c>
      <c r="AN1163" s="38">
        <v>21</v>
      </c>
      <c r="AO1163" s="38">
        <f t="shared" si="13"/>
        <v>0</v>
      </c>
      <c r="AP1163" s="38">
        <f t="shared" si="14"/>
        <v>0</v>
      </c>
      <c r="AQ1163" s="72" t="s">
        <v>169</v>
      </c>
      <c r="AV1163" s="38">
        <f t="shared" si="15"/>
        <v>0</v>
      </c>
      <c r="AW1163" s="38">
        <f t="shared" si="16"/>
        <v>0</v>
      </c>
      <c r="AX1163" s="38">
        <f t="shared" si="17"/>
        <v>0</v>
      </c>
      <c r="AY1163" s="72" t="s">
        <v>2049</v>
      </c>
      <c r="AZ1163" s="72" t="s">
        <v>2050</v>
      </c>
      <c r="BA1163" s="50" t="s">
        <v>2006</v>
      </c>
      <c r="BC1163" s="38">
        <f t="shared" si="18"/>
        <v>0</v>
      </c>
      <c r="BD1163" s="38">
        <f t="shared" si="19"/>
        <v>0</v>
      </c>
      <c r="BE1163" s="38">
        <v>0</v>
      </c>
      <c r="BF1163" s="38">
        <f t="shared" si="20"/>
        <v>0</v>
      </c>
      <c r="BH1163" s="38">
        <f t="shared" si="21"/>
        <v>0</v>
      </c>
      <c r="BI1163" s="38">
        <f t="shared" si="22"/>
        <v>0</v>
      </c>
      <c r="BJ1163" s="38">
        <f t="shared" si="23"/>
        <v>0</v>
      </c>
      <c r="BK1163" s="38"/>
      <c r="BL1163" s="38">
        <v>721</v>
      </c>
      <c r="BW1163" s="38">
        <v>21</v>
      </c>
    </row>
    <row r="1164" spans="1:75" ht="13.5" customHeight="1">
      <c r="A1164" s="1" t="s">
        <v>2079</v>
      </c>
      <c r="B1164" s="2" t="s">
        <v>87</v>
      </c>
      <c r="C1164" s="2" t="s">
        <v>2080</v>
      </c>
      <c r="D1164" s="108" t="s">
        <v>2081</v>
      </c>
      <c r="E1164" s="103"/>
      <c r="F1164" s="2" t="s">
        <v>199</v>
      </c>
      <c r="G1164" s="38">
        <v>3</v>
      </c>
      <c r="H1164" s="70">
        <v>0</v>
      </c>
      <c r="I1164" s="38">
        <f t="shared" si="0"/>
        <v>0</v>
      </c>
      <c r="J1164" s="38">
        <v>0</v>
      </c>
      <c r="K1164" s="38">
        <f t="shared" si="1"/>
        <v>0</v>
      </c>
      <c r="L1164" s="71" t="s">
        <v>207</v>
      </c>
      <c r="Z1164" s="38">
        <f t="shared" si="2"/>
        <v>0</v>
      </c>
      <c r="AB1164" s="38">
        <f t="shared" si="3"/>
        <v>0</v>
      </c>
      <c r="AC1164" s="38">
        <f t="shared" si="4"/>
        <v>0</v>
      </c>
      <c r="AD1164" s="38">
        <f t="shared" si="5"/>
        <v>0</v>
      </c>
      <c r="AE1164" s="38">
        <f t="shared" si="6"/>
        <v>0</v>
      </c>
      <c r="AF1164" s="38">
        <f t="shared" si="7"/>
        <v>0</v>
      </c>
      <c r="AG1164" s="38">
        <f t="shared" si="8"/>
        <v>0</v>
      </c>
      <c r="AH1164" s="38">
        <f t="shared" si="9"/>
        <v>0</v>
      </c>
      <c r="AI1164" s="50" t="s">
        <v>87</v>
      </c>
      <c r="AJ1164" s="38">
        <f t="shared" si="10"/>
        <v>0</v>
      </c>
      <c r="AK1164" s="38">
        <f t="shared" si="11"/>
        <v>0</v>
      </c>
      <c r="AL1164" s="38">
        <f t="shared" si="12"/>
        <v>0</v>
      </c>
      <c r="AN1164" s="38">
        <v>21</v>
      </c>
      <c r="AO1164" s="38">
        <f t="shared" si="13"/>
        <v>0</v>
      </c>
      <c r="AP1164" s="38">
        <f t="shared" si="14"/>
        <v>0</v>
      </c>
      <c r="AQ1164" s="72" t="s">
        <v>169</v>
      </c>
      <c r="AV1164" s="38">
        <f t="shared" si="15"/>
        <v>0</v>
      </c>
      <c r="AW1164" s="38">
        <f t="shared" si="16"/>
        <v>0</v>
      </c>
      <c r="AX1164" s="38">
        <f t="shared" si="17"/>
        <v>0</v>
      </c>
      <c r="AY1164" s="72" t="s">
        <v>2049</v>
      </c>
      <c r="AZ1164" s="72" t="s">
        <v>2050</v>
      </c>
      <c r="BA1164" s="50" t="s">
        <v>2006</v>
      </c>
      <c r="BC1164" s="38">
        <f t="shared" si="18"/>
        <v>0</v>
      </c>
      <c r="BD1164" s="38">
        <f t="shared" si="19"/>
        <v>0</v>
      </c>
      <c r="BE1164" s="38">
        <v>0</v>
      </c>
      <c r="BF1164" s="38">
        <f t="shared" si="20"/>
        <v>0</v>
      </c>
      <c r="BH1164" s="38">
        <f t="shared" si="21"/>
        <v>0</v>
      </c>
      <c r="BI1164" s="38">
        <f t="shared" si="22"/>
        <v>0</v>
      </c>
      <c r="BJ1164" s="38">
        <f t="shared" si="23"/>
        <v>0</v>
      </c>
      <c r="BK1164" s="38"/>
      <c r="BL1164" s="38">
        <v>721</v>
      </c>
      <c r="BW1164" s="38">
        <v>21</v>
      </c>
    </row>
    <row r="1165" spans="1:75" ht="13.5" customHeight="1">
      <c r="A1165" s="1" t="s">
        <v>2082</v>
      </c>
      <c r="B1165" s="2" t="s">
        <v>87</v>
      </c>
      <c r="C1165" s="2" t="s">
        <v>2083</v>
      </c>
      <c r="D1165" s="108" t="s">
        <v>2084</v>
      </c>
      <c r="E1165" s="103"/>
      <c r="F1165" s="2" t="s">
        <v>199</v>
      </c>
      <c r="G1165" s="38">
        <v>3</v>
      </c>
      <c r="H1165" s="70">
        <v>0</v>
      </c>
      <c r="I1165" s="38">
        <f t="shared" si="0"/>
        <v>0</v>
      </c>
      <c r="J1165" s="38">
        <v>0</v>
      </c>
      <c r="K1165" s="38">
        <f t="shared" si="1"/>
        <v>0</v>
      </c>
      <c r="L1165" s="71" t="s">
        <v>207</v>
      </c>
      <c r="Z1165" s="38">
        <f t="shared" si="2"/>
        <v>0</v>
      </c>
      <c r="AB1165" s="38">
        <f t="shared" si="3"/>
        <v>0</v>
      </c>
      <c r="AC1165" s="38">
        <f t="shared" si="4"/>
        <v>0</v>
      </c>
      <c r="AD1165" s="38">
        <f t="shared" si="5"/>
        <v>0</v>
      </c>
      <c r="AE1165" s="38">
        <f t="shared" si="6"/>
        <v>0</v>
      </c>
      <c r="AF1165" s="38">
        <f t="shared" si="7"/>
        <v>0</v>
      </c>
      <c r="AG1165" s="38">
        <f t="shared" si="8"/>
        <v>0</v>
      </c>
      <c r="AH1165" s="38">
        <f t="shared" si="9"/>
        <v>0</v>
      </c>
      <c r="AI1165" s="50" t="s">
        <v>87</v>
      </c>
      <c r="AJ1165" s="38">
        <f t="shared" si="10"/>
        <v>0</v>
      </c>
      <c r="AK1165" s="38">
        <f t="shared" si="11"/>
        <v>0</v>
      </c>
      <c r="AL1165" s="38">
        <f t="shared" si="12"/>
        <v>0</v>
      </c>
      <c r="AN1165" s="38">
        <v>21</v>
      </c>
      <c r="AO1165" s="38">
        <f t="shared" si="13"/>
        <v>0</v>
      </c>
      <c r="AP1165" s="38">
        <f t="shared" si="14"/>
        <v>0</v>
      </c>
      <c r="AQ1165" s="72" t="s">
        <v>169</v>
      </c>
      <c r="AV1165" s="38">
        <f t="shared" si="15"/>
        <v>0</v>
      </c>
      <c r="AW1165" s="38">
        <f t="shared" si="16"/>
        <v>0</v>
      </c>
      <c r="AX1165" s="38">
        <f t="shared" si="17"/>
        <v>0</v>
      </c>
      <c r="AY1165" s="72" t="s">
        <v>2049</v>
      </c>
      <c r="AZ1165" s="72" t="s">
        <v>2050</v>
      </c>
      <c r="BA1165" s="50" t="s">
        <v>2006</v>
      </c>
      <c r="BC1165" s="38">
        <f t="shared" si="18"/>
        <v>0</v>
      </c>
      <c r="BD1165" s="38">
        <f t="shared" si="19"/>
        <v>0</v>
      </c>
      <c r="BE1165" s="38">
        <v>0</v>
      </c>
      <c r="BF1165" s="38">
        <f t="shared" si="20"/>
        <v>0</v>
      </c>
      <c r="BH1165" s="38">
        <f t="shared" si="21"/>
        <v>0</v>
      </c>
      <c r="BI1165" s="38">
        <f t="shared" si="22"/>
        <v>0</v>
      </c>
      <c r="BJ1165" s="38">
        <f t="shared" si="23"/>
        <v>0</v>
      </c>
      <c r="BK1165" s="38"/>
      <c r="BL1165" s="38">
        <v>721</v>
      </c>
      <c r="BW1165" s="38">
        <v>21</v>
      </c>
    </row>
    <row r="1166" spans="1:75" ht="13.5" customHeight="1">
      <c r="A1166" s="1" t="s">
        <v>2085</v>
      </c>
      <c r="B1166" s="2" t="s">
        <v>87</v>
      </c>
      <c r="C1166" s="2" t="s">
        <v>2086</v>
      </c>
      <c r="D1166" s="108" t="s">
        <v>2087</v>
      </c>
      <c r="E1166" s="103"/>
      <c r="F1166" s="2" t="s">
        <v>214</v>
      </c>
      <c r="G1166" s="38">
        <v>109</v>
      </c>
      <c r="H1166" s="70">
        <v>0</v>
      </c>
      <c r="I1166" s="38">
        <f t="shared" si="0"/>
        <v>0</v>
      </c>
      <c r="J1166" s="38">
        <v>0</v>
      </c>
      <c r="K1166" s="38">
        <f t="shared" si="1"/>
        <v>0</v>
      </c>
      <c r="L1166" s="71" t="s">
        <v>207</v>
      </c>
      <c r="Z1166" s="38">
        <f t="shared" si="2"/>
        <v>0</v>
      </c>
      <c r="AB1166" s="38">
        <f t="shared" si="3"/>
        <v>0</v>
      </c>
      <c r="AC1166" s="38">
        <f t="shared" si="4"/>
        <v>0</v>
      </c>
      <c r="AD1166" s="38">
        <f t="shared" si="5"/>
        <v>0</v>
      </c>
      <c r="AE1166" s="38">
        <f t="shared" si="6"/>
        <v>0</v>
      </c>
      <c r="AF1166" s="38">
        <f t="shared" si="7"/>
        <v>0</v>
      </c>
      <c r="AG1166" s="38">
        <f t="shared" si="8"/>
        <v>0</v>
      </c>
      <c r="AH1166" s="38">
        <f t="shared" si="9"/>
        <v>0</v>
      </c>
      <c r="AI1166" s="50" t="s">
        <v>87</v>
      </c>
      <c r="AJ1166" s="38">
        <f t="shared" si="10"/>
        <v>0</v>
      </c>
      <c r="AK1166" s="38">
        <f t="shared" si="11"/>
        <v>0</v>
      </c>
      <c r="AL1166" s="38">
        <f t="shared" si="12"/>
        <v>0</v>
      </c>
      <c r="AN1166" s="38">
        <v>21</v>
      </c>
      <c r="AO1166" s="38">
        <f t="shared" si="13"/>
        <v>0</v>
      </c>
      <c r="AP1166" s="38">
        <f t="shared" si="14"/>
        <v>0</v>
      </c>
      <c r="AQ1166" s="72" t="s">
        <v>169</v>
      </c>
      <c r="AV1166" s="38">
        <f t="shared" si="15"/>
        <v>0</v>
      </c>
      <c r="AW1166" s="38">
        <f t="shared" si="16"/>
        <v>0</v>
      </c>
      <c r="AX1166" s="38">
        <f t="shared" si="17"/>
        <v>0</v>
      </c>
      <c r="AY1166" s="72" t="s">
        <v>2049</v>
      </c>
      <c r="AZ1166" s="72" t="s">
        <v>2050</v>
      </c>
      <c r="BA1166" s="50" t="s">
        <v>2006</v>
      </c>
      <c r="BC1166" s="38">
        <f t="shared" si="18"/>
        <v>0</v>
      </c>
      <c r="BD1166" s="38">
        <f t="shared" si="19"/>
        <v>0</v>
      </c>
      <c r="BE1166" s="38">
        <v>0</v>
      </c>
      <c r="BF1166" s="38">
        <f t="shared" si="20"/>
        <v>0</v>
      </c>
      <c r="BH1166" s="38">
        <f t="shared" si="21"/>
        <v>0</v>
      </c>
      <c r="BI1166" s="38">
        <f t="shared" si="22"/>
        <v>0</v>
      </c>
      <c r="BJ1166" s="38">
        <f t="shared" si="23"/>
        <v>0</v>
      </c>
      <c r="BK1166" s="38"/>
      <c r="BL1166" s="38">
        <v>721</v>
      </c>
      <c r="BW1166" s="38">
        <v>21</v>
      </c>
    </row>
    <row r="1167" spans="1:75" ht="13.5" customHeight="1">
      <c r="A1167" s="1" t="s">
        <v>2088</v>
      </c>
      <c r="B1167" s="2" t="s">
        <v>87</v>
      </c>
      <c r="C1167" s="2" t="s">
        <v>2089</v>
      </c>
      <c r="D1167" s="108" t="s">
        <v>2090</v>
      </c>
      <c r="E1167" s="103"/>
      <c r="F1167" s="2" t="s">
        <v>214</v>
      </c>
      <c r="G1167" s="38">
        <v>20</v>
      </c>
      <c r="H1167" s="70">
        <v>0</v>
      </c>
      <c r="I1167" s="38">
        <f t="shared" si="0"/>
        <v>0</v>
      </c>
      <c r="J1167" s="38">
        <v>0</v>
      </c>
      <c r="K1167" s="38">
        <f t="shared" si="1"/>
        <v>0</v>
      </c>
      <c r="L1167" s="71" t="s">
        <v>207</v>
      </c>
      <c r="Z1167" s="38">
        <f t="shared" si="2"/>
        <v>0</v>
      </c>
      <c r="AB1167" s="38">
        <f t="shared" si="3"/>
        <v>0</v>
      </c>
      <c r="AC1167" s="38">
        <f t="shared" si="4"/>
        <v>0</v>
      </c>
      <c r="AD1167" s="38">
        <f t="shared" si="5"/>
        <v>0</v>
      </c>
      <c r="AE1167" s="38">
        <f t="shared" si="6"/>
        <v>0</v>
      </c>
      <c r="AF1167" s="38">
        <f t="shared" si="7"/>
        <v>0</v>
      </c>
      <c r="AG1167" s="38">
        <f t="shared" si="8"/>
        <v>0</v>
      </c>
      <c r="AH1167" s="38">
        <f t="shared" si="9"/>
        <v>0</v>
      </c>
      <c r="AI1167" s="50" t="s">
        <v>87</v>
      </c>
      <c r="AJ1167" s="38">
        <f t="shared" si="10"/>
        <v>0</v>
      </c>
      <c r="AK1167" s="38">
        <f t="shared" si="11"/>
        <v>0</v>
      </c>
      <c r="AL1167" s="38">
        <f t="shared" si="12"/>
        <v>0</v>
      </c>
      <c r="AN1167" s="38">
        <v>21</v>
      </c>
      <c r="AO1167" s="38">
        <f t="shared" si="13"/>
        <v>0</v>
      </c>
      <c r="AP1167" s="38">
        <f t="shared" si="14"/>
        <v>0</v>
      </c>
      <c r="AQ1167" s="72" t="s">
        <v>169</v>
      </c>
      <c r="AV1167" s="38">
        <f t="shared" si="15"/>
        <v>0</v>
      </c>
      <c r="AW1167" s="38">
        <f t="shared" si="16"/>
        <v>0</v>
      </c>
      <c r="AX1167" s="38">
        <f t="shared" si="17"/>
        <v>0</v>
      </c>
      <c r="AY1167" s="72" t="s">
        <v>2049</v>
      </c>
      <c r="AZ1167" s="72" t="s">
        <v>2050</v>
      </c>
      <c r="BA1167" s="50" t="s">
        <v>2006</v>
      </c>
      <c r="BC1167" s="38">
        <f t="shared" si="18"/>
        <v>0</v>
      </c>
      <c r="BD1167" s="38">
        <f t="shared" si="19"/>
        <v>0</v>
      </c>
      <c r="BE1167" s="38">
        <v>0</v>
      </c>
      <c r="BF1167" s="38">
        <f t="shared" si="20"/>
        <v>0</v>
      </c>
      <c r="BH1167" s="38">
        <f t="shared" si="21"/>
        <v>0</v>
      </c>
      <c r="BI1167" s="38">
        <f t="shared" si="22"/>
        <v>0</v>
      </c>
      <c r="BJ1167" s="38">
        <f t="shared" si="23"/>
        <v>0</v>
      </c>
      <c r="BK1167" s="38"/>
      <c r="BL1167" s="38">
        <v>721</v>
      </c>
      <c r="BW1167" s="38">
        <v>21</v>
      </c>
    </row>
    <row r="1168" spans="1:75" ht="13.5" customHeight="1">
      <c r="A1168" s="1" t="s">
        <v>2091</v>
      </c>
      <c r="B1168" s="2" t="s">
        <v>87</v>
      </c>
      <c r="C1168" s="2" t="s">
        <v>2092</v>
      </c>
      <c r="D1168" s="108" t="s">
        <v>2093</v>
      </c>
      <c r="E1168" s="103"/>
      <c r="F1168" s="2" t="s">
        <v>189</v>
      </c>
      <c r="G1168" s="38">
        <v>0.21</v>
      </c>
      <c r="H1168" s="70">
        <v>0</v>
      </c>
      <c r="I1168" s="38">
        <f t="shared" si="0"/>
        <v>0</v>
      </c>
      <c r="J1168" s="38">
        <v>0</v>
      </c>
      <c r="K1168" s="38">
        <f t="shared" si="1"/>
        <v>0</v>
      </c>
      <c r="L1168" s="71" t="s">
        <v>207</v>
      </c>
      <c r="Z1168" s="38">
        <f t="shared" si="2"/>
        <v>0</v>
      </c>
      <c r="AB1168" s="38">
        <f t="shared" si="3"/>
        <v>0</v>
      </c>
      <c r="AC1168" s="38">
        <f t="shared" si="4"/>
        <v>0</v>
      </c>
      <c r="AD1168" s="38">
        <f t="shared" si="5"/>
        <v>0</v>
      </c>
      <c r="AE1168" s="38">
        <f t="shared" si="6"/>
        <v>0</v>
      </c>
      <c r="AF1168" s="38">
        <f t="shared" si="7"/>
        <v>0</v>
      </c>
      <c r="AG1168" s="38">
        <f t="shared" si="8"/>
        <v>0</v>
      </c>
      <c r="AH1168" s="38">
        <f t="shared" si="9"/>
        <v>0</v>
      </c>
      <c r="AI1168" s="50" t="s">
        <v>87</v>
      </c>
      <c r="AJ1168" s="38">
        <f t="shared" si="10"/>
        <v>0</v>
      </c>
      <c r="AK1168" s="38">
        <f t="shared" si="11"/>
        <v>0</v>
      </c>
      <c r="AL1168" s="38">
        <f t="shared" si="12"/>
        <v>0</v>
      </c>
      <c r="AN1168" s="38">
        <v>21</v>
      </c>
      <c r="AO1168" s="38">
        <f t="shared" si="13"/>
        <v>0</v>
      </c>
      <c r="AP1168" s="38">
        <f t="shared" si="14"/>
        <v>0</v>
      </c>
      <c r="AQ1168" s="72" t="s">
        <v>162</v>
      </c>
      <c r="AV1168" s="38">
        <f t="shared" si="15"/>
        <v>0</v>
      </c>
      <c r="AW1168" s="38">
        <f t="shared" si="16"/>
        <v>0</v>
      </c>
      <c r="AX1168" s="38">
        <f t="shared" si="17"/>
        <v>0</v>
      </c>
      <c r="AY1168" s="72" t="s">
        <v>2049</v>
      </c>
      <c r="AZ1168" s="72" t="s">
        <v>2050</v>
      </c>
      <c r="BA1168" s="50" t="s">
        <v>2006</v>
      </c>
      <c r="BC1168" s="38">
        <f t="shared" si="18"/>
        <v>0</v>
      </c>
      <c r="BD1168" s="38">
        <f t="shared" si="19"/>
        <v>0</v>
      </c>
      <c r="BE1168" s="38">
        <v>0</v>
      </c>
      <c r="BF1168" s="38">
        <f t="shared" si="20"/>
        <v>0</v>
      </c>
      <c r="BH1168" s="38">
        <f t="shared" si="21"/>
        <v>0</v>
      </c>
      <c r="BI1168" s="38">
        <f t="shared" si="22"/>
        <v>0</v>
      </c>
      <c r="BJ1168" s="38">
        <f t="shared" si="23"/>
        <v>0</v>
      </c>
      <c r="BK1168" s="38"/>
      <c r="BL1168" s="38">
        <v>721</v>
      </c>
      <c r="BW1168" s="38">
        <v>21</v>
      </c>
    </row>
    <row r="1169" spans="1:47" ht="15">
      <c r="A1169" s="65" t="s">
        <v>4</v>
      </c>
      <c r="B1169" s="66" t="s">
        <v>87</v>
      </c>
      <c r="C1169" s="66" t="s">
        <v>2094</v>
      </c>
      <c r="D1169" s="192" t="s">
        <v>2095</v>
      </c>
      <c r="E1169" s="193"/>
      <c r="F1169" s="67" t="s">
        <v>78</v>
      </c>
      <c r="G1169" s="67" t="s">
        <v>78</v>
      </c>
      <c r="H1169" s="68" t="s">
        <v>78</v>
      </c>
      <c r="I1169" s="44">
        <f>SUM(I1170:I1193)</f>
        <v>0</v>
      </c>
      <c r="J1169" s="50" t="s">
        <v>4</v>
      </c>
      <c r="K1169" s="44">
        <f>SUM(K1170:K1193)</f>
        <v>0</v>
      </c>
      <c r="L1169" s="69" t="s">
        <v>4</v>
      </c>
      <c r="AI1169" s="50" t="s">
        <v>87</v>
      </c>
      <c r="AS1169" s="44">
        <f>SUM(AJ1170:AJ1193)</f>
        <v>0</v>
      </c>
      <c r="AT1169" s="44">
        <f>SUM(AK1170:AK1193)</f>
        <v>0</v>
      </c>
      <c r="AU1169" s="44">
        <f>SUM(AL1170:AL1193)</f>
        <v>0</v>
      </c>
    </row>
    <row r="1170" spans="1:75" ht="13.5" customHeight="1">
      <c r="A1170" s="1" t="s">
        <v>2096</v>
      </c>
      <c r="B1170" s="2" t="s">
        <v>87</v>
      </c>
      <c r="C1170" s="2" t="s">
        <v>2097</v>
      </c>
      <c r="D1170" s="108" t="s">
        <v>2098</v>
      </c>
      <c r="E1170" s="103"/>
      <c r="F1170" s="2" t="s">
        <v>214</v>
      </c>
      <c r="G1170" s="38">
        <v>10</v>
      </c>
      <c r="H1170" s="70">
        <v>0</v>
      </c>
      <c r="I1170" s="38">
        <f aca="true" t="shared" si="24" ref="I1170:I1193">G1170*H1170</f>
        <v>0</v>
      </c>
      <c r="J1170" s="38">
        <v>0</v>
      </c>
      <c r="K1170" s="38">
        <f aca="true" t="shared" si="25" ref="K1170:K1193">G1170*J1170</f>
        <v>0</v>
      </c>
      <c r="L1170" s="71" t="s">
        <v>207</v>
      </c>
      <c r="Z1170" s="38">
        <f aca="true" t="shared" si="26" ref="Z1170:Z1193">IF(AQ1170="5",BJ1170,0)</f>
        <v>0</v>
      </c>
      <c r="AB1170" s="38">
        <f aca="true" t="shared" si="27" ref="AB1170:AB1193">IF(AQ1170="1",BH1170,0)</f>
        <v>0</v>
      </c>
      <c r="AC1170" s="38">
        <f aca="true" t="shared" si="28" ref="AC1170:AC1193">IF(AQ1170="1",BI1170,0)</f>
        <v>0</v>
      </c>
      <c r="AD1170" s="38">
        <f aca="true" t="shared" si="29" ref="AD1170:AD1193">IF(AQ1170="7",BH1170,0)</f>
        <v>0</v>
      </c>
      <c r="AE1170" s="38">
        <f aca="true" t="shared" si="30" ref="AE1170:AE1193">IF(AQ1170="7",BI1170,0)</f>
        <v>0</v>
      </c>
      <c r="AF1170" s="38">
        <f aca="true" t="shared" si="31" ref="AF1170:AF1193">IF(AQ1170="2",BH1170,0)</f>
        <v>0</v>
      </c>
      <c r="AG1170" s="38">
        <f aca="true" t="shared" si="32" ref="AG1170:AG1193">IF(AQ1170="2",BI1170,0)</f>
        <v>0</v>
      </c>
      <c r="AH1170" s="38">
        <f aca="true" t="shared" si="33" ref="AH1170:AH1193">IF(AQ1170="0",BJ1170,0)</f>
        <v>0</v>
      </c>
      <c r="AI1170" s="50" t="s">
        <v>87</v>
      </c>
      <c r="AJ1170" s="38">
        <f aca="true" t="shared" si="34" ref="AJ1170:AJ1193">IF(AN1170=0,I1170,0)</f>
        <v>0</v>
      </c>
      <c r="AK1170" s="38">
        <f aca="true" t="shared" si="35" ref="AK1170:AK1193">IF(AN1170=12,I1170,0)</f>
        <v>0</v>
      </c>
      <c r="AL1170" s="38">
        <f aca="true" t="shared" si="36" ref="AL1170:AL1193">IF(AN1170=21,I1170,0)</f>
        <v>0</v>
      </c>
      <c r="AN1170" s="38">
        <v>21</v>
      </c>
      <c r="AO1170" s="38">
        <f aca="true" t="shared" si="37" ref="AO1170:AO1193">H1170*0</f>
        <v>0</v>
      </c>
      <c r="AP1170" s="38">
        <f aca="true" t="shared" si="38" ref="AP1170:AP1193">H1170*(1-0)</f>
        <v>0</v>
      </c>
      <c r="AQ1170" s="72" t="s">
        <v>169</v>
      </c>
      <c r="AV1170" s="38">
        <f aca="true" t="shared" si="39" ref="AV1170:AV1193">AW1170+AX1170</f>
        <v>0</v>
      </c>
      <c r="AW1170" s="38">
        <f aca="true" t="shared" si="40" ref="AW1170:AW1193">G1170*AO1170</f>
        <v>0</v>
      </c>
      <c r="AX1170" s="38">
        <f aca="true" t="shared" si="41" ref="AX1170:AX1193">G1170*AP1170</f>
        <v>0</v>
      </c>
      <c r="AY1170" s="72" t="s">
        <v>2099</v>
      </c>
      <c r="AZ1170" s="72" t="s">
        <v>2050</v>
      </c>
      <c r="BA1170" s="50" t="s">
        <v>2006</v>
      </c>
      <c r="BC1170" s="38">
        <f aca="true" t="shared" si="42" ref="BC1170:BC1193">AW1170+AX1170</f>
        <v>0</v>
      </c>
      <c r="BD1170" s="38">
        <f aca="true" t="shared" si="43" ref="BD1170:BD1193">H1170/(100-BE1170)*100</f>
        <v>0</v>
      </c>
      <c r="BE1170" s="38">
        <v>0</v>
      </c>
      <c r="BF1170" s="38">
        <f aca="true" t="shared" si="44" ref="BF1170:BF1193">K1170</f>
        <v>0</v>
      </c>
      <c r="BH1170" s="38">
        <f aca="true" t="shared" si="45" ref="BH1170:BH1193">G1170*AO1170</f>
        <v>0</v>
      </c>
      <c r="BI1170" s="38">
        <f aca="true" t="shared" si="46" ref="BI1170:BI1193">G1170*AP1170</f>
        <v>0</v>
      </c>
      <c r="BJ1170" s="38">
        <f aca="true" t="shared" si="47" ref="BJ1170:BJ1193">G1170*H1170</f>
        <v>0</v>
      </c>
      <c r="BK1170" s="38"/>
      <c r="BL1170" s="38">
        <v>722</v>
      </c>
      <c r="BW1170" s="38">
        <v>21</v>
      </c>
    </row>
    <row r="1171" spans="1:75" ht="13.5" customHeight="1">
      <c r="A1171" s="1" t="s">
        <v>2100</v>
      </c>
      <c r="B1171" s="2" t="s">
        <v>87</v>
      </c>
      <c r="C1171" s="2" t="s">
        <v>2101</v>
      </c>
      <c r="D1171" s="108" t="s">
        <v>2102</v>
      </c>
      <c r="E1171" s="103"/>
      <c r="F1171" s="2" t="s">
        <v>214</v>
      </c>
      <c r="G1171" s="38">
        <v>70</v>
      </c>
      <c r="H1171" s="70">
        <v>0</v>
      </c>
      <c r="I1171" s="38">
        <f t="shared" si="24"/>
        <v>0</v>
      </c>
      <c r="J1171" s="38">
        <v>0</v>
      </c>
      <c r="K1171" s="38">
        <f t="shared" si="25"/>
        <v>0</v>
      </c>
      <c r="L1171" s="71" t="s">
        <v>207</v>
      </c>
      <c r="Z1171" s="38">
        <f t="shared" si="26"/>
        <v>0</v>
      </c>
      <c r="AB1171" s="38">
        <f t="shared" si="27"/>
        <v>0</v>
      </c>
      <c r="AC1171" s="38">
        <f t="shared" si="28"/>
        <v>0</v>
      </c>
      <c r="AD1171" s="38">
        <f t="shared" si="29"/>
        <v>0</v>
      </c>
      <c r="AE1171" s="38">
        <f t="shared" si="30"/>
        <v>0</v>
      </c>
      <c r="AF1171" s="38">
        <f t="shared" si="31"/>
        <v>0</v>
      </c>
      <c r="AG1171" s="38">
        <f t="shared" si="32"/>
        <v>0</v>
      </c>
      <c r="AH1171" s="38">
        <f t="shared" si="33"/>
        <v>0</v>
      </c>
      <c r="AI1171" s="50" t="s">
        <v>87</v>
      </c>
      <c r="AJ1171" s="38">
        <f t="shared" si="34"/>
        <v>0</v>
      </c>
      <c r="AK1171" s="38">
        <f t="shared" si="35"/>
        <v>0</v>
      </c>
      <c r="AL1171" s="38">
        <f t="shared" si="36"/>
        <v>0</v>
      </c>
      <c r="AN1171" s="38">
        <v>21</v>
      </c>
      <c r="AO1171" s="38">
        <f t="shared" si="37"/>
        <v>0</v>
      </c>
      <c r="AP1171" s="38">
        <f t="shared" si="38"/>
        <v>0</v>
      </c>
      <c r="AQ1171" s="72" t="s">
        <v>169</v>
      </c>
      <c r="AV1171" s="38">
        <f t="shared" si="39"/>
        <v>0</v>
      </c>
      <c r="AW1171" s="38">
        <f t="shared" si="40"/>
        <v>0</v>
      </c>
      <c r="AX1171" s="38">
        <f t="shared" si="41"/>
        <v>0</v>
      </c>
      <c r="AY1171" s="72" t="s">
        <v>2099</v>
      </c>
      <c r="AZ1171" s="72" t="s">
        <v>2050</v>
      </c>
      <c r="BA1171" s="50" t="s">
        <v>2006</v>
      </c>
      <c r="BC1171" s="38">
        <f t="shared" si="42"/>
        <v>0</v>
      </c>
      <c r="BD1171" s="38">
        <f t="shared" si="43"/>
        <v>0</v>
      </c>
      <c r="BE1171" s="38">
        <v>0</v>
      </c>
      <c r="BF1171" s="38">
        <f t="shared" si="44"/>
        <v>0</v>
      </c>
      <c r="BH1171" s="38">
        <f t="shared" si="45"/>
        <v>0</v>
      </c>
      <c r="BI1171" s="38">
        <f t="shared" si="46"/>
        <v>0</v>
      </c>
      <c r="BJ1171" s="38">
        <f t="shared" si="47"/>
        <v>0</v>
      </c>
      <c r="BK1171" s="38"/>
      <c r="BL1171" s="38">
        <v>722</v>
      </c>
      <c r="BW1171" s="38">
        <v>21</v>
      </c>
    </row>
    <row r="1172" spans="1:75" ht="13.5" customHeight="1">
      <c r="A1172" s="1" t="s">
        <v>2103</v>
      </c>
      <c r="B1172" s="2" t="s">
        <v>87</v>
      </c>
      <c r="C1172" s="2" t="s">
        <v>2104</v>
      </c>
      <c r="D1172" s="108" t="s">
        <v>2105</v>
      </c>
      <c r="E1172" s="103"/>
      <c r="F1172" s="2" t="s">
        <v>214</v>
      </c>
      <c r="G1172" s="38">
        <v>110</v>
      </c>
      <c r="H1172" s="70">
        <v>0</v>
      </c>
      <c r="I1172" s="38">
        <f t="shared" si="24"/>
        <v>0</v>
      </c>
      <c r="J1172" s="38">
        <v>0</v>
      </c>
      <c r="K1172" s="38">
        <f t="shared" si="25"/>
        <v>0</v>
      </c>
      <c r="L1172" s="71" t="s">
        <v>207</v>
      </c>
      <c r="Z1172" s="38">
        <f t="shared" si="26"/>
        <v>0</v>
      </c>
      <c r="AB1172" s="38">
        <f t="shared" si="27"/>
        <v>0</v>
      </c>
      <c r="AC1172" s="38">
        <f t="shared" si="28"/>
        <v>0</v>
      </c>
      <c r="AD1172" s="38">
        <f t="shared" si="29"/>
        <v>0</v>
      </c>
      <c r="AE1172" s="38">
        <f t="shared" si="30"/>
        <v>0</v>
      </c>
      <c r="AF1172" s="38">
        <f t="shared" si="31"/>
        <v>0</v>
      </c>
      <c r="AG1172" s="38">
        <f t="shared" si="32"/>
        <v>0</v>
      </c>
      <c r="AH1172" s="38">
        <f t="shared" si="33"/>
        <v>0</v>
      </c>
      <c r="AI1172" s="50" t="s">
        <v>87</v>
      </c>
      <c r="AJ1172" s="38">
        <f t="shared" si="34"/>
        <v>0</v>
      </c>
      <c r="AK1172" s="38">
        <f t="shared" si="35"/>
        <v>0</v>
      </c>
      <c r="AL1172" s="38">
        <f t="shared" si="36"/>
        <v>0</v>
      </c>
      <c r="AN1172" s="38">
        <v>21</v>
      </c>
      <c r="AO1172" s="38">
        <f t="shared" si="37"/>
        <v>0</v>
      </c>
      <c r="AP1172" s="38">
        <f t="shared" si="38"/>
        <v>0</v>
      </c>
      <c r="AQ1172" s="72" t="s">
        <v>169</v>
      </c>
      <c r="AV1172" s="38">
        <f t="shared" si="39"/>
        <v>0</v>
      </c>
      <c r="AW1172" s="38">
        <f t="shared" si="40"/>
        <v>0</v>
      </c>
      <c r="AX1172" s="38">
        <f t="shared" si="41"/>
        <v>0</v>
      </c>
      <c r="AY1172" s="72" t="s">
        <v>2099</v>
      </c>
      <c r="AZ1172" s="72" t="s">
        <v>2050</v>
      </c>
      <c r="BA1172" s="50" t="s">
        <v>2006</v>
      </c>
      <c r="BC1172" s="38">
        <f t="shared" si="42"/>
        <v>0</v>
      </c>
      <c r="BD1172" s="38">
        <f t="shared" si="43"/>
        <v>0</v>
      </c>
      <c r="BE1172" s="38">
        <v>0</v>
      </c>
      <c r="BF1172" s="38">
        <f t="shared" si="44"/>
        <v>0</v>
      </c>
      <c r="BH1172" s="38">
        <f t="shared" si="45"/>
        <v>0</v>
      </c>
      <c r="BI1172" s="38">
        <f t="shared" si="46"/>
        <v>0</v>
      </c>
      <c r="BJ1172" s="38">
        <f t="shared" si="47"/>
        <v>0</v>
      </c>
      <c r="BK1172" s="38"/>
      <c r="BL1172" s="38">
        <v>722</v>
      </c>
      <c r="BW1172" s="38">
        <v>21</v>
      </c>
    </row>
    <row r="1173" spans="1:75" ht="13.5" customHeight="1">
      <c r="A1173" s="1" t="s">
        <v>2106</v>
      </c>
      <c r="B1173" s="2" t="s">
        <v>87</v>
      </c>
      <c r="C1173" s="2" t="s">
        <v>2107</v>
      </c>
      <c r="D1173" s="108" t="s">
        <v>2108</v>
      </c>
      <c r="E1173" s="103"/>
      <c r="F1173" s="2" t="s">
        <v>214</v>
      </c>
      <c r="G1173" s="38">
        <v>25</v>
      </c>
      <c r="H1173" s="70">
        <v>0</v>
      </c>
      <c r="I1173" s="38">
        <f t="shared" si="24"/>
        <v>0</v>
      </c>
      <c r="J1173" s="38">
        <v>0</v>
      </c>
      <c r="K1173" s="38">
        <f t="shared" si="25"/>
        <v>0</v>
      </c>
      <c r="L1173" s="71" t="s">
        <v>207</v>
      </c>
      <c r="Z1173" s="38">
        <f t="shared" si="26"/>
        <v>0</v>
      </c>
      <c r="AB1173" s="38">
        <f t="shared" si="27"/>
        <v>0</v>
      </c>
      <c r="AC1173" s="38">
        <f t="shared" si="28"/>
        <v>0</v>
      </c>
      <c r="AD1173" s="38">
        <f t="shared" si="29"/>
        <v>0</v>
      </c>
      <c r="AE1173" s="38">
        <f t="shared" si="30"/>
        <v>0</v>
      </c>
      <c r="AF1173" s="38">
        <f t="shared" si="31"/>
        <v>0</v>
      </c>
      <c r="AG1173" s="38">
        <f t="shared" si="32"/>
        <v>0</v>
      </c>
      <c r="AH1173" s="38">
        <f t="shared" si="33"/>
        <v>0</v>
      </c>
      <c r="AI1173" s="50" t="s">
        <v>87</v>
      </c>
      <c r="AJ1173" s="38">
        <f t="shared" si="34"/>
        <v>0</v>
      </c>
      <c r="AK1173" s="38">
        <f t="shared" si="35"/>
        <v>0</v>
      </c>
      <c r="AL1173" s="38">
        <f t="shared" si="36"/>
        <v>0</v>
      </c>
      <c r="AN1173" s="38">
        <v>21</v>
      </c>
      <c r="AO1173" s="38">
        <f t="shared" si="37"/>
        <v>0</v>
      </c>
      <c r="AP1173" s="38">
        <f t="shared" si="38"/>
        <v>0</v>
      </c>
      <c r="AQ1173" s="72" t="s">
        <v>169</v>
      </c>
      <c r="AV1173" s="38">
        <f t="shared" si="39"/>
        <v>0</v>
      </c>
      <c r="AW1173" s="38">
        <f t="shared" si="40"/>
        <v>0</v>
      </c>
      <c r="AX1173" s="38">
        <f t="shared" si="41"/>
        <v>0</v>
      </c>
      <c r="AY1173" s="72" t="s">
        <v>2099</v>
      </c>
      <c r="AZ1173" s="72" t="s">
        <v>2050</v>
      </c>
      <c r="BA1173" s="50" t="s">
        <v>2006</v>
      </c>
      <c r="BC1173" s="38">
        <f t="shared" si="42"/>
        <v>0</v>
      </c>
      <c r="BD1173" s="38">
        <f t="shared" si="43"/>
        <v>0</v>
      </c>
      <c r="BE1173" s="38">
        <v>0</v>
      </c>
      <c r="BF1173" s="38">
        <f t="shared" si="44"/>
        <v>0</v>
      </c>
      <c r="BH1173" s="38">
        <f t="shared" si="45"/>
        <v>0</v>
      </c>
      <c r="BI1173" s="38">
        <f t="shared" si="46"/>
        <v>0</v>
      </c>
      <c r="BJ1173" s="38">
        <f t="shared" si="47"/>
        <v>0</v>
      </c>
      <c r="BK1173" s="38"/>
      <c r="BL1173" s="38">
        <v>722</v>
      </c>
      <c r="BW1173" s="38">
        <v>21</v>
      </c>
    </row>
    <row r="1174" spans="1:75" ht="13.5" customHeight="1">
      <c r="A1174" s="1" t="s">
        <v>2109</v>
      </c>
      <c r="B1174" s="2" t="s">
        <v>87</v>
      </c>
      <c r="C1174" s="2" t="s">
        <v>2110</v>
      </c>
      <c r="D1174" s="108" t="s">
        <v>2111</v>
      </c>
      <c r="E1174" s="103"/>
      <c r="F1174" s="2" t="s">
        <v>214</v>
      </c>
      <c r="G1174" s="38">
        <v>20</v>
      </c>
      <c r="H1174" s="70">
        <v>0</v>
      </c>
      <c r="I1174" s="38">
        <f t="shared" si="24"/>
        <v>0</v>
      </c>
      <c r="J1174" s="38">
        <v>0</v>
      </c>
      <c r="K1174" s="38">
        <f t="shared" si="25"/>
        <v>0</v>
      </c>
      <c r="L1174" s="71" t="s">
        <v>207</v>
      </c>
      <c r="Z1174" s="38">
        <f t="shared" si="26"/>
        <v>0</v>
      </c>
      <c r="AB1174" s="38">
        <f t="shared" si="27"/>
        <v>0</v>
      </c>
      <c r="AC1174" s="38">
        <f t="shared" si="28"/>
        <v>0</v>
      </c>
      <c r="AD1174" s="38">
        <f t="shared" si="29"/>
        <v>0</v>
      </c>
      <c r="AE1174" s="38">
        <f t="shared" si="30"/>
        <v>0</v>
      </c>
      <c r="AF1174" s="38">
        <f t="shared" si="31"/>
        <v>0</v>
      </c>
      <c r="AG1174" s="38">
        <f t="shared" si="32"/>
        <v>0</v>
      </c>
      <c r="AH1174" s="38">
        <f t="shared" si="33"/>
        <v>0</v>
      </c>
      <c r="AI1174" s="50" t="s">
        <v>87</v>
      </c>
      <c r="AJ1174" s="38">
        <f t="shared" si="34"/>
        <v>0</v>
      </c>
      <c r="AK1174" s="38">
        <f t="shared" si="35"/>
        <v>0</v>
      </c>
      <c r="AL1174" s="38">
        <f t="shared" si="36"/>
        <v>0</v>
      </c>
      <c r="AN1174" s="38">
        <v>21</v>
      </c>
      <c r="AO1174" s="38">
        <f t="shared" si="37"/>
        <v>0</v>
      </c>
      <c r="AP1174" s="38">
        <f t="shared" si="38"/>
        <v>0</v>
      </c>
      <c r="AQ1174" s="72" t="s">
        <v>169</v>
      </c>
      <c r="AV1174" s="38">
        <f t="shared" si="39"/>
        <v>0</v>
      </c>
      <c r="AW1174" s="38">
        <f t="shared" si="40"/>
        <v>0</v>
      </c>
      <c r="AX1174" s="38">
        <f t="shared" si="41"/>
        <v>0</v>
      </c>
      <c r="AY1174" s="72" t="s">
        <v>2099</v>
      </c>
      <c r="AZ1174" s="72" t="s">
        <v>2050</v>
      </c>
      <c r="BA1174" s="50" t="s">
        <v>2006</v>
      </c>
      <c r="BC1174" s="38">
        <f t="shared" si="42"/>
        <v>0</v>
      </c>
      <c r="BD1174" s="38">
        <f t="shared" si="43"/>
        <v>0</v>
      </c>
      <c r="BE1174" s="38">
        <v>0</v>
      </c>
      <c r="BF1174" s="38">
        <f t="shared" si="44"/>
        <v>0</v>
      </c>
      <c r="BH1174" s="38">
        <f t="shared" si="45"/>
        <v>0</v>
      </c>
      <c r="BI1174" s="38">
        <f t="shared" si="46"/>
        <v>0</v>
      </c>
      <c r="BJ1174" s="38">
        <f t="shared" si="47"/>
        <v>0</v>
      </c>
      <c r="BK1174" s="38"/>
      <c r="BL1174" s="38">
        <v>722</v>
      </c>
      <c r="BW1174" s="38">
        <v>21</v>
      </c>
    </row>
    <row r="1175" spans="1:75" ht="13.5" customHeight="1">
      <c r="A1175" s="1" t="s">
        <v>2112</v>
      </c>
      <c r="B1175" s="2" t="s">
        <v>87</v>
      </c>
      <c r="C1175" s="2" t="s">
        <v>2113</v>
      </c>
      <c r="D1175" s="108" t="s">
        <v>2114</v>
      </c>
      <c r="E1175" s="103"/>
      <c r="F1175" s="2" t="s">
        <v>214</v>
      </c>
      <c r="G1175" s="38">
        <v>15</v>
      </c>
      <c r="H1175" s="70">
        <v>0</v>
      </c>
      <c r="I1175" s="38">
        <f t="shared" si="24"/>
        <v>0</v>
      </c>
      <c r="J1175" s="38">
        <v>0</v>
      </c>
      <c r="K1175" s="38">
        <f t="shared" si="25"/>
        <v>0</v>
      </c>
      <c r="L1175" s="71" t="s">
        <v>207</v>
      </c>
      <c r="Z1175" s="38">
        <f t="shared" si="26"/>
        <v>0</v>
      </c>
      <c r="AB1175" s="38">
        <f t="shared" si="27"/>
        <v>0</v>
      </c>
      <c r="AC1175" s="38">
        <f t="shared" si="28"/>
        <v>0</v>
      </c>
      <c r="AD1175" s="38">
        <f t="shared" si="29"/>
        <v>0</v>
      </c>
      <c r="AE1175" s="38">
        <f t="shared" si="30"/>
        <v>0</v>
      </c>
      <c r="AF1175" s="38">
        <f t="shared" si="31"/>
        <v>0</v>
      </c>
      <c r="AG1175" s="38">
        <f t="shared" si="32"/>
        <v>0</v>
      </c>
      <c r="AH1175" s="38">
        <f t="shared" si="33"/>
        <v>0</v>
      </c>
      <c r="AI1175" s="50" t="s">
        <v>87</v>
      </c>
      <c r="AJ1175" s="38">
        <f t="shared" si="34"/>
        <v>0</v>
      </c>
      <c r="AK1175" s="38">
        <f t="shared" si="35"/>
        <v>0</v>
      </c>
      <c r="AL1175" s="38">
        <f t="shared" si="36"/>
        <v>0</v>
      </c>
      <c r="AN1175" s="38">
        <v>21</v>
      </c>
      <c r="AO1175" s="38">
        <f t="shared" si="37"/>
        <v>0</v>
      </c>
      <c r="AP1175" s="38">
        <f t="shared" si="38"/>
        <v>0</v>
      </c>
      <c r="AQ1175" s="72" t="s">
        <v>169</v>
      </c>
      <c r="AV1175" s="38">
        <f t="shared" si="39"/>
        <v>0</v>
      </c>
      <c r="AW1175" s="38">
        <f t="shared" si="40"/>
        <v>0</v>
      </c>
      <c r="AX1175" s="38">
        <f t="shared" si="41"/>
        <v>0</v>
      </c>
      <c r="AY1175" s="72" t="s">
        <v>2099</v>
      </c>
      <c r="AZ1175" s="72" t="s">
        <v>2050</v>
      </c>
      <c r="BA1175" s="50" t="s">
        <v>2006</v>
      </c>
      <c r="BC1175" s="38">
        <f t="shared" si="42"/>
        <v>0</v>
      </c>
      <c r="BD1175" s="38">
        <f t="shared" si="43"/>
        <v>0</v>
      </c>
      <c r="BE1175" s="38">
        <v>0</v>
      </c>
      <c r="BF1175" s="38">
        <f t="shared" si="44"/>
        <v>0</v>
      </c>
      <c r="BH1175" s="38">
        <f t="shared" si="45"/>
        <v>0</v>
      </c>
      <c r="BI1175" s="38">
        <f t="shared" si="46"/>
        <v>0</v>
      </c>
      <c r="BJ1175" s="38">
        <f t="shared" si="47"/>
        <v>0</v>
      </c>
      <c r="BK1175" s="38"/>
      <c r="BL1175" s="38">
        <v>722</v>
      </c>
      <c r="BW1175" s="38">
        <v>21</v>
      </c>
    </row>
    <row r="1176" spans="1:75" ht="27" customHeight="1">
      <c r="A1176" s="1" t="s">
        <v>2115</v>
      </c>
      <c r="B1176" s="2" t="s">
        <v>87</v>
      </c>
      <c r="C1176" s="2" t="s">
        <v>2116</v>
      </c>
      <c r="D1176" s="108" t="s">
        <v>2117</v>
      </c>
      <c r="E1176" s="103"/>
      <c r="F1176" s="2" t="s">
        <v>214</v>
      </c>
      <c r="G1176" s="38">
        <v>110</v>
      </c>
      <c r="H1176" s="70">
        <v>0</v>
      </c>
      <c r="I1176" s="38">
        <f t="shared" si="24"/>
        <v>0</v>
      </c>
      <c r="J1176" s="38">
        <v>0</v>
      </c>
      <c r="K1176" s="38">
        <f t="shared" si="25"/>
        <v>0</v>
      </c>
      <c r="L1176" s="71" t="s">
        <v>207</v>
      </c>
      <c r="Z1176" s="38">
        <f t="shared" si="26"/>
        <v>0</v>
      </c>
      <c r="AB1176" s="38">
        <f t="shared" si="27"/>
        <v>0</v>
      </c>
      <c r="AC1176" s="38">
        <f t="shared" si="28"/>
        <v>0</v>
      </c>
      <c r="AD1176" s="38">
        <f t="shared" si="29"/>
        <v>0</v>
      </c>
      <c r="AE1176" s="38">
        <f t="shared" si="30"/>
        <v>0</v>
      </c>
      <c r="AF1176" s="38">
        <f t="shared" si="31"/>
        <v>0</v>
      </c>
      <c r="AG1176" s="38">
        <f t="shared" si="32"/>
        <v>0</v>
      </c>
      <c r="AH1176" s="38">
        <f t="shared" si="33"/>
        <v>0</v>
      </c>
      <c r="AI1176" s="50" t="s">
        <v>87</v>
      </c>
      <c r="AJ1176" s="38">
        <f t="shared" si="34"/>
        <v>0</v>
      </c>
      <c r="AK1176" s="38">
        <f t="shared" si="35"/>
        <v>0</v>
      </c>
      <c r="AL1176" s="38">
        <f t="shared" si="36"/>
        <v>0</v>
      </c>
      <c r="AN1176" s="38">
        <v>21</v>
      </c>
      <c r="AO1176" s="38">
        <f t="shared" si="37"/>
        <v>0</v>
      </c>
      <c r="AP1176" s="38">
        <f t="shared" si="38"/>
        <v>0</v>
      </c>
      <c r="AQ1176" s="72" t="s">
        <v>169</v>
      </c>
      <c r="AV1176" s="38">
        <f t="shared" si="39"/>
        <v>0</v>
      </c>
      <c r="AW1176" s="38">
        <f t="shared" si="40"/>
        <v>0</v>
      </c>
      <c r="AX1176" s="38">
        <f t="shared" si="41"/>
        <v>0</v>
      </c>
      <c r="AY1176" s="72" t="s">
        <v>2099</v>
      </c>
      <c r="AZ1176" s="72" t="s">
        <v>2050</v>
      </c>
      <c r="BA1176" s="50" t="s">
        <v>2006</v>
      </c>
      <c r="BC1176" s="38">
        <f t="shared" si="42"/>
        <v>0</v>
      </c>
      <c r="BD1176" s="38">
        <f t="shared" si="43"/>
        <v>0</v>
      </c>
      <c r="BE1176" s="38">
        <v>0</v>
      </c>
      <c r="BF1176" s="38">
        <f t="shared" si="44"/>
        <v>0</v>
      </c>
      <c r="BH1176" s="38">
        <f t="shared" si="45"/>
        <v>0</v>
      </c>
      <c r="BI1176" s="38">
        <f t="shared" si="46"/>
        <v>0</v>
      </c>
      <c r="BJ1176" s="38">
        <f t="shared" si="47"/>
        <v>0</v>
      </c>
      <c r="BK1176" s="38"/>
      <c r="BL1176" s="38">
        <v>722</v>
      </c>
      <c r="BW1176" s="38">
        <v>21</v>
      </c>
    </row>
    <row r="1177" spans="1:75" ht="27" customHeight="1">
      <c r="A1177" s="1" t="s">
        <v>2118</v>
      </c>
      <c r="B1177" s="2" t="s">
        <v>87</v>
      </c>
      <c r="C1177" s="2" t="s">
        <v>2119</v>
      </c>
      <c r="D1177" s="108" t="s">
        <v>2120</v>
      </c>
      <c r="E1177" s="103"/>
      <c r="F1177" s="2" t="s">
        <v>214</v>
      </c>
      <c r="G1177" s="38">
        <v>35</v>
      </c>
      <c r="H1177" s="70">
        <v>0</v>
      </c>
      <c r="I1177" s="38">
        <f t="shared" si="24"/>
        <v>0</v>
      </c>
      <c r="J1177" s="38">
        <v>0</v>
      </c>
      <c r="K1177" s="38">
        <f t="shared" si="25"/>
        <v>0</v>
      </c>
      <c r="L1177" s="71" t="s">
        <v>207</v>
      </c>
      <c r="Z1177" s="38">
        <f t="shared" si="26"/>
        <v>0</v>
      </c>
      <c r="AB1177" s="38">
        <f t="shared" si="27"/>
        <v>0</v>
      </c>
      <c r="AC1177" s="38">
        <f t="shared" si="28"/>
        <v>0</v>
      </c>
      <c r="AD1177" s="38">
        <f t="shared" si="29"/>
        <v>0</v>
      </c>
      <c r="AE1177" s="38">
        <f t="shared" si="30"/>
        <v>0</v>
      </c>
      <c r="AF1177" s="38">
        <f t="shared" si="31"/>
        <v>0</v>
      </c>
      <c r="AG1177" s="38">
        <f t="shared" si="32"/>
        <v>0</v>
      </c>
      <c r="AH1177" s="38">
        <f t="shared" si="33"/>
        <v>0</v>
      </c>
      <c r="AI1177" s="50" t="s">
        <v>87</v>
      </c>
      <c r="AJ1177" s="38">
        <f t="shared" si="34"/>
        <v>0</v>
      </c>
      <c r="AK1177" s="38">
        <f t="shared" si="35"/>
        <v>0</v>
      </c>
      <c r="AL1177" s="38">
        <f t="shared" si="36"/>
        <v>0</v>
      </c>
      <c r="AN1177" s="38">
        <v>21</v>
      </c>
      <c r="AO1177" s="38">
        <f t="shared" si="37"/>
        <v>0</v>
      </c>
      <c r="AP1177" s="38">
        <f t="shared" si="38"/>
        <v>0</v>
      </c>
      <c r="AQ1177" s="72" t="s">
        <v>169</v>
      </c>
      <c r="AV1177" s="38">
        <f t="shared" si="39"/>
        <v>0</v>
      </c>
      <c r="AW1177" s="38">
        <f t="shared" si="40"/>
        <v>0</v>
      </c>
      <c r="AX1177" s="38">
        <f t="shared" si="41"/>
        <v>0</v>
      </c>
      <c r="AY1177" s="72" t="s">
        <v>2099</v>
      </c>
      <c r="AZ1177" s="72" t="s">
        <v>2050</v>
      </c>
      <c r="BA1177" s="50" t="s">
        <v>2006</v>
      </c>
      <c r="BC1177" s="38">
        <f t="shared" si="42"/>
        <v>0</v>
      </c>
      <c r="BD1177" s="38">
        <f t="shared" si="43"/>
        <v>0</v>
      </c>
      <c r="BE1177" s="38">
        <v>0</v>
      </c>
      <c r="BF1177" s="38">
        <f t="shared" si="44"/>
        <v>0</v>
      </c>
      <c r="BH1177" s="38">
        <f t="shared" si="45"/>
        <v>0</v>
      </c>
      <c r="BI1177" s="38">
        <f t="shared" si="46"/>
        <v>0</v>
      </c>
      <c r="BJ1177" s="38">
        <f t="shared" si="47"/>
        <v>0</v>
      </c>
      <c r="BK1177" s="38"/>
      <c r="BL1177" s="38">
        <v>722</v>
      </c>
      <c r="BW1177" s="38">
        <v>21</v>
      </c>
    </row>
    <row r="1178" spans="1:75" ht="13.5" customHeight="1">
      <c r="A1178" s="1" t="s">
        <v>2121</v>
      </c>
      <c r="B1178" s="2" t="s">
        <v>87</v>
      </c>
      <c r="C1178" s="2" t="s">
        <v>2122</v>
      </c>
      <c r="D1178" s="108" t="s">
        <v>2123</v>
      </c>
      <c r="E1178" s="103"/>
      <c r="F1178" s="2" t="s">
        <v>199</v>
      </c>
      <c r="G1178" s="38">
        <v>29</v>
      </c>
      <c r="H1178" s="70">
        <v>0</v>
      </c>
      <c r="I1178" s="38">
        <f t="shared" si="24"/>
        <v>0</v>
      </c>
      <c r="J1178" s="38">
        <v>0</v>
      </c>
      <c r="K1178" s="38">
        <f t="shared" si="25"/>
        <v>0</v>
      </c>
      <c r="L1178" s="71" t="s">
        <v>207</v>
      </c>
      <c r="Z1178" s="38">
        <f t="shared" si="26"/>
        <v>0</v>
      </c>
      <c r="AB1178" s="38">
        <f t="shared" si="27"/>
        <v>0</v>
      </c>
      <c r="AC1178" s="38">
        <f t="shared" si="28"/>
        <v>0</v>
      </c>
      <c r="AD1178" s="38">
        <f t="shared" si="29"/>
        <v>0</v>
      </c>
      <c r="AE1178" s="38">
        <f t="shared" si="30"/>
        <v>0</v>
      </c>
      <c r="AF1178" s="38">
        <f t="shared" si="31"/>
        <v>0</v>
      </c>
      <c r="AG1178" s="38">
        <f t="shared" si="32"/>
        <v>0</v>
      </c>
      <c r="AH1178" s="38">
        <f t="shared" si="33"/>
        <v>0</v>
      </c>
      <c r="AI1178" s="50" t="s">
        <v>87</v>
      </c>
      <c r="AJ1178" s="38">
        <f t="shared" si="34"/>
        <v>0</v>
      </c>
      <c r="AK1178" s="38">
        <f t="shared" si="35"/>
        <v>0</v>
      </c>
      <c r="AL1178" s="38">
        <f t="shared" si="36"/>
        <v>0</v>
      </c>
      <c r="AN1178" s="38">
        <v>21</v>
      </c>
      <c r="AO1178" s="38">
        <f t="shared" si="37"/>
        <v>0</v>
      </c>
      <c r="AP1178" s="38">
        <f t="shared" si="38"/>
        <v>0</v>
      </c>
      <c r="AQ1178" s="72" t="s">
        <v>169</v>
      </c>
      <c r="AV1178" s="38">
        <f t="shared" si="39"/>
        <v>0</v>
      </c>
      <c r="AW1178" s="38">
        <f t="shared" si="40"/>
        <v>0</v>
      </c>
      <c r="AX1178" s="38">
        <f t="shared" si="41"/>
        <v>0</v>
      </c>
      <c r="AY1178" s="72" t="s">
        <v>2099</v>
      </c>
      <c r="AZ1178" s="72" t="s">
        <v>2050</v>
      </c>
      <c r="BA1178" s="50" t="s">
        <v>2006</v>
      </c>
      <c r="BC1178" s="38">
        <f t="shared" si="42"/>
        <v>0</v>
      </c>
      <c r="BD1178" s="38">
        <f t="shared" si="43"/>
        <v>0</v>
      </c>
      <c r="BE1178" s="38">
        <v>0</v>
      </c>
      <c r="BF1178" s="38">
        <f t="shared" si="44"/>
        <v>0</v>
      </c>
      <c r="BH1178" s="38">
        <f t="shared" si="45"/>
        <v>0</v>
      </c>
      <c r="BI1178" s="38">
        <f t="shared" si="46"/>
        <v>0</v>
      </c>
      <c r="BJ1178" s="38">
        <f t="shared" si="47"/>
        <v>0</v>
      </c>
      <c r="BK1178" s="38"/>
      <c r="BL1178" s="38">
        <v>722</v>
      </c>
      <c r="BW1178" s="38">
        <v>21</v>
      </c>
    </row>
    <row r="1179" spans="1:75" ht="13.5" customHeight="1">
      <c r="A1179" s="1" t="s">
        <v>2124</v>
      </c>
      <c r="B1179" s="2" t="s">
        <v>87</v>
      </c>
      <c r="C1179" s="2" t="s">
        <v>2125</v>
      </c>
      <c r="D1179" s="108" t="s">
        <v>2126</v>
      </c>
      <c r="E1179" s="103"/>
      <c r="F1179" s="2" t="s">
        <v>199</v>
      </c>
      <c r="G1179" s="38">
        <v>27</v>
      </c>
      <c r="H1179" s="70">
        <v>0</v>
      </c>
      <c r="I1179" s="38">
        <f t="shared" si="24"/>
        <v>0</v>
      </c>
      <c r="J1179" s="38">
        <v>0</v>
      </c>
      <c r="K1179" s="38">
        <f t="shared" si="25"/>
        <v>0</v>
      </c>
      <c r="L1179" s="71" t="s">
        <v>207</v>
      </c>
      <c r="Z1179" s="38">
        <f t="shared" si="26"/>
        <v>0</v>
      </c>
      <c r="AB1179" s="38">
        <f t="shared" si="27"/>
        <v>0</v>
      </c>
      <c r="AC1179" s="38">
        <f t="shared" si="28"/>
        <v>0</v>
      </c>
      <c r="AD1179" s="38">
        <f t="shared" si="29"/>
        <v>0</v>
      </c>
      <c r="AE1179" s="38">
        <f t="shared" si="30"/>
        <v>0</v>
      </c>
      <c r="AF1179" s="38">
        <f t="shared" si="31"/>
        <v>0</v>
      </c>
      <c r="AG1179" s="38">
        <f t="shared" si="32"/>
        <v>0</v>
      </c>
      <c r="AH1179" s="38">
        <f t="shared" si="33"/>
        <v>0</v>
      </c>
      <c r="AI1179" s="50" t="s">
        <v>87</v>
      </c>
      <c r="AJ1179" s="38">
        <f t="shared" si="34"/>
        <v>0</v>
      </c>
      <c r="AK1179" s="38">
        <f t="shared" si="35"/>
        <v>0</v>
      </c>
      <c r="AL1179" s="38">
        <f t="shared" si="36"/>
        <v>0</v>
      </c>
      <c r="AN1179" s="38">
        <v>21</v>
      </c>
      <c r="AO1179" s="38">
        <f t="shared" si="37"/>
        <v>0</v>
      </c>
      <c r="AP1179" s="38">
        <f t="shared" si="38"/>
        <v>0</v>
      </c>
      <c r="AQ1179" s="72" t="s">
        <v>169</v>
      </c>
      <c r="AV1179" s="38">
        <f t="shared" si="39"/>
        <v>0</v>
      </c>
      <c r="AW1179" s="38">
        <f t="shared" si="40"/>
        <v>0</v>
      </c>
      <c r="AX1179" s="38">
        <f t="shared" si="41"/>
        <v>0</v>
      </c>
      <c r="AY1179" s="72" t="s">
        <v>2099</v>
      </c>
      <c r="AZ1179" s="72" t="s">
        <v>2050</v>
      </c>
      <c r="BA1179" s="50" t="s">
        <v>2006</v>
      </c>
      <c r="BC1179" s="38">
        <f t="shared" si="42"/>
        <v>0</v>
      </c>
      <c r="BD1179" s="38">
        <f t="shared" si="43"/>
        <v>0</v>
      </c>
      <c r="BE1179" s="38">
        <v>0</v>
      </c>
      <c r="BF1179" s="38">
        <f t="shared" si="44"/>
        <v>0</v>
      </c>
      <c r="BH1179" s="38">
        <f t="shared" si="45"/>
        <v>0</v>
      </c>
      <c r="BI1179" s="38">
        <f t="shared" si="46"/>
        <v>0</v>
      </c>
      <c r="BJ1179" s="38">
        <f t="shared" si="47"/>
        <v>0</v>
      </c>
      <c r="BK1179" s="38"/>
      <c r="BL1179" s="38">
        <v>722</v>
      </c>
      <c r="BW1179" s="38">
        <v>21</v>
      </c>
    </row>
    <row r="1180" spans="1:75" ht="13.5" customHeight="1">
      <c r="A1180" s="1" t="s">
        <v>2127</v>
      </c>
      <c r="B1180" s="2" t="s">
        <v>87</v>
      </c>
      <c r="C1180" s="2" t="s">
        <v>2128</v>
      </c>
      <c r="D1180" s="108" t="s">
        <v>2129</v>
      </c>
      <c r="E1180" s="103"/>
      <c r="F1180" s="2" t="s">
        <v>2130</v>
      </c>
      <c r="G1180" s="38">
        <v>1</v>
      </c>
      <c r="H1180" s="70">
        <v>0</v>
      </c>
      <c r="I1180" s="38">
        <f t="shared" si="24"/>
        <v>0</v>
      </c>
      <c r="J1180" s="38">
        <v>0</v>
      </c>
      <c r="K1180" s="38">
        <f t="shared" si="25"/>
        <v>0</v>
      </c>
      <c r="L1180" s="71" t="s">
        <v>207</v>
      </c>
      <c r="Z1180" s="38">
        <f t="shared" si="26"/>
        <v>0</v>
      </c>
      <c r="AB1180" s="38">
        <f t="shared" si="27"/>
        <v>0</v>
      </c>
      <c r="AC1180" s="38">
        <f t="shared" si="28"/>
        <v>0</v>
      </c>
      <c r="AD1180" s="38">
        <f t="shared" si="29"/>
        <v>0</v>
      </c>
      <c r="AE1180" s="38">
        <f t="shared" si="30"/>
        <v>0</v>
      </c>
      <c r="AF1180" s="38">
        <f t="shared" si="31"/>
        <v>0</v>
      </c>
      <c r="AG1180" s="38">
        <f t="shared" si="32"/>
        <v>0</v>
      </c>
      <c r="AH1180" s="38">
        <f t="shared" si="33"/>
        <v>0</v>
      </c>
      <c r="AI1180" s="50" t="s">
        <v>87</v>
      </c>
      <c r="AJ1180" s="38">
        <f t="shared" si="34"/>
        <v>0</v>
      </c>
      <c r="AK1180" s="38">
        <f t="shared" si="35"/>
        <v>0</v>
      </c>
      <c r="AL1180" s="38">
        <f t="shared" si="36"/>
        <v>0</v>
      </c>
      <c r="AN1180" s="38">
        <v>21</v>
      </c>
      <c r="AO1180" s="38">
        <f t="shared" si="37"/>
        <v>0</v>
      </c>
      <c r="AP1180" s="38">
        <f t="shared" si="38"/>
        <v>0</v>
      </c>
      <c r="AQ1180" s="72" t="s">
        <v>169</v>
      </c>
      <c r="AV1180" s="38">
        <f t="shared" si="39"/>
        <v>0</v>
      </c>
      <c r="AW1180" s="38">
        <f t="shared" si="40"/>
        <v>0</v>
      </c>
      <c r="AX1180" s="38">
        <f t="shared" si="41"/>
        <v>0</v>
      </c>
      <c r="AY1180" s="72" t="s">
        <v>2099</v>
      </c>
      <c r="AZ1180" s="72" t="s">
        <v>2050</v>
      </c>
      <c r="BA1180" s="50" t="s">
        <v>2006</v>
      </c>
      <c r="BC1180" s="38">
        <f t="shared" si="42"/>
        <v>0</v>
      </c>
      <c r="BD1180" s="38">
        <f t="shared" si="43"/>
        <v>0</v>
      </c>
      <c r="BE1180" s="38">
        <v>0</v>
      </c>
      <c r="BF1180" s="38">
        <f t="shared" si="44"/>
        <v>0</v>
      </c>
      <c r="BH1180" s="38">
        <f t="shared" si="45"/>
        <v>0</v>
      </c>
      <c r="BI1180" s="38">
        <f t="shared" si="46"/>
        <v>0</v>
      </c>
      <c r="BJ1180" s="38">
        <f t="shared" si="47"/>
        <v>0</v>
      </c>
      <c r="BK1180" s="38"/>
      <c r="BL1180" s="38">
        <v>722</v>
      </c>
      <c r="BW1180" s="38">
        <v>21</v>
      </c>
    </row>
    <row r="1181" spans="1:75" ht="13.5" customHeight="1">
      <c r="A1181" s="1" t="s">
        <v>2131</v>
      </c>
      <c r="B1181" s="2" t="s">
        <v>87</v>
      </c>
      <c r="C1181" s="2" t="s">
        <v>2132</v>
      </c>
      <c r="D1181" s="108" t="s">
        <v>2133</v>
      </c>
      <c r="E1181" s="103"/>
      <c r="F1181" s="2" t="s">
        <v>1593</v>
      </c>
      <c r="G1181" s="38">
        <v>27</v>
      </c>
      <c r="H1181" s="70">
        <v>0</v>
      </c>
      <c r="I1181" s="38">
        <f t="shared" si="24"/>
        <v>0</v>
      </c>
      <c r="J1181" s="38">
        <v>0</v>
      </c>
      <c r="K1181" s="38">
        <f t="shared" si="25"/>
        <v>0</v>
      </c>
      <c r="L1181" s="71" t="s">
        <v>207</v>
      </c>
      <c r="Z1181" s="38">
        <f t="shared" si="26"/>
        <v>0</v>
      </c>
      <c r="AB1181" s="38">
        <f t="shared" si="27"/>
        <v>0</v>
      </c>
      <c r="AC1181" s="38">
        <f t="shared" si="28"/>
        <v>0</v>
      </c>
      <c r="AD1181" s="38">
        <f t="shared" si="29"/>
        <v>0</v>
      </c>
      <c r="AE1181" s="38">
        <f t="shared" si="30"/>
        <v>0</v>
      </c>
      <c r="AF1181" s="38">
        <f t="shared" si="31"/>
        <v>0</v>
      </c>
      <c r="AG1181" s="38">
        <f t="shared" si="32"/>
        <v>0</v>
      </c>
      <c r="AH1181" s="38">
        <f t="shared" si="33"/>
        <v>0</v>
      </c>
      <c r="AI1181" s="50" t="s">
        <v>87</v>
      </c>
      <c r="AJ1181" s="38">
        <f t="shared" si="34"/>
        <v>0</v>
      </c>
      <c r="AK1181" s="38">
        <f t="shared" si="35"/>
        <v>0</v>
      </c>
      <c r="AL1181" s="38">
        <f t="shared" si="36"/>
        <v>0</v>
      </c>
      <c r="AN1181" s="38">
        <v>21</v>
      </c>
      <c r="AO1181" s="38">
        <f t="shared" si="37"/>
        <v>0</v>
      </c>
      <c r="AP1181" s="38">
        <f t="shared" si="38"/>
        <v>0</v>
      </c>
      <c r="AQ1181" s="72" t="s">
        <v>169</v>
      </c>
      <c r="AV1181" s="38">
        <f t="shared" si="39"/>
        <v>0</v>
      </c>
      <c r="AW1181" s="38">
        <f t="shared" si="40"/>
        <v>0</v>
      </c>
      <c r="AX1181" s="38">
        <f t="shared" si="41"/>
        <v>0</v>
      </c>
      <c r="AY1181" s="72" t="s">
        <v>2099</v>
      </c>
      <c r="AZ1181" s="72" t="s">
        <v>2050</v>
      </c>
      <c r="BA1181" s="50" t="s">
        <v>2006</v>
      </c>
      <c r="BC1181" s="38">
        <f t="shared" si="42"/>
        <v>0</v>
      </c>
      <c r="BD1181" s="38">
        <f t="shared" si="43"/>
        <v>0</v>
      </c>
      <c r="BE1181" s="38">
        <v>0</v>
      </c>
      <c r="BF1181" s="38">
        <f t="shared" si="44"/>
        <v>0</v>
      </c>
      <c r="BH1181" s="38">
        <f t="shared" si="45"/>
        <v>0</v>
      </c>
      <c r="BI1181" s="38">
        <f t="shared" si="46"/>
        <v>0</v>
      </c>
      <c r="BJ1181" s="38">
        <f t="shared" si="47"/>
        <v>0</v>
      </c>
      <c r="BK1181" s="38"/>
      <c r="BL1181" s="38">
        <v>722</v>
      </c>
      <c r="BW1181" s="38">
        <v>21</v>
      </c>
    </row>
    <row r="1182" spans="1:75" ht="13.5" customHeight="1">
      <c r="A1182" s="1" t="s">
        <v>2134</v>
      </c>
      <c r="B1182" s="2" t="s">
        <v>87</v>
      </c>
      <c r="C1182" s="2" t="s">
        <v>2135</v>
      </c>
      <c r="D1182" s="108" t="s">
        <v>2136</v>
      </c>
      <c r="E1182" s="103"/>
      <c r="F1182" s="2" t="s">
        <v>199</v>
      </c>
      <c r="G1182" s="38">
        <v>2</v>
      </c>
      <c r="H1182" s="70">
        <v>0</v>
      </c>
      <c r="I1182" s="38">
        <f t="shared" si="24"/>
        <v>0</v>
      </c>
      <c r="J1182" s="38">
        <v>0</v>
      </c>
      <c r="K1182" s="38">
        <f t="shared" si="25"/>
        <v>0</v>
      </c>
      <c r="L1182" s="71" t="s">
        <v>207</v>
      </c>
      <c r="Z1182" s="38">
        <f t="shared" si="26"/>
        <v>0</v>
      </c>
      <c r="AB1182" s="38">
        <f t="shared" si="27"/>
        <v>0</v>
      </c>
      <c r="AC1182" s="38">
        <f t="shared" si="28"/>
        <v>0</v>
      </c>
      <c r="AD1182" s="38">
        <f t="shared" si="29"/>
        <v>0</v>
      </c>
      <c r="AE1182" s="38">
        <f t="shared" si="30"/>
        <v>0</v>
      </c>
      <c r="AF1182" s="38">
        <f t="shared" si="31"/>
        <v>0</v>
      </c>
      <c r="AG1182" s="38">
        <f t="shared" si="32"/>
        <v>0</v>
      </c>
      <c r="AH1182" s="38">
        <f t="shared" si="33"/>
        <v>0</v>
      </c>
      <c r="AI1182" s="50" t="s">
        <v>87</v>
      </c>
      <c r="AJ1182" s="38">
        <f t="shared" si="34"/>
        <v>0</v>
      </c>
      <c r="AK1182" s="38">
        <f t="shared" si="35"/>
        <v>0</v>
      </c>
      <c r="AL1182" s="38">
        <f t="shared" si="36"/>
        <v>0</v>
      </c>
      <c r="AN1182" s="38">
        <v>21</v>
      </c>
      <c r="AO1182" s="38">
        <f t="shared" si="37"/>
        <v>0</v>
      </c>
      <c r="AP1182" s="38">
        <f t="shared" si="38"/>
        <v>0</v>
      </c>
      <c r="AQ1182" s="72" t="s">
        <v>169</v>
      </c>
      <c r="AV1182" s="38">
        <f t="shared" si="39"/>
        <v>0</v>
      </c>
      <c r="AW1182" s="38">
        <f t="shared" si="40"/>
        <v>0</v>
      </c>
      <c r="AX1182" s="38">
        <f t="shared" si="41"/>
        <v>0</v>
      </c>
      <c r="AY1182" s="72" t="s">
        <v>2099</v>
      </c>
      <c r="AZ1182" s="72" t="s">
        <v>2050</v>
      </c>
      <c r="BA1182" s="50" t="s">
        <v>2006</v>
      </c>
      <c r="BC1182" s="38">
        <f t="shared" si="42"/>
        <v>0</v>
      </c>
      <c r="BD1182" s="38">
        <f t="shared" si="43"/>
        <v>0</v>
      </c>
      <c r="BE1182" s="38">
        <v>0</v>
      </c>
      <c r="BF1182" s="38">
        <f t="shared" si="44"/>
        <v>0</v>
      </c>
      <c r="BH1182" s="38">
        <f t="shared" si="45"/>
        <v>0</v>
      </c>
      <c r="BI1182" s="38">
        <f t="shared" si="46"/>
        <v>0</v>
      </c>
      <c r="BJ1182" s="38">
        <f t="shared" si="47"/>
        <v>0</v>
      </c>
      <c r="BK1182" s="38"/>
      <c r="BL1182" s="38">
        <v>722</v>
      </c>
      <c r="BW1182" s="38">
        <v>21</v>
      </c>
    </row>
    <row r="1183" spans="1:75" ht="13.5" customHeight="1">
      <c r="A1183" s="1" t="s">
        <v>2137</v>
      </c>
      <c r="B1183" s="2" t="s">
        <v>87</v>
      </c>
      <c r="C1183" s="2" t="s">
        <v>2138</v>
      </c>
      <c r="D1183" s="108" t="s">
        <v>2139</v>
      </c>
      <c r="E1183" s="103"/>
      <c r="F1183" s="2" t="s">
        <v>199</v>
      </c>
      <c r="G1183" s="38">
        <v>2</v>
      </c>
      <c r="H1183" s="70">
        <v>0</v>
      </c>
      <c r="I1183" s="38">
        <f t="shared" si="24"/>
        <v>0</v>
      </c>
      <c r="J1183" s="38">
        <v>0</v>
      </c>
      <c r="K1183" s="38">
        <f t="shared" si="25"/>
        <v>0</v>
      </c>
      <c r="L1183" s="71" t="s">
        <v>207</v>
      </c>
      <c r="Z1183" s="38">
        <f t="shared" si="26"/>
        <v>0</v>
      </c>
      <c r="AB1183" s="38">
        <f t="shared" si="27"/>
        <v>0</v>
      </c>
      <c r="AC1183" s="38">
        <f t="shared" si="28"/>
        <v>0</v>
      </c>
      <c r="AD1183" s="38">
        <f t="shared" si="29"/>
        <v>0</v>
      </c>
      <c r="AE1183" s="38">
        <f t="shared" si="30"/>
        <v>0</v>
      </c>
      <c r="AF1183" s="38">
        <f t="shared" si="31"/>
        <v>0</v>
      </c>
      <c r="AG1183" s="38">
        <f t="shared" si="32"/>
        <v>0</v>
      </c>
      <c r="AH1183" s="38">
        <f t="shared" si="33"/>
        <v>0</v>
      </c>
      <c r="AI1183" s="50" t="s">
        <v>87</v>
      </c>
      <c r="AJ1183" s="38">
        <f t="shared" si="34"/>
        <v>0</v>
      </c>
      <c r="AK1183" s="38">
        <f t="shared" si="35"/>
        <v>0</v>
      </c>
      <c r="AL1183" s="38">
        <f t="shared" si="36"/>
        <v>0</v>
      </c>
      <c r="AN1183" s="38">
        <v>21</v>
      </c>
      <c r="AO1183" s="38">
        <f t="shared" si="37"/>
        <v>0</v>
      </c>
      <c r="AP1183" s="38">
        <f t="shared" si="38"/>
        <v>0</v>
      </c>
      <c r="AQ1183" s="72" t="s">
        <v>169</v>
      </c>
      <c r="AV1183" s="38">
        <f t="shared" si="39"/>
        <v>0</v>
      </c>
      <c r="AW1183" s="38">
        <f t="shared" si="40"/>
        <v>0</v>
      </c>
      <c r="AX1183" s="38">
        <f t="shared" si="41"/>
        <v>0</v>
      </c>
      <c r="AY1183" s="72" t="s">
        <v>2099</v>
      </c>
      <c r="AZ1183" s="72" t="s">
        <v>2050</v>
      </c>
      <c r="BA1183" s="50" t="s">
        <v>2006</v>
      </c>
      <c r="BC1183" s="38">
        <f t="shared" si="42"/>
        <v>0</v>
      </c>
      <c r="BD1183" s="38">
        <f t="shared" si="43"/>
        <v>0</v>
      </c>
      <c r="BE1183" s="38">
        <v>0</v>
      </c>
      <c r="BF1183" s="38">
        <f t="shared" si="44"/>
        <v>0</v>
      </c>
      <c r="BH1183" s="38">
        <f t="shared" si="45"/>
        <v>0</v>
      </c>
      <c r="BI1183" s="38">
        <f t="shared" si="46"/>
        <v>0</v>
      </c>
      <c r="BJ1183" s="38">
        <f t="shared" si="47"/>
        <v>0</v>
      </c>
      <c r="BK1183" s="38"/>
      <c r="BL1183" s="38">
        <v>722</v>
      </c>
      <c r="BW1183" s="38">
        <v>21</v>
      </c>
    </row>
    <row r="1184" spans="1:75" ht="13.5" customHeight="1">
      <c r="A1184" s="1" t="s">
        <v>2140</v>
      </c>
      <c r="B1184" s="2" t="s">
        <v>87</v>
      </c>
      <c r="C1184" s="2" t="s">
        <v>2141</v>
      </c>
      <c r="D1184" s="108" t="s">
        <v>2142</v>
      </c>
      <c r="E1184" s="103"/>
      <c r="F1184" s="2" t="s">
        <v>199</v>
      </c>
      <c r="G1184" s="38">
        <v>1</v>
      </c>
      <c r="H1184" s="70">
        <v>0</v>
      </c>
      <c r="I1184" s="38">
        <f t="shared" si="24"/>
        <v>0</v>
      </c>
      <c r="J1184" s="38">
        <v>0</v>
      </c>
      <c r="K1184" s="38">
        <f t="shared" si="25"/>
        <v>0</v>
      </c>
      <c r="L1184" s="71" t="s">
        <v>207</v>
      </c>
      <c r="Z1184" s="38">
        <f t="shared" si="26"/>
        <v>0</v>
      </c>
      <c r="AB1184" s="38">
        <f t="shared" si="27"/>
        <v>0</v>
      </c>
      <c r="AC1184" s="38">
        <f t="shared" si="28"/>
        <v>0</v>
      </c>
      <c r="AD1184" s="38">
        <f t="shared" si="29"/>
        <v>0</v>
      </c>
      <c r="AE1184" s="38">
        <f t="shared" si="30"/>
        <v>0</v>
      </c>
      <c r="AF1184" s="38">
        <f t="shared" si="31"/>
        <v>0</v>
      </c>
      <c r="AG1184" s="38">
        <f t="shared" si="32"/>
        <v>0</v>
      </c>
      <c r="AH1184" s="38">
        <f t="shared" si="33"/>
        <v>0</v>
      </c>
      <c r="AI1184" s="50" t="s">
        <v>87</v>
      </c>
      <c r="AJ1184" s="38">
        <f t="shared" si="34"/>
        <v>0</v>
      </c>
      <c r="AK1184" s="38">
        <f t="shared" si="35"/>
        <v>0</v>
      </c>
      <c r="AL1184" s="38">
        <f t="shared" si="36"/>
        <v>0</v>
      </c>
      <c r="AN1184" s="38">
        <v>21</v>
      </c>
      <c r="AO1184" s="38">
        <f t="shared" si="37"/>
        <v>0</v>
      </c>
      <c r="AP1184" s="38">
        <f t="shared" si="38"/>
        <v>0</v>
      </c>
      <c r="AQ1184" s="72" t="s">
        <v>169</v>
      </c>
      <c r="AV1184" s="38">
        <f t="shared" si="39"/>
        <v>0</v>
      </c>
      <c r="AW1184" s="38">
        <f t="shared" si="40"/>
        <v>0</v>
      </c>
      <c r="AX1184" s="38">
        <f t="shared" si="41"/>
        <v>0</v>
      </c>
      <c r="AY1184" s="72" t="s">
        <v>2099</v>
      </c>
      <c r="AZ1184" s="72" t="s">
        <v>2050</v>
      </c>
      <c r="BA1184" s="50" t="s">
        <v>2006</v>
      </c>
      <c r="BC1184" s="38">
        <f t="shared" si="42"/>
        <v>0</v>
      </c>
      <c r="BD1184" s="38">
        <f t="shared" si="43"/>
        <v>0</v>
      </c>
      <c r="BE1184" s="38">
        <v>0</v>
      </c>
      <c r="BF1184" s="38">
        <f t="shared" si="44"/>
        <v>0</v>
      </c>
      <c r="BH1184" s="38">
        <f t="shared" si="45"/>
        <v>0</v>
      </c>
      <c r="BI1184" s="38">
        <f t="shared" si="46"/>
        <v>0</v>
      </c>
      <c r="BJ1184" s="38">
        <f t="shared" si="47"/>
        <v>0</v>
      </c>
      <c r="BK1184" s="38"/>
      <c r="BL1184" s="38">
        <v>722</v>
      </c>
      <c r="BW1184" s="38">
        <v>21</v>
      </c>
    </row>
    <row r="1185" spans="1:75" ht="13.5" customHeight="1">
      <c r="A1185" s="1" t="s">
        <v>2143</v>
      </c>
      <c r="B1185" s="2" t="s">
        <v>87</v>
      </c>
      <c r="C1185" s="2" t="s">
        <v>2144</v>
      </c>
      <c r="D1185" s="108" t="s">
        <v>2145</v>
      </c>
      <c r="E1185" s="103"/>
      <c r="F1185" s="2" t="s">
        <v>199</v>
      </c>
      <c r="G1185" s="38">
        <v>1</v>
      </c>
      <c r="H1185" s="70">
        <v>0</v>
      </c>
      <c r="I1185" s="38">
        <f t="shared" si="24"/>
        <v>0</v>
      </c>
      <c r="J1185" s="38">
        <v>0</v>
      </c>
      <c r="K1185" s="38">
        <f t="shared" si="25"/>
        <v>0</v>
      </c>
      <c r="L1185" s="71" t="s">
        <v>207</v>
      </c>
      <c r="Z1185" s="38">
        <f t="shared" si="26"/>
        <v>0</v>
      </c>
      <c r="AB1185" s="38">
        <f t="shared" si="27"/>
        <v>0</v>
      </c>
      <c r="AC1185" s="38">
        <f t="shared" si="28"/>
        <v>0</v>
      </c>
      <c r="AD1185" s="38">
        <f t="shared" si="29"/>
        <v>0</v>
      </c>
      <c r="AE1185" s="38">
        <f t="shared" si="30"/>
        <v>0</v>
      </c>
      <c r="AF1185" s="38">
        <f t="shared" si="31"/>
        <v>0</v>
      </c>
      <c r="AG1185" s="38">
        <f t="shared" si="32"/>
        <v>0</v>
      </c>
      <c r="AH1185" s="38">
        <f t="shared" si="33"/>
        <v>0</v>
      </c>
      <c r="AI1185" s="50" t="s">
        <v>87</v>
      </c>
      <c r="AJ1185" s="38">
        <f t="shared" si="34"/>
        <v>0</v>
      </c>
      <c r="AK1185" s="38">
        <f t="shared" si="35"/>
        <v>0</v>
      </c>
      <c r="AL1185" s="38">
        <f t="shared" si="36"/>
        <v>0</v>
      </c>
      <c r="AN1185" s="38">
        <v>21</v>
      </c>
      <c r="AO1185" s="38">
        <f t="shared" si="37"/>
        <v>0</v>
      </c>
      <c r="AP1185" s="38">
        <f t="shared" si="38"/>
        <v>0</v>
      </c>
      <c r="AQ1185" s="72" t="s">
        <v>169</v>
      </c>
      <c r="AV1185" s="38">
        <f t="shared" si="39"/>
        <v>0</v>
      </c>
      <c r="AW1185" s="38">
        <f t="shared" si="40"/>
        <v>0</v>
      </c>
      <c r="AX1185" s="38">
        <f t="shared" si="41"/>
        <v>0</v>
      </c>
      <c r="AY1185" s="72" t="s">
        <v>2099</v>
      </c>
      <c r="AZ1185" s="72" t="s">
        <v>2050</v>
      </c>
      <c r="BA1185" s="50" t="s">
        <v>2006</v>
      </c>
      <c r="BC1185" s="38">
        <f t="shared" si="42"/>
        <v>0</v>
      </c>
      <c r="BD1185" s="38">
        <f t="shared" si="43"/>
        <v>0</v>
      </c>
      <c r="BE1185" s="38">
        <v>0</v>
      </c>
      <c r="BF1185" s="38">
        <f t="shared" si="44"/>
        <v>0</v>
      </c>
      <c r="BH1185" s="38">
        <f t="shared" si="45"/>
        <v>0</v>
      </c>
      <c r="BI1185" s="38">
        <f t="shared" si="46"/>
        <v>0</v>
      </c>
      <c r="BJ1185" s="38">
        <f t="shared" si="47"/>
        <v>0</v>
      </c>
      <c r="BK1185" s="38"/>
      <c r="BL1185" s="38">
        <v>722</v>
      </c>
      <c r="BW1185" s="38">
        <v>21</v>
      </c>
    </row>
    <row r="1186" spans="1:75" ht="13.5" customHeight="1">
      <c r="A1186" s="1" t="s">
        <v>2146</v>
      </c>
      <c r="B1186" s="2" t="s">
        <v>87</v>
      </c>
      <c r="C1186" s="2" t="s">
        <v>2147</v>
      </c>
      <c r="D1186" s="108" t="s">
        <v>2148</v>
      </c>
      <c r="E1186" s="103"/>
      <c r="F1186" s="2" t="s">
        <v>199</v>
      </c>
      <c r="G1186" s="38">
        <v>2</v>
      </c>
      <c r="H1186" s="70">
        <v>0</v>
      </c>
      <c r="I1186" s="38">
        <f t="shared" si="24"/>
        <v>0</v>
      </c>
      <c r="J1186" s="38">
        <v>0</v>
      </c>
      <c r="K1186" s="38">
        <f t="shared" si="25"/>
        <v>0</v>
      </c>
      <c r="L1186" s="71" t="s">
        <v>207</v>
      </c>
      <c r="Z1186" s="38">
        <f t="shared" si="26"/>
        <v>0</v>
      </c>
      <c r="AB1186" s="38">
        <f t="shared" si="27"/>
        <v>0</v>
      </c>
      <c r="AC1186" s="38">
        <f t="shared" si="28"/>
        <v>0</v>
      </c>
      <c r="AD1186" s="38">
        <f t="shared" si="29"/>
        <v>0</v>
      </c>
      <c r="AE1186" s="38">
        <f t="shared" si="30"/>
        <v>0</v>
      </c>
      <c r="AF1186" s="38">
        <f t="shared" si="31"/>
        <v>0</v>
      </c>
      <c r="AG1186" s="38">
        <f t="shared" si="32"/>
        <v>0</v>
      </c>
      <c r="AH1186" s="38">
        <f t="shared" si="33"/>
        <v>0</v>
      </c>
      <c r="AI1186" s="50" t="s">
        <v>87</v>
      </c>
      <c r="AJ1186" s="38">
        <f t="shared" si="34"/>
        <v>0</v>
      </c>
      <c r="AK1186" s="38">
        <f t="shared" si="35"/>
        <v>0</v>
      </c>
      <c r="AL1186" s="38">
        <f t="shared" si="36"/>
        <v>0</v>
      </c>
      <c r="AN1186" s="38">
        <v>21</v>
      </c>
      <c r="AO1186" s="38">
        <f t="shared" si="37"/>
        <v>0</v>
      </c>
      <c r="AP1186" s="38">
        <f t="shared" si="38"/>
        <v>0</v>
      </c>
      <c r="AQ1186" s="72" t="s">
        <v>169</v>
      </c>
      <c r="AV1186" s="38">
        <f t="shared" si="39"/>
        <v>0</v>
      </c>
      <c r="AW1186" s="38">
        <f t="shared" si="40"/>
        <v>0</v>
      </c>
      <c r="AX1186" s="38">
        <f t="shared" si="41"/>
        <v>0</v>
      </c>
      <c r="AY1186" s="72" t="s">
        <v>2099</v>
      </c>
      <c r="AZ1186" s="72" t="s">
        <v>2050</v>
      </c>
      <c r="BA1186" s="50" t="s">
        <v>2006</v>
      </c>
      <c r="BC1186" s="38">
        <f t="shared" si="42"/>
        <v>0</v>
      </c>
      <c r="BD1186" s="38">
        <f t="shared" si="43"/>
        <v>0</v>
      </c>
      <c r="BE1186" s="38">
        <v>0</v>
      </c>
      <c r="BF1186" s="38">
        <f t="shared" si="44"/>
        <v>0</v>
      </c>
      <c r="BH1186" s="38">
        <f t="shared" si="45"/>
        <v>0</v>
      </c>
      <c r="BI1186" s="38">
        <f t="shared" si="46"/>
        <v>0</v>
      </c>
      <c r="BJ1186" s="38">
        <f t="shared" si="47"/>
        <v>0</v>
      </c>
      <c r="BK1186" s="38"/>
      <c r="BL1186" s="38">
        <v>722</v>
      </c>
      <c r="BW1186" s="38">
        <v>21</v>
      </c>
    </row>
    <row r="1187" spans="1:75" ht="13.5" customHeight="1">
      <c r="A1187" s="1" t="s">
        <v>2149</v>
      </c>
      <c r="B1187" s="2" t="s">
        <v>87</v>
      </c>
      <c r="C1187" s="2" t="s">
        <v>2150</v>
      </c>
      <c r="D1187" s="108" t="s">
        <v>2151</v>
      </c>
      <c r="E1187" s="103"/>
      <c r="F1187" s="2" t="s">
        <v>199</v>
      </c>
      <c r="G1187" s="38">
        <v>2</v>
      </c>
      <c r="H1187" s="70">
        <v>0</v>
      </c>
      <c r="I1187" s="38">
        <f t="shared" si="24"/>
        <v>0</v>
      </c>
      <c r="J1187" s="38">
        <v>0</v>
      </c>
      <c r="K1187" s="38">
        <f t="shared" si="25"/>
        <v>0</v>
      </c>
      <c r="L1187" s="71" t="s">
        <v>207</v>
      </c>
      <c r="Z1187" s="38">
        <f t="shared" si="26"/>
        <v>0</v>
      </c>
      <c r="AB1187" s="38">
        <f t="shared" si="27"/>
        <v>0</v>
      </c>
      <c r="AC1187" s="38">
        <f t="shared" si="28"/>
        <v>0</v>
      </c>
      <c r="AD1187" s="38">
        <f t="shared" si="29"/>
        <v>0</v>
      </c>
      <c r="AE1187" s="38">
        <f t="shared" si="30"/>
        <v>0</v>
      </c>
      <c r="AF1187" s="38">
        <f t="shared" si="31"/>
        <v>0</v>
      </c>
      <c r="AG1187" s="38">
        <f t="shared" si="32"/>
        <v>0</v>
      </c>
      <c r="AH1187" s="38">
        <f t="shared" si="33"/>
        <v>0</v>
      </c>
      <c r="AI1187" s="50" t="s">
        <v>87</v>
      </c>
      <c r="AJ1187" s="38">
        <f t="shared" si="34"/>
        <v>0</v>
      </c>
      <c r="AK1187" s="38">
        <f t="shared" si="35"/>
        <v>0</v>
      </c>
      <c r="AL1187" s="38">
        <f t="shared" si="36"/>
        <v>0</v>
      </c>
      <c r="AN1187" s="38">
        <v>21</v>
      </c>
      <c r="AO1187" s="38">
        <f t="shared" si="37"/>
        <v>0</v>
      </c>
      <c r="AP1187" s="38">
        <f t="shared" si="38"/>
        <v>0</v>
      </c>
      <c r="AQ1187" s="72" t="s">
        <v>169</v>
      </c>
      <c r="AV1187" s="38">
        <f t="shared" si="39"/>
        <v>0</v>
      </c>
      <c r="AW1187" s="38">
        <f t="shared" si="40"/>
        <v>0</v>
      </c>
      <c r="AX1187" s="38">
        <f t="shared" si="41"/>
        <v>0</v>
      </c>
      <c r="AY1187" s="72" t="s">
        <v>2099</v>
      </c>
      <c r="AZ1187" s="72" t="s">
        <v>2050</v>
      </c>
      <c r="BA1187" s="50" t="s">
        <v>2006</v>
      </c>
      <c r="BC1187" s="38">
        <f t="shared" si="42"/>
        <v>0</v>
      </c>
      <c r="BD1187" s="38">
        <f t="shared" si="43"/>
        <v>0</v>
      </c>
      <c r="BE1187" s="38">
        <v>0</v>
      </c>
      <c r="BF1187" s="38">
        <f t="shared" si="44"/>
        <v>0</v>
      </c>
      <c r="BH1187" s="38">
        <f t="shared" si="45"/>
        <v>0</v>
      </c>
      <c r="BI1187" s="38">
        <f t="shared" si="46"/>
        <v>0</v>
      </c>
      <c r="BJ1187" s="38">
        <f t="shared" si="47"/>
        <v>0</v>
      </c>
      <c r="BK1187" s="38"/>
      <c r="BL1187" s="38">
        <v>722</v>
      </c>
      <c r="BW1187" s="38">
        <v>21</v>
      </c>
    </row>
    <row r="1188" spans="1:75" ht="13.5" customHeight="1">
      <c r="A1188" s="1" t="s">
        <v>2152</v>
      </c>
      <c r="B1188" s="2" t="s">
        <v>87</v>
      </c>
      <c r="C1188" s="2" t="s">
        <v>2153</v>
      </c>
      <c r="D1188" s="108" t="s">
        <v>2154</v>
      </c>
      <c r="E1188" s="103"/>
      <c r="F1188" s="2" t="s">
        <v>199</v>
      </c>
      <c r="G1188" s="38">
        <v>2</v>
      </c>
      <c r="H1188" s="70">
        <v>0</v>
      </c>
      <c r="I1188" s="38">
        <f t="shared" si="24"/>
        <v>0</v>
      </c>
      <c r="J1188" s="38">
        <v>0</v>
      </c>
      <c r="K1188" s="38">
        <f t="shared" si="25"/>
        <v>0</v>
      </c>
      <c r="L1188" s="71" t="s">
        <v>207</v>
      </c>
      <c r="Z1188" s="38">
        <f t="shared" si="26"/>
        <v>0</v>
      </c>
      <c r="AB1188" s="38">
        <f t="shared" si="27"/>
        <v>0</v>
      </c>
      <c r="AC1188" s="38">
        <f t="shared" si="28"/>
        <v>0</v>
      </c>
      <c r="AD1188" s="38">
        <f t="shared" si="29"/>
        <v>0</v>
      </c>
      <c r="AE1188" s="38">
        <f t="shared" si="30"/>
        <v>0</v>
      </c>
      <c r="AF1188" s="38">
        <f t="shared" si="31"/>
        <v>0</v>
      </c>
      <c r="AG1188" s="38">
        <f t="shared" si="32"/>
        <v>0</v>
      </c>
      <c r="AH1188" s="38">
        <f t="shared" si="33"/>
        <v>0</v>
      </c>
      <c r="AI1188" s="50" t="s">
        <v>87</v>
      </c>
      <c r="AJ1188" s="38">
        <f t="shared" si="34"/>
        <v>0</v>
      </c>
      <c r="AK1188" s="38">
        <f t="shared" si="35"/>
        <v>0</v>
      </c>
      <c r="AL1188" s="38">
        <f t="shared" si="36"/>
        <v>0</v>
      </c>
      <c r="AN1188" s="38">
        <v>21</v>
      </c>
      <c r="AO1188" s="38">
        <f t="shared" si="37"/>
        <v>0</v>
      </c>
      <c r="AP1188" s="38">
        <f t="shared" si="38"/>
        <v>0</v>
      </c>
      <c r="AQ1188" s="72" t="s">
        <v>169</v>
      </c>
      <c r="AV1188" s="38">
        <f t="shared" si="39"/>
        <v>0</v>
      </c>
      <c r="AW1188" s="38">
        <f t="shared" si="40"/>
        <v>0</v>
      </c>
      <c r="AX1188" s="38">
        <f t="shared" si="41"/>
        <v>0</v>
      </c>
      <c r="AY1188" s="72" t="s">
        <v>2099</v>
      </c>
      <c r="AZ1188" s="72" t="s">
        <v>2050</v>
      </c>
      <c r="BA1188" s="50" t="s">
        <v>2006</v>
      </c>
      <c r="BC1188" s="38">
        <f t="shared" si="42"/>
        <v>0</v>
      </c>
      <c r="BD1188" s="38">
        <f t="shared" si="43"/>
        <v>0</v>
      </c>
      <c r="BE1188" s="38">
        <v>0</v>
      </c>
      <c r="BF1188" s="38">
        <f t="shared" si="44"/>
        <v>0</v>
      </c>
      <c r="BH1188" s="38">
        <f t="shared" si="45"/>
        <v>0</v>
      </c>
      <c r="BI1188" s="38">
        <f t="shared" si="46"/>
        <v>0</v>
      </c>
      <c r="BJ1188" s="38">
        <f t="shared" si="47"/>
        <v>0</v>
      </c>
      <c r="BK1188" s="38"/>
      <c r="BL1188" s="38">
        <v>722</v>
      </c>
      <c r="BW1188" s="38">
        <v>21</v>
      </c>
    </row>
    <row r="1189" spans="1:75" ht="13.5" customHeight="1">
      <c r="A1189" s="1" t="s">
        <v>2155</v>
      </c>
      <c r="B1189" s="2" t="s">
        <v>87</v>
      </c>
      <c r="C1189" s="2" t="s">
        <v>2156</v>
      </c>
      <c r="D1189" s="108" t="s">
        <v>2157</v>
      </c>
      <c r="E1189" s="103"/>
      <c r="F1189" s="2" t="s">
        <v>199</v>
      </c>
      <c r="G1189" s="38">
        <v>1</v>
      </c>
      <c r="H1189" s="70">
        <v>0</v>
      </c>
      <c r="I1189" s="38">
        <f t="shared" si="24"/>
        <v>0</v>
      </c>
      <c r="J1189" s="38">
        <v>0</v>
      </c>
      <c r="K1189" s="38">
        <f t="shared" si="25"/>
        <v>0</v>
      </c>
      <c r="L1189" s="71" t="s">
        <v>207</v>
      </c>
      <c r="Z1189" s="38">
        <f t="shared" si="26"/>
        <v>0</v>
      </c>
      <c r="AB1189" s="38">
        <f t="shared" si="27"/>
        <v>0</v>
      </c>
      <c r="AC1189" s="38">
        <f t="shared" si="28"/>
        <v>0</v>
      </c>
      <c r="AD1189" s="38">
        <f t="shared" si="29"/>
        <v>0</v>
      </c>
      <c r="AE1189" s="38">
        <f t="shared" si="30"/>
        <v>0</v>
      </c>
      <c r="AF1189" s="38">
        <f t="shared" si="31"/>
        <v>0</v>
      </c>
      <c r="AG1189" s="38">
        <f t="shared" si="32"/>
        <v>0</v>
      </c>
      <c r="AH1189" s="38">
        <f t="shared" si="33"/>
        <v>0</v>
      </c>
      <c r="AI1189" s="50" t="s">
        <v>87</v>
      </c>
      <c r="AJ1189" s="38">
        <f t="shared" si="34"/>
        <v>0</v>
      </c>
      <c r="AK1189" s="38">
        <f t="shared" si="35"/>
        <v>0</v>
      </c>
      <c r="AL1189" s="38">
        <f t="shared" si="36"/>
        <v>0</v>
      </c>
      <c r="AN1189" s="38">
        <v>21</v>
      </c>
      <c r="AO1189" s="38">
        <f t="shared" si="37"/>
        <v>0</v>
      </c>
      <c r="AP1189" s="38">
        <f t="shared" si="38"/>
        <v>0</v>
      </c>
      <c r="AQ1189" s="72" t="s">
        <v>169</v>
      </c>
      <c r="AV1189" s="38">
        <f t="shared" si="39"/>
        <v>0</v>
      </c>
      <c r="AW1189" s="38">
        <f t="shared" si="40"/>
        <v>0</v>
      </c>
      <c r="AX1189" s="38">
        <f t="shared" si="41"/>
        <v>0</v>
      </c>
      <c r="AY1189" s="72" t="s">
        <v>2099</v>
      </c>
      <c r="AZ1189" s="72" t="s">
        <v>2050</v>
      </c>
      <c r="BA1189" s="50" t="s">
        <v>2006</v>
      </c>
      <c r="BC1189" s="38">
        <f t="shared" si="42"/>
        <v>0</v>
      </c>
      <c r="BD1189" s="38">
        <f t="shared" si="43"/>
        <v>0</v>
      </c>
      <c r="BE1189" s="38">
        <v>0</v>
      </c>
      <c r="BF1189" s="38">
        <f t="shared" si="44"/>
        <v>0</v>
      </c>
      <c r="BH1189" s="38">
        <f t="shared" si="45"/>
        <v>0</v>
      </c>
      <c r="BI1189" s="38">
        <f t="shared" si="46"/>
        <v>0</v>
      </c>
      <c r="BJ1189" s="38">
        <f t="shared" si="47"/>
        <v>0</v>
      </c>
      <c r="BK1189" s="38"/>
      <c r="BL1189" s="38">
        <v>722</v>
      </c>
      <c r="BW1189" s="38">
        <v>21</v>
      </c>
    </row>
    <row r="1190" spans="1:75" ht="13.5" customHeight="1">
      <c r="A1190" s="1" t="s">
        <v>2158</v>
      </c>
      <c r="B1190" s="2" t="s">
        <v>87</v>
      </c>
      <c r="C1190" s="2" t="s">
        <v>2159</v>
      </c>
      <c r="D1190" s="108" t="s">
        <v>2160</v>
      </c>
      <c r="E1190" s="103"/>
      <c r="F1190" s="2" t="s">
        <v>1593</v>
      </c>
      <c r="G1190" s="38">
        <v>3</v>
      </c>
      <c r="H1190" s="70">
        <v>0</v>
      </c>
      <c r="I1190" s="38">
        <f t="shared" si="24"/>
        <v>0</v>
      </c>
      <c r="J1190" s="38">
        <v>0</v>
      </c>
      <c r="K1190" s="38">
        <f t="shared" si="25"/>
        <v>0</v>
      </c>
      <c r="L1190" s="71" t="s">
        <v>207</v>
      </c>
      <c r="Z1190" s="38">
        <f t="shared" si="26"/>
        <v>0</v>
      </c>
      <c r="AB1190" s="38">
        <f t="shared" si="27"/>
        <v>0</v>
      </c>
      <c r="AC1190" s="38">
        <f t="shared" si="28"/>
        <v>0</v>
      </c>
      <c r="AD1190" s="38">
        <f t="shared" si="29"/>
        <v>0</v>
      </c>
      <c r="AE1190" s="38">
        <f t="shared" si="30"/>
        <v>0</v>
      </c>
      <c r="AF1190" s="38">
        <f t="shared" si="31"/>
        <v>0</v>
      </c>
      <c r="AG1190" s="38">
        <f t="shared" si="32"/>
        <v>0</v>
      </c>
      <c r="AH1190" s="38">
        <f t="shared" si="33"/>
        <v>0</v>
      </c>
      <c r="AI1190" s="50" t="s">
        <v>87</v>
      </c>
      <c r="AJ1190" s="38">
        <f t="shared" si="34"/>
        <v>0</v>
      </c>
      <c r="AK1190" s="38">
        <f t="shared" si="35"/>
        <v>0</v>
      </c>
      <c r="AL1190" s="38">
        <f t="shared" si="36"/>
        <v>0</v>
      </c>
      <c r="AN1190" s="38">
        <v>21</v>
      </c>
      <c r="AO1190" s="38">
        <f t="shared" si="37"/>
        <v>0</v>
      </c>
      <c r="AP1190" s="38">
        <f t="shared" si="38"/>
        <v>0</v>
      </c>
      <c r="AQ1190" s="72" t="s">
        <v>169</v>
      </c>
      <c r="AV1190" s="38">
        <f t="shared" si="39"/>
        <v>0</v>
      </c>
      <c r="AW1190" s="38">
        <f t="shared" si="40"/>
        <v>0</v>
      </c>
      <c r="AX1190" s="38">
        <f t="shared" si="41"/>
        <v>0</v>
      </c>
      <c r="AY1190" s="72" t="s">
        <v>2099</v>
      </c>
      <c r="AZ1190" s="72" t="s">
        <v>2050</v>
      </c>
      <c r="BA1190" s="50" t="s">
        <v>2006</v>
      </c>
      <c r="BC1190" s="38">
        <f t="shared" si="42"/>
        <v>0</v>
      </c>
      <c r="BD1190" s="38">
        <f t="shared" si="43"/>
        <v>0</v>
      </c>
      <c r="BE1190" s="38">
        <v>0</v>
      </c>
      <c r="BF1190" s="38">
        <f t="shared" si="44"/>
        <v>0</v>
      </c>
      <c r="BH1190" s="38">
        <f t="shared" si="45"/>
        <v>0</v>
      </c>
      <c r="BI1190" s="38">
        <f t="shared" si="46"/>
        <v>0</v>
      </c>
      <c r="BJ1190" s="38">
        <f t="shared" si="47"/>
        <v>0</v>
      </c>
      <c r="BK1190" s="38"/>
      <c r="BL1190" s="38">
        <v>722</v>
      </c>
      <c r="BW1190" s="38">
        <v>21</v>
      </c>
    </row>
    <row r="1191" spans="1:75" ht="13.5" customHeight="1">
      <c r="A1191" s="1" t="s">
        <v>2161</v>
      </c>
      <c r="B1191" s="2" t="s">
        <v>87</v>
      </c>
      <c r="C1191" s="2" t="s">
        <v>2162</v>
      </c>
      <c r="D1191" s="108" t="s">
        <v>2163</v>
      </c>
      <c r="E1191" s="103"/>
      <c r="F1191" s="2" t="s">
        <v>214</v>
      </c>
      <c r="G1191" s="38">
        <v>225</v>
      </c>
      <c r="H1191" s="70">
        <v>0</v>
      </c>
      <c r="I1191" s="38">
        <f t="shared" si="24"/>
        <v>0</v>
      </c>
      <c r="J1191" s="38">
        <v>0</v>
      </c>
      <c r="K1191" s="38">
        <f t="shared" si="25"/>
        <v>0</v>
      </c>
      <c r="L1191" s="71" t="s">
        <v>207</v>
      </c>
      <c r="Z1191" s="38">
        <f t="shared" si="26"/>
        <v>0</v>
      </c>
      <c r="AB1191" s="38">
        <f t="shared" si="27"/>
        <v>0</v>
      </c>
      <c r="AC1191" s="38">
        <f t="shared" si="28"/>
        <v>0</v>
      </c>
      <c r="AD1191" s="38">
        <f t="shared" si="29"/>
        <v>0</v>
      </c>
      <c r="AE1191" s="38">
        <f t="shared" si="30"/>
        <v>0</v>
      </c>
      <c r="AF1191" s="38">
        <f t="shared" si="31"/>
        <v>0</v>
      </c>
      <c r="AG1191" s="38">
        <f t="shared" si="32"/>
        <v>0</v>
      </c>
      <c r="AH1191" s="38">
        <f t="shared" si="33"/>
        <v>0</v>
      </c>
      <c r="AI1191" s="50" t="s">
        <v>87</v>
      </c>
      <c r="AJ1191" s="38">
        <f t="shared" si="34"/>
        <v>0</v>
      </c>
      <c r="AK1191" s="38">
        <f t="shared" si="35"/>
        <v>0</v>
      </c>
      <c r="AL1191" s="38">
        <f t="shared" si="36"/>
        <v>0</v>
      </c>
      <c r="AN1191" s="38">
        <v>21</v>
      </c>
      <c r="AO1191" s="38">
        <f t="shared" si="37"/>
        <v>0</v>
      </c>
      <c r="AP1191" s="38">
        <f t="shared" si="38"/>
        <v>0</v>
      </c>
      <c r="AQ1191" s="72" t="s">
        <v>169</v>
      </c>
      <c r="AV1191" s="38">
        <f t="shared" si="39"/>
        <v>0</v>
      </c>
      <c r="AW1191" s="38">
        <f t="shared" si="40"/>
        <v>0</v>
      </c>
      <c r="AX1191" s="38">
        <f t="shared" si="41"/>
        <v>0</v>
      </c>
      <c r="AY1191" s="72" t="s">
        <v>2099</v>
      </c>
      <c r="AZ1191" s="72" t="s">
        <v>2050</v>
      </c>
      <c r="BA1191" s="50" t="s">
        <v>2006</v>
      </c>
      <c r="BC1191" s="38">
        <f t="shared" si="42"/>
        <v>0</v>
      </c>
      <c r="BD1191" s="38">
        <f t="shared" si="43"/>
        <v>0</v>
      </c>
      <c r="BE1191" s="38">
        <v>0</v>
      </c>
      <c r="BF1191" s="38">
        <f t="shared" si="44"/>
        <v>0</v>
      </c>
      <c r="BH1191" s="38">
        <f t="shared" si="45"/>
        <v>0</v>
      </c>
      <c r="BI1191" s="38">
        <f t="shared" si="46"/>
        <v>0</v>
      </c>
      <c r="BJ1191" s="38">
        <f t="shared" si="47"/>
        <v>0</v>
      </c>
      <c r="BK1191" s="38"/>
      <c r="BL1191" s="38">
        <v>722</v>
      </c>
      <c r="BW1191" s="38">
        <v>21</v>
      </c>
    </row>
    <row r="1192" spans="1:75" ht="13.5" customHeight="1">
      <c r="A1192" s="1" t="s">
        <v>2164</v>
      </c>
      <c r="B1192" s="2" t="s">
        <v>87</v>
      </c>
      <c r="C1192" s="2" t="s">
        <v>2165</v>
      </c>
      <c r="D1192" s="108" t="s">
        <v>2166</v>
      </c>
      <c r="E1192" s="103"/>
      <c r="F1192" s="2" t="s">
        <v>214</v>
      </c>
      <c r="G1192" s="38">
        <v>225</v>
      </c>
      <c r="H1192" s="70">
        <v>0</v>
      </c>
      <c r="I1192" s="38">
        <f t="shared" si="24"/>
        <v>0</v>
      </c>
      <c r="J1192" s="38">
        <v>0</v>
      </c>
      <c r="K1192" s="38">
        <f t="shared" si="25"/>
        <v>0</v>
      </c>
      <c r="L1192" s="71" t="s">
        <v>207</v>
      </c>
      <c r="Z1192" s="38">
        <f t="shared" si="26"/>
        <v>0</v>
      </c>
      <c r="AB1192" s="38">
        <f t="shared" si="27"/>
        <v>0</v>
      </c>
      <c r="AC1192" s="38">
        <f t="shared" si="28"/>
        <v>0</v>
      </c>
      <c r="AD1192" s="38">
        <f t="shared" si="29"/>
        <v>0</v>
      </c>
      <c r="AE1192" s="38">
        <f t="shared" si="30"/>
        <v>0</v>
      </c>
      <c r="AF1192" s="38">
        <f t="shared" si="31"/>
        <v>0</v>
      </c>
      <c r="AG1192" s="38">
        <f t="shared" si="32"/>
        <v>0</v>
      </c>
      <c r="AH1192" s="38">
        <f t="shared" si="33"/>
        <v>0</v>
      </c>
      <c r="AI1192" s="50" t="s">
        <v>87</v>
      </c>
      <c r="AJ1192" s="38">
        <f t="shared" si="34"/>
        <v>0</v>
      </c>
      <c r="AK1192" s="38">
        <f t="shared" si="35"/>
        <v>0</v>
      </c>
      <c r="AL1192" s="38">
        <f t="shared" si="36"/>
        <v>0</v>
      </c>
      <c r="AN1192" s="38">
        <v>21</v>
      </c>
      <c r="AO1192" s="38">
        <f t="shared" si="37"/>
        <v>0</v>
      </c>
      <c r="AP1192" s="38">
        <f t="shared" si="38"/>
        <v>0</v>
      </c>
      <c r="AQ1192" s="72" t="s">
        <v>169</v>
      </c>
      <c r="AV1192" s="38">
        <f t="shared" si="39"/>
        <v>0</v>
      </c>
      <c r="AW1192" s="38">
        <f t="shared" si="40"/>
        <v>0</v>
      </c>
      <c r="AX1192" s="38">
        <f t="shared" si="41"/>
        <v>0</v>
      </c>
      <c r="AY1192" s="72" t="s">
        <v>2099</v>
      </c>
      <c r="AZ1192" s="72" t="s">
        <v>2050</v>
      </c>
      <c r="BA1192" s="50" t="s">
        <v>2006</v>
      </c>
      <c r="BC1192" s="38">
        <f t="shared" si="42"/>
        <v>0</v>
      </c>
      <c r="BD1192" s="38">
        <f t="shared" si="43"/>
        <v>0</v>
      </c>
      <c r="BE1192" s="38">
        <v>0</v>
      </c>
      <c r="BF1192" s="38">
        <f t="shared" si="44"/>
        <v>0</v>
      </c>
      <c r="BH1192" s="38">
        <f t="shared" si="45"/>
        <v>0</v>
      </c>
      <c r="BI1192" s="38">
        <f t="shared" si="46"/>
        <v>0</v>
      </c>
      <c r="BJ1192" s="38">
        <f t="shared" si="47"/>
        <v>0</v>
      </c>
      <c r="BK1192" s="38"/>
      <c r="BL1192" s="38">
        <v>722</v>
      </c>
      <c r="BW1192" s="38">
        <v>21</v>
      </c>
    </row>
    <row r="1193" spans="1:75" ht="13.5" customHeight="1">
      <c r="A1193" s="1" t="s">
        <v>2167</v>
      </c>
      <c r="B1193" s="2" t="s">
        <v>87</v>
      </c>
      <c r="C1193" s="2" t="s">
        <v>2168</v>
      </c>
      <c r="D1193" s="108" t="s">
        <v>2169</v>
      </c>
      <c r="E1193" s="103"/>
      <c r="F1193" s="2" t="s">
        <v>189</v>
      </c>
      <c r="G1193" s="38">
        <v>0.81</v>
      </c>
      <c r="H1193" s="70">
        <v>0</v>
      </c>
      <c r="I1193" s="38">
        <f t="shared" si="24"/>
        <v>0</v>
      </c>
      <c r="J1193" s="38">
        <v>0</v>
      </c>
      <c r="K1193" s="38">
        <f t="shared" si="25"/>
        <v>0</v>
      </c>
      <c r="L1193" s="71" t="s">
        <v>207</v>
      </c>
      <c r="Z1193" s="38">
        <f t="shared" si="26"/>
        <v>0</v>
      </c>
      <c r="AB1193" s="38">
        <f t="shared" si="27"/>
        <v>0</v>
      </c>
      <c r="AC1193" s="38">
        <f t="shared" si="28"/>
        <v>0</v>
      </c>
      <c r="AD1193" s="38">
        <f t="shared" si="29"/>
        <v>0</v>
      </c>
      <c r="AE1193" s="38">
        <f t="shared" si="30"/>
        <v>0</v>
      </c>
      <c r="AF1193" s="38">
        <f t="shared" si="31"/>
        <v>0</v>
      </c>
      <c r="AG1193" s="38">
        <f t="shared" si="32"/>
        <v>0</v>
      </c>
      <c r="AH1193" s="38">
        <f t="shared" si="33"/>
        <v>0</v>
      </c>
      <c r="AI1193" s="50" t="s">
        <v>87</v>
      </c>
      <c r="AJ1193" s="38">
        <f t="shared" si="34"/>
        <v>0</v>
      </c>
      <c r="AK1193" s="38">
        <f t="shared" si="35"/>
        <v>0</v>
      </c>
      <c r="AL1193" s="38">
        <f t="shared" si="36"/>
        <v>0</v>
      </c>
      <c r="AN1193" s="38">
        <v>21</v>
      </c>
      <c r="AO1193" s="38">
        <f t="shared" si="37"/>
        <v>0</v>
      </c>
      <c r="AP1193" s="38">
        <f t="shared" si="38"/>
        <v>0</v>
      </c>
      <c r="AQ1193" s="72" t="s">
        <v>162</v>
      </c>
      <c r="AV1193" s="38">
        <f t="shared" si="39"/>
        <v>0</v>
      </c>
      <c r="AW1193" s="38">
        <f t="shared" si="40"/>
        <v>0</v>
      </c>
      <c r="AX1193" s="38">
        <f t="shared" si="41"/>
        <v>0</v>
      </c>
      <c r="AY1193" s="72" t="s">
        <v>2099</v>
      </c>
      <c r="AZ1193" s="72" t="s">
        <v>2050</v>
      </c>
      <c r="BA1193" s="50" t="s">
        <v>2006</v>
      </c>
      <c r="BC1193" s="38">
        <f t="shared" si="42"/>
        <v>0</v>
      </c>
      <c r="BD1193" s="38">
        <f t="shared" si="43"/>
        <v>0</v>
      </c>
      <c r="BE1193" s="38">
        <v>0</v>
      </c>
      <c r="BF1193" s="38">
        <f t="shared" si="44"/>
        <v>0</v>
      </c>
      <c r="BH1193" s="38">
        <f t="shared" si="45"/>
        <v>0</v>
      </c>
      <c r="BI1193" s="38">
        <f t="shared" si="46"/>
        <v>0</v>
      </c>
      <c r="BJ1193" s="38">
        <f t="shared" si="47"/>
        <v>0</v>
      </c>
      <c r="BK1193" s="38"/>
      <c r="BL1193" s="38">
        <v>722</v>
      </c>
      <c r="BW1193" s="38">
        <v>21</v>
      </c>
    </row>
    <row r="1194" spans="1:47" ht="15">
      <c r="A1194" s="65" t="s">
        <v>4</v>
      </c>
      <c r="B1194" s="66" t="s">
        <v>87</v>
      </c>
      <c r="C1194" s="66" t="s">
        <v>2170</v>
      </c>
      <c r="D1194" s="192" t="s">
        <v>2171</v>
      </c>
      <c r="E1194" s="193"/>
      <c r="F1194" s="67" t="s">
        <v>78</v>
      </c>
      <c r="G1194" s="67" t="s">
        <v>78</v>
      </c>
      <c r="H1194" s="68" t="s">
        <v>78</v>
      </c>
      <c r="I1194" s="44">
        <f>SUM(I1195:I1197)</f>
        <v>0</v>
      </c>
      <c r="J1194" s="50" t="s">
        <v>4</v>
      </c>
      <c r="K1194" s="44">
        <f>SUM(K1195:K1197)</f>
        <v>0</v>
      </c>
      <c r="L1194" s="69" t="s">
        <v>4</v>
      </c>
      <c r="AI1194" s="50" t="s">
        <v>87</v>
      </c>
      <c r="AS1194" s="44">
        <f>SUM(AJ1195:AJ1197)</f>
        <v>0</v>
      </c>
      <c r="AT1194" s="44">
        <f>SUM(AK1195:AK1197)</f>
        <v>0</v>
      </c>
      <c r="AU1194" s="44">
        <f>SUM(AL1195:AL1197)</f>
        <v>0</v>
      </c>
    </row>
    <row r="1195" spans="1:75" ht="13.5" customHeight="1">
      <c r="A1195" s="1" t="s">
        <v>2172</v>
      </c>
      <c r="B1195" s="2" t="s">
        <v>87</v>
      </c>
      <c r="C1195" s="2" t="s">
        <v>2173</v>
      </c>
      <c r="D1195" s="108" t="s">
        <v>2174</v>
      </c>
      <c r="E1195" s="103"/>
      <c r="F1195" s="2" t="s">
        <v>214</v>
      </c>
      <c r="G1195" s="38">
        <v>4</v>
      </c>
      <c r="H1195" s="70">
        <v>0</v>
      </c>
      <c r="I1195" s="38">
        <f>G1195*H1195</f>
        <v>0</v>
      </c>
      <c r="J1195" s="38">
        <v>0</v>
      </c>
      <c r="K1195" s="38">
        <f>G1195*J1195</f>
        <v>0</v>
      </c>
      <c r="L1195" s="71" t="s">
        <v>207</v>
      </c>
      <c r="Z1195" s="38">
        <f>IF(AQ1195="5",BJ1195,0)</f>
        <v>0</v>
      </c>
      <c r="AB1195" s="38">
        <f>IF(AQ1195="1",BH1195,0)</f>
        <v>0</v>
      </c>
      <c r="AC1195" s="38">
        <f>IF(AQ1195="1",BI1195,0)</f>
        <v>0</v>
      </c>
      <c r="AD1195" s="38">
        <f>IF(AQ1195="7",BH1195,0)</f>
        <v>0</v>
      </c>
      <c r="AE1195" s="38">
        <f>IF(AQ1195="7",BI1195,0)</f>
        <v>0</v>
      </c>
      <c r="AF1195" s="38">
        <f>IF(AQ1195="2",BH1195,0)</f>
        <v>0</v>
      </c>
      <c r="AG1195" s="38">
        <f>IF(AQ1195="2",BI1195,0)</f>
        <v>0</v>
      </c>
      <c r="AH1195" s="38">
        <f>IF(AQ1195="0",BJ1195,0)</f>
        <v>0</v>
      </c>
      <c r="AI1195" s="50" t="s">
        <v>87</v>
      </c>
      <c r="AJ1195" s="38">
        <f>IF(AN1195=0,I1195,0)</f>
        <v>0</v>
      </c>
      <c r="AK1195" s="38">
        <f>IF(AN1195=12,I1195,0)</f>
        <v>0</v>
      </c>
      <c r="AL1195" s="38">
        <f>IF(AN1195=21,I1195,0)</f>
        <v>0</v>
      </c>
      <c r="AN1195" s="38">
        <v>21</v>
      </c>
      <c r="AO1195" s="38">
        <f>H1195*0</f>
        <v>0</v>
      </c>
      <c r="AP1195" s="38">
        <f>H1195*(1-0)</f>
        <v>0</v>
      </c>
      <c r="AQ1195" s="72" t="s">
        <v>169</v>
      </c>
      <c r="AV1195" s="38">
        <f>AW1195+AX1195</f>
        <v>0</v>
      </c>
      <c r="AW1195" s="38">
        <f>G1195*AO1195</f>
        <v>0</v>
      </c>
      <c r="AX1195" s="38">
        <f>G1195*AP1195</f>
        <v>0</v>
      </c>
      <c r="AY1195" s="72" t="s">
        <v>2175</v>
      </c>
      <c r="AZ1195" s="72" t="s">
        <v>2050</v>
      </c>
      <c r="BA1195" s="50" t="s">
        <v>2006</v>
      </c>
      <c r="BC1195" s="38">
        <f>AW1195+AX1195</f>
        <v>0</v>
      </c>
      <c r="BD1195" s="38">
        <f>H1195/(100-BE1195)*100</f>
        <v>0</v>
      </c>
      <c r="BE1195" s="38">
        <v>0</v>
      </c>
      <c r="BF1195" s="38">
        <f>K1195</f>
        <v>0</v>
      </c>
      <c r="BH1195" s="38">
        <f>G1195*AO1195</f>
        <v>0</v>
      </c>
      <c r="BI1195" s="38">
        <f>G1195*AP1195</f>
        <v>0</v>
      </c>
      <c r="BJ1195" s="38">
        <f>G1195*H1195</f>
        <v>0</v>
      </c>
      <c r="BK1195" s="38"/>
      <c r="BL1195" s="38">
        <v>723</v>
      </c>
      <c r="BW1195" s="38">
        <v>21</v>
      </c>
    </row>
    <row r="1196" spans="1:75" ht="13.5" customHeight="1">
      <c r="A1196" s="1" t="s">
        <v>2176</v>
      </c>
      <c r="B1196" s="2" t="s">
        <v>87</v>
      </c>
      <c r="C1196" s="2" t="s">
        <v>2177</v>
      </c>
      <c r="D1196" s="108" t="s">
        <v>2178</v>
      </c>
      <c r="E1196" s="103"/>
      <c r="F1196" s="2" t="s">
        <v>214</v>
      </c>
      <c r="G1196" s="38">
        <v>6</v>
      </c>
      <c r="H1196" s="70">
        <v>0</v>
      </c>
      <c r="I1196" s="38">
        <f>G1196*H1196</f>
        <v>0</v>
      </c>
      <c r="J1196" s="38">
        <v>0</v>
      </c>
      <c r="K1196" s="38">
        <f>G1196*J1196</f>
        <v>0</v>
      </c>
      <c r="L1196" s="71" t="s">
        <v>207</v>
      </c>
      <c r="Z1196" s="38">
        <f>IF(AQ1196="5",BJ1196,0)</f>
        <v>0</v>
      </c>
      <c r="AB1196" s="38">
        <f>IF(AQ1196="1",BH1196,0)</f>
        <v>0</v>
      </c>
      <c r="AC1196" s="38">
        <f>IF(AQ1196="1",BI1196,0)</f>
        <v>0</v>
      </c>
      <c r="AD1196" s="38">
        <f>IF(AQ1196="7",BH1196,0)</f>
        <v>0</v>
      </c>
      <c r="AE1196" s="38">
        <f>IF(AQ1196="7",BI1196,0)</f>
        <v>0</v>
      </c>
      <c r="AF1196" s="38">
        <f>IF(AQ1196="2",BH1196,0)</f>
        <v>0</v>
      </c>
      <c r="AG1196" s="38">
        <f>IF(AQ1196="2",BI1196,0)</f>
        <v>0</v>
      </c>
      <c r="AH1196" s="38">
        <f>IF(AQ1196="0",BJ1196,0)</f>
        <v>0</v>
      </c>
      <c r="AI1196" s="50" t="s">
        <v>87</v>
      </c>
      <c r="AJ1196" s="38">
        <f>IF(AN1196=0,I1196,0)</f>
        <v>0</v>
      </c>
      <c r="AK1196" s="38">
        <f>IF(AN1196=12,I1196,0)</f>
        <v>0</v>
      </c>
      <c r="AL1196" s="38">
        <f>IF(AN1196=21,I1196,0)</f>
        <v>0</v>
      </c>
      <c r="AN1196" s="38">
        <v>21</v>
      </c>
      <c r="AO1196" s="38">
        <f>H1196*0</f>
        <v>0</v>
      </c>
      <c r="AP1196" s="38">
        <f>H1196*(1-0)</f>
        <v>0</v>
      </c>
      <c r="AQ1196" s="72" t="s">
        <v>169</v>
      </c>
      <c r="AV1196" s="38">
        <f>AW1196+AX1196</f>
        <v>0</v>
      </c>
      <c r="AW1196" s="38">
        <f>G1196*AO1196</f>
        <v>0</v>
      </c>
      <c r="AX1196" s="38">
        <f>G1196*AP1196</f>
        <v>0</v>
      </c>
      <c r="AY1196" s="72" t="s">
        <v>2175</v>
      </c>
      <c r="AZ1196" s="72" t="s">
        <v>2050</v>
      </c>
      <c r="BA1196" s="50" t="s">
        <v>2006</v>
      </c>
      <c r="BC1196" s="38">
        <f>AW1196+AX1196</f>
        <v>0</v>
      </c>
      <c r="BD1196" s="38">
        <f>H1196/(100-BE1196)*100</f>
        <v>0</v>
      </c>
      <c r="BE1196" s="38">
        <v>0</v>
      </c>
      <c r="BF1196" s="38">
        <f>K1196</f>
        <v>0</v>
      </c>
      <c r="BH1196" s="38">
        <f>G1196*AO1196</f>
        <v>0</v>
      </c>
      <c r="BI1196" s="38">
        <f>G1196*AP1196</f>
        <v>0</v>
      </c>
      <c r="BJ1196" s="38">
        <f>G1196*H1196</f>
        <v>0</v>
      </c>
      <c r="BK1196" s="38"/>
      <c r="BL1196" s="38">
        <v>723</v>
      </c>
      <c r="BW1196" s="38">
        <v>21</v>
      </c>
    </row>
    <row r="1197" spans="1:75" ht="13.5" customHeight="1">
      <c r="A1197" s="1" t="s">
        <v>2179</v>
      </c>
      <c r="B1197" s="2" t="s">
        <v>87</v>
      </c>
      <c r="C1197" s="2" t="s">
        <v>2180</v>
      </c>
      <c r="D1197" s="108" t="s">
        <v>2181</v>
      </c>
      <c r="E1197" s="103"/>
      <c r="F1197" s="2" t="s">
        <v>214</v>
      </c>
      <c r="G1197" s="38">
        <v>12</v>
      </c>
      <c r="H1197" s="70">
        <v>0</v>
      </c>
      <c r="I1197" s="38">
        <f>G1197*H1197</f>
        <v>0</v>
      </c>
      <c r="J1197" s="38">
        <v>0</v>
      </c>
      <c r="K1197" s="38">
        <f>G1197*J1197</f>
        <v>0</v>
      </c>
      <c r="L1197" s="71" t="s">
        <v>207</v>
      </c>
      <c r="Z1197" s="38">
        <f>IF(AQ1197="5",BJ1197,0)</f>
        <v>0</v>
      </c>
      <c r="AB1197" s="38">
        <f>IF(AQ1197="1",BH1197,0)</f>
        <v>0</v>
      </c>
      <c r="AC1197" s="38">
        <f>IF(AQ1197="1",BI1197,0)</f>
        <v>0</v>
      </c>
      <c r="AD1197" s="38">
        <f>IF(AQ1197="7",BH1197,0)</f>
        <v>0</v>
      </c>
      <c r="AE1197" s="38">
        <f>IF(AQ1197="7",BI1197,0)</f>
        <v>0</v>
      </c>
      <c r="AF1197" s="38">
        <f>IF(AQ1197="2",BH1197,0)</f>
        <v>0</v>
      </c>
      <c r="AG1197" s="38">
        <f>IF(AQ1197="2",BI1197,0)</f>
        <v>0</v>
      </c>
      <c r="AH1197" s="38">
        <f>IF(AQ1197="0",BJ1197,0)</f>
        <v>0</v>
      </c>
      <c r="AI1197" s="50" t="s">
        <v>87</v>
      </c>
      <c r="AJ1197" s="38">
        <f>IF(AN1197=0,I1197,0)</f>
        <v>0</v>
      </c>
      <c r="AK1197" s="38">
        <f>IF(AN1197=12,I1197,0)</f>
        <v>0</v>
      </c>
      <c r="AL1197" s="38">
        <f>IF(AN1197=21,I1197,0)</f>
        <v>0</v>
      </c>
      <c r="AN1197" s="38">
        <v>21</v>
      </c>
      <c r="AO1197" s="38">
        <f>H1197*0</f>
        <v>0</v>
      </c>
      <c r="AP1197" s="38">
        <f>H1197*(1-0)</f>
        <v>0</v>
      </c>
      <c r="AQ1197" s="72" t="s">
        <v>169</v>
      </c>
      <c r="AV1197" s="38">
        <f>AW1197+AX1197</f>
        <v>0</v>
      </c>
      <c r="AW1197" s="38">
        <f>G1197*AO1197</f>
        <v>0</v>
      </c>
      <c r="AX1197" s="38">
        <f>G1197*AP1197</f>
        <v>0</v>
      </c>
      <c r="AY1197" s="72" t="s">
        <v>2175</v>
      </c>
      <c r="AZ1197" s="72" t="s">
        <v>2050</v>
      </c>
      <c r="BA1197" s="50" t="s">
        <v>2006</v>
      </c>
      <c r="BC1197" s="38">
        <f>AW1197+AX1197</f>
        <v>0</v>
      </c>
      <c r="BD1197" s="38">
        <f>H1197/(100-BE1197)*100</f>
        <v>0</v>
      </c>
      <c r="BE1197" s="38">
        <v>0</v>
      </c>
      <c r="BF1197" s="38">
        <f>K1197</f>
        <v>0</v>
      </c>
      <c r="BH1197" s="38">
        <f>G1197*AO1197</f>
        <v>0</v>
      </c>
      <c r="BI1197" s="38">
        <f>G1197*AP1197</f>
        <v>0</v>
      </c>
      <c r="BJ1197" s="38">
        <f>G1197*H1197</f>
        <v>0</v>
      </c>
      <c r="BK1197" s="38"/>
      <c r="BL1197" s="38">
        <v>723</v>
      </c>
      <c r="BW1197" s="38">
        <v>21</v>
      </c>
    </row>
    <row r="1198" spans="1:47" ht="15">
      <c r="A1198" s="65" t="s">
        <v>4</v>
      </c>
      <c r="B1198" s="66" t="s">
        <v>87</v>
      </c>
      <c r="C1198" s="66" t="s">
        <v>2182</v>
      </c>
      <c r="D1198" s="192" t="s">
        <v>2183</v>
      </c>
      <c r="E1198" s="193"/>
      <c r="F1198" s="67" t="s">
        <v>78</v>
      </c>
      <c r="G1198" s="67" t="s">
        <v>78</v>
      </c>
      <c r="H1198" s="68" t="s">
        <v>78</v>
      </c>
      <c r="I1198" s="44">
        <f>SUM(I1199:I1215)</f>
        <v>0</v>
      </c>
      <c r="J1198" s="50" t="s">
        <v>4</v>
      </c>
      <c r="K1198" s="44">
        <f>SUM(K1199:K1215)</f>
        <v>0</v>
      </c>
      <c r="L1198" s="69" t="s">
        <v>4</v>
      </c>
      <c r="AI1198" s="50" t="s">
        <v>87</v>
      </c>
      <c r="AS1198" s="44">
        <f>SUM(AJ1199:AJ1215)</f>
        <v>0</v>
      </c>
      <c r="AT1198" s="44">
        <f>SUM(AK1199:AK1215)</f>
        <v>0</v>
      </c>
      <c r="AU1198" s="44">
        <f>SUM(AL1199:AL1215)</f>
        <v>0</v>
      </c>
    </row>
    <row r="1199" spans="1:75" ht="13.5" customHeight="1">
      <c r="A1199" s="1" t="s">
        <v>2184</v>
      </c>
      <c r="B1199" s="2" t="s">
        <v>87</v>
      </c>
      <c r="C1199" s="2" t="s">
        <v>2185</v>
      </c>
      <c r="D1199" s="108" t="s">
        <v>2186</v>
      </c>
      <c r="E1199" s="103"/>
      <c r="F1199" s="2" t="s">
        <v>1593</v>
      </c>
      <c r="G1199" s="38">
        <v>5</v>
      </c>
      <c r="H1199" s="70">
        <v>0</v>
      </c>
      <c r="I1199" s="38">
        <f aca="true" t="shared" si="48" ref="I1199:I1215">G1199*H1199</f>
        <v>0</v>
      </c>
      <c r="J1199" s="38">
        <v>0</v>
      </c>
      <c r="K1199" s="38">
        <f aca="true" t="shared" si="49" ref="K1199:K1215">G1199*J1199</f>
        <v>0</v>
      </c>
      <c r="L1199" s="71" t="s">
        <v>207</v>
      </c>
      <c r="Z1199" s="38">
        <f aca="true" t="shared" si="50" ref="Z1199:Z1215">IF(AQ1199="5",BJ1199,0)</f>
        <v>0</v>
      </c>
      <c r="AB1199" s="38">
        <f aca="true" t="shared" si="51" ref="AB1199:AB1215">IF(AQ1199="1",BH1199,0)</f>
        <v>0</v>
      </c>
      <c r="AC1199" s="38">
        <f aca="true" t="shared" si="52" ref="AC1199:AC1215">IF(AQ1199="1",BI1199,0)</f>
        <v>0</v>
      </c>
      <c r="AD1199" s="38">
        <f aca="true" t="shared" si="53" ref="AD1199:AD1215">IF(AQ1199="7",BH1199,0)</f>
        <v>0</v>
      </c>
      <c r="AE1199" s="38">
        <f aca="true" t="shared" si="54" ref="AE1199:AE1215">IF(AQ1199="7",BI1199,0)</f>
        <v>0</v>
      </c>
      <c r="AF1199" s="38">
        <f aca="true" t="shared" si="55" ref="AF1199:AF1215">IF(AQ1199="2",BH1199,0)</f>
        <v>0</v>
      </c>
      <c r="AG1199" s="38">
        <f aca="true" t="shared" si="56" ref="AG1199:AG1215">IF(AQ1199="2",BI1199,0)</f>
        <v>0</v>
      </c>
      <c r="AH1199" s="38">
        <f aca="true" t="shared" si="57" ref="AH1199:AH1215">IF(AQ1199="0",BJ1199,0)</f>
        <v>0</v>
      </c>
      <c r="AI1199" s="50" t="s">
        <v>87</v>
      </c>
      <c r="AJ1199" s="38">
        <f aca="true" t="shared" si="58" ref="AJ1199:AJ1215">IF(AN1199=0,I1199,0)</f>
        <v>0</v>
      </c>
      <c r="AK1199" s="38">
        <f aca="true" t="shared" si="59" ref="AK1199:AK1215">IF(AN1199=12,I1199,0)</f>
        <v>0</v>
      </c>
      <c r="AL1199" s="38">
        <f aca="true" t="shared" si="60" ref="AL1199:AL1215">IF(AN1199=21,I1199,0)</f>
        <v>0</v>
      </c>
      <c r="AN1199" s="38">
        <v>21</v>
      </c>
      <c r="AO1199" s="38">
        <f aca="true" t="shared" si="61" ref="AO1199:AO1215">H1199*0</f>
        <v>0</v>
      </c>
      <c r="AP1199" s="38">
        <f aca="true" t="shared" si="62" ref="AP1199:AP1215">H1199*(1-0)</f>
        <v>0</v>
      </c>
      <c r="AQ1199" s="72" t="s">
        <v>169</v>
      </c>
      <c r="AV1199" s="38">
        <f aca="true" t="shared" si="63" ref="AV1199:AV1215">AW1199+AX1199</f>
        <v>0</v>
      </c>
      <c r="AW1199" s="38">
        <f aca="true" t="shared" si="64" ref="AW1199:AW1215">G1199*AO1199</f>
        <v>0</v>
      </c>
      <c r="AX1199" s="38">
        <f aca="true" t="shared" si="65" ref="AX1199:AX1215">G1199*AP1199</f>
        <v>0</v>
      </c>
      <c r="AY1199" s="72" t="s">
        <v>2187</v>
      </c>
      <c r="AZ1199" s="72" t="s">
        <v>2050</v>
      </c>
      <c r="BA1199" s="50" t="s">
        <v>2006</v>
      </c>
      <c r="BC1199" s="38">
        <f aca="true" t="shared" si="66" ref="BC1199:BC1215">AW1199+AX1199</f>
        <v>0</v>
      </c>
      <c r="BD1199" s="38">
        <f aca="true" t="shared" si="67" ref="BD1199:BD1215">H1199/(100-BE1199)*100</f>
        <v>0</v>
      </c>
      <c r="BE1199" s="38">
        <v>0</v>
      </c>
      <c r="BF1199" s="38">
        <f aca="true" t="shared" si="68" ref="BF1199:BF1215">K1199</f>
        <v>0</v>
      </c>
      <c r="BH1199" s="38">
        <f aca="true" t="shared" si="69" ref="BH1199:BH1215">G1199*AO1199</f>
        <v>0</v>
      </c>
      <c r="BI1199" s="38">
        <f aca="true" t="shared" si="70" ref="BI1199:BI1215">G1199*AP1199</f>
        <v>0</v>
      </c>
      <c r="BJ1199" s="38">
        <f aca="true" t="shared" si="71" ref="BJ1199:BJ1215">G1199*H1199</f>
        <v>0</v>
      </c>
      <c r="BK1199" s="38"/>
      <c r="BL1199" s="38">
        <v>725</v>
      </c>
      <c r="BW1199" s="38">
        <v>21</v>
      </c>
    </row>
    <row r="1200" spans="1:75" ht="27" customHeight="1">
      <c r="A1200" s="1" t="s">
        <v>2188</v>
      </c>
      <c r="B1200" s="2" t="s">
        <v>87</v>
      </c>
      <c r="C1200" s="2" t="s">
        <v>2189</v>
      </c>
      <c r="D1200" s="108" t="s">
        <v>2190</v>
      </c>
      <c r="E1200" s="103"/>
      <c r="F1200" s="2" t="s">
        <v>1593</v>
      </c>
      <c r="G1200" s="38">
        <v>1</v>
      </c>
      <c r="H1200" s="70">
        <v>0</v>
      </c>
      <c r="I1200" s="38">
        <f t="shared" si="48"/>
        <v>0</v>
      </c>
      <c r="J1200" s="38">
        <v>0</v>
      </c>
      <c r="K1200" s="38">
        <f t="shared" si="49"/>
        <v>0</v>
      </c>
      <c r="L1200" s="71" t="s">
        <v>207</v>
      </c>
      <c r="Z1200" s="38">
        <f t="shared" si="50"/>
        <v>0</v>
      </c>
      <c r="AB1200" s="38">
        <f t="shared" si="51"/>
        <v>0</v>
      </c>
      <c r="AC1200" s="38">
        <f t="shared" si="52"/>
        <v>0</v>
      </c>
      <c r="AD1200" s="38">
        <f t="shared" si="53"/>
        <v>0</v>
      </c>
      <c r="AE1200" s="38">
        <f t="shared" si="54"/>
        <v>0</v>
      </c>
      <c r="AF1200" s="38">
        <f t="shared" si="55"/>
        <v>0</v>
      </c>
      <c r="AG1200" s="38">
        <f t="shared" si="56"/>
        <v>0</v>
      </c>
      <c r="AH1200" s="38">
        <f t="shared" si="57"/>
        <v>0</v>
      </c>
      <c r="AI1200" s="50" t="s">
        <v>87</v>
      </c>
      <c r="AJ1200" s="38">
        <f t="shared" si="58"/>
        <v>0</v>
      </c>
      <c r="AK1200" s="38">
        <f t="shared" si="59"/>
        <v>0</v>
      </c>
      <c r="AL1200" s="38">
        <f t="shared" si="60"/>
        <v>0</v>
      </c>
      <c r="AN1200" s="38">
        <v>21</v>
      </c>
      <c r="AO1200" s="38">
        <f t="shared" si="61"/>
        <v>0</v>
      </c>
      <c r="AP1200" s="38">
        <f t="shared" si="62"/>
        <v>0</v>
      </c>
      <c r="AQ1200" s="72" t="s">
        <v>169</v>
      </c>
      <c r="AV1200" s="38">
        <f t="shared" si="63"/>
        <v>0</v>
      </c>
      <c r="AW1200" s="38">
        <f t="shared" si="64"/>
        <v>0</v>
      </c>
      <c r="AX1200" s="38">
        <f t="shared" si="65"/>
        <v>0</v>
      </c>
      <c r="AY1200" s="72" t="s">
        <v>2187</v>
      </c>
      <c r="AZ1200" s="72" t="s">
        <v>2050</v>
      </c>
      <c r="BA1200" s="50" t="s">
        <v>2006</v>
      </c>
      <c r="BC1200" s="38">
        <f t="shared" si="66"/>
        <v>0</v>
      </c>
      <c r="BD1200" s="38">
        <f t="shared" si="67"/>
        <v>0</v>
      </c>
      <c r="BE1200" s="38">
        <v>0</v>
      </c>
      <c r="BF1200" s="38">
        <f t="shared" si="68"/>
        <v>0</v>
      </c>
      <c r="BH1200" s="38">
        <f t="shared" si="69"/>
        <v>0</v>
      </c>
      <c r="BI1200" s="38">
        <f t="shared" si="70"/>
        <v>0</v>
      </c>
      <c r="BJ1200" s="38">
        <f t="shared" si="71"/>
        <v>0</v>
      </c>
      <c r="BK1200" s="38"/>
      <c r="BL1200" s="38">
        <v>725</v>
      </c>
      <c r="BW1200" s="38">
        <v>21</v>
      </c>
    </row>
    <row r="1201" spans="1:75" ht="13.5" customHeight="1">
      <c r="A1201" s="1" t="s">
        <v>2191</v>
      </c>
      <c r="B1201" s="2" t="s">
        <v>87</v>
      </c>
      <c r="C1201" s="2" t="s">
        <v>2192</v>
      </c>
      <c r="D1201" s="108" t="s">
        <v>2193</v>
      </c>
      <c r="E1201" s="103"/>
      <c r="F1201" s="2" t="s">
        <v>1593</v>
      </c>
      <c r="G1201" s="38">
        <v>2</v>
      </c>
      <c r="H1201" s="70">
        <v>0</v>
      </c>
      <c r="I1201" s="38">
        <f t="shared" si="48"/>
        <v>0</v>
      </c>
      <c r="J1201" s="38">
        <v>0</v>
      </c>
      <c r="K1201" s="38">
        <f t="shared" si="49"/>
        <v>0</v>
      </c>
      <c r="L1201" s="71" t="s">
        <v>207</v>
      </c>
      <c r="Z1201" s="38">
        <f t="shared" si="50"/>
        <v>0</v>
      </c>
      <c r="AB1201" s="38">
        <f t="shared" si="51"/>
        <v>0</v>
      </c>
      <c r="AC1201" s="38">
        <f t="shared" si="52"/>
        <v>0</v>
      </c>
      <c r="AD1201" s="38">
        <f t="shared" si="53"/>
        <v>0</v>
      </c>
      <c r="AE1201" s="38">
        <f t="shared" si="54"/>
        <v>0</v>
      </c>
      <c r="AF1201" s="38">
        <f t="shared" si="55"/>
        <v>0</v>
      </c>
      <c r="AG1201" s="38">
        <f t="shared" si="56"/>
        <v>0</v>
      </c>
      <c r="AH1201" s="38">
        <f t="shared" si="57"/>
        <v>0</v>
      </c>
      <c r="AI1201" s="50" t="s">
        <v>87</v>
      </c>
      <c r="AJ1201" s="38">
        <f t="shared" si="58"/>
        <v>0</v>
      </c>
      <c r="AK1201" s="38">
        <f t="shared" si="59"/>
        <v>0</v>
      </c>
      <c r="AL1201" s="38">
        <f t="shared" si="60"/>
        <v>0</v>
      </c>
      <c r="AN1201" s="38">
        <v>21</v>
      </c>
      <c r="AO1201" s="38">
        <f t="shared" si="61"/>
        <v>0</v>
      </c>
      <c r="AP1201" s="38">
        <f t="shared" si="62"/>
        <v>0</v>
      </c>
      <c r="AQ1201" s="72" t="s">
        <v>169</v>
      </c>
      <c r="AV1201" s="38">
        <f t="shared" si="63"/>
        <v>0</v>
      </c>
      <c r="AW1201" s="38">
        <f t="shared" si="64"/>
        <v>0</v>
      </c>
      <c r="AX1201" s="38">
        <f t="shared" si="65"/>
        <v>0</v>
      </c>
      <c r="AY1201" s="72" t="s">
        <v>2187</v>
      </c>
      <c r="AZ1201" s="72" t="s">
        <v>2050</v>
      </c>
      <c r="BA1201" s="50" t="s">
        <v>2006</v>
      </c>
      <c r="BC1201" s="38">
        <f t="shared" si="66"/>
        <v>0</v>
      </c>
      <c r="BD1201" s="38">
        <f t="shared" si="67"/>
        <v>0</v>
      </c>
      <c r="BE1201" s="38">
        <v>0</v>
      </c>
      <c r="BF1201" s="38">
        <f t="shared" si="68"/>
        <v>0</v>
      </c>
      <c r="BH1201" s="38">
        <f t="shared" si="69"/>
        <v>0</v>
      </c>
      <c r="BI1201" s="38">
        <f t="shared" si="70"/>
        <v>0</v>
      </c>
      <c r="BJ1201" s="38">
        <f t="shared" si="71"/>
        <v>0</v>
      </c>
      <c r="BK1201" s="38"/>
      <c r="BL1201" s="38">
        <v>725</v>
      </c>
      <c r="BW1201" s="38">
        <v>21</v>
      </c>
    </row>
    <row r="1202" spans="1:75" ht="13.5" customHeight="1">
      <c r="A1202" s="1" t="s">
        <v>2194</v>
      </c>
      <c r="B1202" s="2" t="s">
        <v>87</v>
      </c>
      <c r="C1202" s="2" t="s">
        <v>2195</v>
      </c>
      <c r="D1202" s="108" t="s">
        <v>2196</v>
      </c>
      <c r="E1202" s="103"/>
      <c r="F1202" s="2" t="s">
        <v>1593</v>
      </c>
      <c r="G1202" s="38">
        <v>1</v>
      </c>
      <c r="H1202" s="70">
        <v>0</v>
      </c>
      <c r="I1202" s="38">
        <f t="shared" si="48"/>
        <v>0</v>
      </c>
      <c r="J1202" s="38">
        <v>0</v>
      </c>
      <c r="K1202" s="38">
        <f t="shared" si="49"/>
        <v>0</v>
      </c>
      <c r="L1202" s="71" t="s">
        <v>207</v>
      </c>
      <c r="Z1202" s="38">
        <f t="shared" si="50"/>
        <v>0</v>
      </c>
      <c r="AB1202" s="38">
        <f t="shared" si="51"/>
        <v>0</v>
      </c>
      <c r="AC1202" s="38">
        <f t="shared" si="52"/>
        <v>0</v>
      </c>
      <c r="AD1202" s="38">
        <f t="shared" si="53"/>
        <v>0</v>
      </c>
      <c r="AE1202" s="38">
        <f t="shared" si="54"/>
        <v>0</v>
      </c>
      <c r="AF1202" s="38">
        <f t="shared" si="55"/>
        <v>0</v>
      </c>
      <c r="AG1202" s="38">
        <f t="shared" si="56"/>
        <v>0</v>
      </c>
      <c r="AH1202" s="38">
        <f t="shared" si="57"/>
        <v>0</v>
      </c>
      <c r="AI1202" s="50" t="s">
        <v>87</v>
      </c>
      <c r="AJ1202" s="38">
        <f t="shared" si="58"/>
        <v>0</v>
      </c>
      <c r="AK1202" s="38">
        <f t="shared" si="59"/>
        <v>0</v>
      </c>
      <c r="AL1202" s="38">
        <f t="shared" si="60"/>
        <v>0</v>
      </c>
      <c r="AN1202" s="38">
        <v>21</v>
      </c>
      <c r="AO1202" s="38">
        <f t="shared" si="61"/>
        <v>0</v>
      </c>
      <c r="AP1202" s="38">
        <f t="shared" si="62"/>
        <v>0</v>
      </c>
      <c r="AQ1202" s="72" t="s">
        <v>169</v>
      </c>
      <c r="AV1202" s="38">
        <f t="shared" si="63"/>
        <v>0</v>
      </c>
      <c r="AW1202" s="38">
        <f t="shared" si="64"/>
        <v>0</v>
      </c>
      <c r="AX1202" s="38">
        <f t="shared" si="65"/>
        <v>0</v>
      </c>
      <c r="AY1202" s="72" t="s">
        <v>2187</v>
      </c>
      <c r="AZ1202" s="72" t="s">
        <v>2050</v>
      </c>
      <c r="BA1202" s="50" t="s">
        <v>2006</v>
      </c>
      <c r="BC1202" s="38">
        <f t="shared" si="66"/>
        <v>0</v>
      </c>
      <c r="BD1202" s="38">
        <f t="shared" si="67"/>
        <v>0</v>
      </c>
      <c r="BE1202" s="38">
        <v>0</v>
      </c>
      <c r="BF1202" s="38">
        <f t="shared" si="68"/>
        <v>0</v>
      </c>
      <c r="BH1202" s="38">
        <f t="shared" si="69"/>
        <v>0</v>
      </c>
      <c r="BI1202" s="38">
        <f t="shared" si="70"/>
        <v>0</v>
      </c>
      <c r="BJ1202" s="38">
        <f t="shared" si="71"/>
        <v>0</v>
      </c>
      <c r="BK1202" s="38"/>
      <c r="BL1202" s="38">
        <v>725</v>
      </c>
      <c r="BW1202" s="38">
        <v>21</v>
      </c>
    </row>
    <row r="1203" spans="1:75" ht="13.5" customHeight="1">
      <c r="A1203" s="1" t="s">
        <v>2197</v>
      </c>
      <c r="B1203" s="2" t="s">
        <v>87</v>
      </c>
      <c r="C1203" s="2" t="s">
        <v>2198</v>
      </c>
      <c r="D1203" s="108" t="s">
        <v>2199</v>
      </c>
      <c r="E1203" s="103"/>
      <c r="F1203" s="2" t="s">
        <v>1593</v>
      </c>
      <c r="G1203" s="38">
        <v>9</v>
      </c>
      <c r="H1203" s="70">
        <v>0</v>
      </c>
      <c r="I1203" s="38">
        <f t="shared" si="48"/>
        <v>0</v>
      </c>
      <c r="J1203" s="38">
        <v>0</v>
      </c>
      <c r="K1203" s="38">
        <f t="shared" si="49"/>
        <v>0</v>
      </c>
      <c r="L1203" s="71" t="s">
        <v>207</v>
      </c>
      <c r="Z1203" s="38">
        <f t="shared" si="50"/>
        <v>0</v>
      </c>
      <c r="AB1203" s="38">
        <f t="shared" si="51"/>
        <v>0</v>
      </c>
      <c r="AC1203" s="38">
        <f t="shared" si="52"/>
        <v>0</v>
      </c>
      <c r="AD1203" s="38">
        <f t="shared" si="53"/>
        <v>0</v>
      </c>
      <c r="AE1203" s="38">
        <f t="shared" si="54"/>
        <v>0</v>
      </c>
      <c r="AF1203" s="38">
        <f t="shared" si="55"/>
        <v>0</v>
      </c>
      <c r="AG1203" s="38">
        <f t="shared" si="56"/>
        <v>0</v>
      </c>
      <c r="AH1203" s="38">
        <f t="shared" si="57"/>
        <v>0</v>
      </c>
      <c r="AI1203" s="50" t="s">
        <v>87</v>
      </c>
      <c r="AJ1203" s="38">
        <f t="shared" si="58"/>
        <v>0</v>
      </c>
      <c r="AK1203" s="38">
        <f t="shared" si="59"/>
        <v>0</v>
      </c>
      <c r="AL1203" s="38">
        <f t="shared" si="60"/>
        <v>0</v>
      </c>
      <c r="AN1203" s="38">
        <v>21</v>
      </c>
      <c r="AO1203" s="38">
        <f t="shared" si="61"/>
        <v>0</v>
      </c>
      <c r="AP1203" s="38">
        <f t="shared" si="62"/>
        <v>0</v>
      </c>
      <c r="AQ1203" s="72" t="s">
        <v>169</v>
      </c>
      <c r="AV1203" s="38">
        <f t="shared" si="63"/>
        <v>0</v>
      </c>
      <c r="AW1203" s="38">
        <f t="shared" si="64"/>
        <v>0</v>
      </c>
      <c r="AX1203" s="38">
        <f t="shared" si="65"/>
        <v>0</v>
      </c>
      <c r="AY1203" s="72" t="s">
        <v>2187</v>
      </c>
      <c r="AZ1203" s="72" t="s">
        <v>2050</v>
      </c>
      <c r="BA1203" s="50" t="s">
        <v>2006</v>
      </c>
      <c r="BC1203" s="38">
        <f t="shared" si="66"/>
        <v>0</v>
      </c>
      <c r="BD1203" s="38">
        <f t="shared" si="67"/>
        <v>0</v>
      </c>
      <c r="BE1203" s="38">
        <v>0</v>
      </c>
      <c r="BF1203" s="38">
        <f t="shared" si="68"/>
        <v>0</v>
      </c>
      <c r="BH1203" s="38">
        <f t="shared" si="69"/>
        <v>0</v>
      </c>
      <c r="BI1203" s="38">
        <f t="shared" si="70"/>
        <v>0</v>
      </c>
      <c r="BJ1203" s="38">
        <f t="shared" si="71"/>
        <v>0</v>
      </c>
      <c r="BK1203" s="38"/>
      <c r="BL1203" s="38">
        <v>725</v>
      </c>
      <c r="BW1203" s="38">
        <v>21</v>
      </c>
    </row>
    <row r="1204" spans="1:75" ht="13.5" customHeight="1">
      <c r="A1204" s="1" t="s">
        <v>2200</v>
      </c>
      <c r="B1204" s="2" t="s">
        <v>87</v>
      </c>
      <c r="C1204" s="2" t="s">
        <v>2201</v>
      </c>
      <c r="D1204" s="108" t="s">
        <v>2202</v>
      </c>
      <c r="E1204" s="103"/>
      <c r="F1204" s="2" t="s">
        <v>1593</v>
      </c>
      <c r="G1204" s="38">
        <v>1</v>
      </c>
      <c r="H1204" s="70">
        <v>0</v>
      </c>
      <c r="I1204" s="38">
        <f t="shared" si="48"/>
        <v>0</v>
      </c>
      <c r="J1204" s="38">
        <v>0</v>
      </c>
      <c r="K1204" s="38">
        <f t="shared" si="49"/>
        <v>0</v>
      </c>
      <c r="L1204" s="71" t="s">
        <v>207</v>
      </c>
      <c r="Z1204" s="38">
        <f t="shared" si="50"/>
        <v>0</v>
      </c>
      <c r="AB1204" s="38">
        <f t="shared" si="51"/>
        <v>0</v>
      </c>
      <c r="AC1204" s="38">
        <f t="shared" si="52"/>
        <v>0</v>
      </c>
      <c r="AD1204" s="38">
        <f t="shared" si="53"/>
        <v>0</v>
      </c>
      <c r="AE1204" s="38">
        <f t="shared" si="54"/>
        <v>0</v>
      </c>
      <c r="AF1204" s="38">
        <f t="shared" si="55"/>
        <v>0</v>
      </c>
      <c r="AG1204" s="38">
        <f t="shared" si="56"/>
        <v>0</v>
      </c>
      <c r="AH1204" s="38">
        <f t="shared" si="57"/>
        <v>0</v>
      </c>
      <c r="AI1204" s="50" t="s">
        <v>87</v>
      </c>
      <c r="AJ1204" s="38">
        <f t="shared" si="58"/>
        <v>0</v>
      </c>
      <c r="AK1204" s="38">
        <f t="shared" si="59"/>
        <v>0</v>
      </c>
      <c r="AL1204" s="38">
        <f t="shared" si="60"/>
        <v>0</v>
      </c>
      <c r="AN1204" s="38">
        <v>21</v>
      </c>
      <c r="AO1204" s="38">
        <f t="shared" si="61"/>
        <v>0</v>
      </c>
      <c r="AP1204" s="38">
        <f t="shared" si="62"/>
        <v>0</v>
      </c>
      <c r="AQ1204" s="72" t="s">
        <v>169</v>
      </c>
      <c r="AV1204" s="38">
        <f t="shared" si="63"/>
        <v>0</v>
      </c>
      <c r="AW1204" s="38">
        <f t="shared" si="64"/>
        <v>0</v>
      </c>
      <c r="AX1204" s="38">
        <f t="shared" si="65"/>
        <v>0</v>
      </c>
      <c r="AY1204" s="72" t="s">
        <v>2187</v>
      </c>
      <c r="AZ1204" s="72" t="s">
        <v>2050</v>
      </c>
      <c r="BA1204" s="50" t="s">
        <v>2006</v>
      </c>
      <c r="BC1204" s="38">
        <f t="shared" si="66"/>
        <v>0</v>
      </c>
      <c r="BD1204" s="38">
        <f t="shared" si="67"/>
        <v>0</v>
      </c>
      <c r="BE1204" s="38">
        <v>0</v>
      </c>
      <c r="BF1204" s="38">
        <f t="shared" si="68"/>
        <v>0</v>
      </c>
      <c r="BH1204" s="38">
        <f t="shared" si="69"/>
        <v>0</v>
      </c>
      <c r="BI1204" s="38">
        <f t="shared" si="70"/>
        <v>0</v>
      </c>
      <c r="BJ1204" s="38">
        <f t="shared" si="71"/>
        <v>0</v>
      </c>
      <c r="BK1204" s="38"/>
      <c r="BL1204" s="38">
        <v>725</v>
      </c>
      <c r="BW1204" s="38">
        <v>21</v>
      </c>
    </row>
    <row r="1205" spans="1:75" ht="13.5" customHeight="1">
      <c r="A1205" s="1" t="s">
        <v>2203</v>
      </c>
      <c r="B1205" s="2" t="s">
        <v>87</v>
      </c>
      <c r="C1205" s="2" t="s">
        <v>2204</v>
      </c>
      <c r="D1205" s="108" t="s">
        <v>2205</v>
      </c>
      <c r="E1205" s="103"/>
      <c r="F1205" s="2" t="s">
        <v>1593</v>
      </c>
      <c r="G1205" s="38">
        <v>1</v>
      </c>
      <c r="H1205" s="70">
        <v>0</v>
      </c>
      <c r="I1205" s="38">
        <f t="shared" si="48"/>
        <v>0</v>
      </c>
      <c r="J1205" s="38">
        <v>0</v>
      </c>
      <c r="K1205" s="38">
        <f t="shared" si="49"/>
        <v>0</v>
      </c>
      <c r="L1205" s="71" t="s">
        <v>207</v>
      </c>
      <c r="Z1205" s="38">
        <f t="shared" si="50"/>
        <v>0</v>
      </c>
      <c r="AB1205" s="38">
        <f t="shared" si="51"/>
        <v>0</v>
      </c>
      <c r="AC1205" s="38">
        <f t="shared" si="52"/>
        <v>0</v>
      </c>
      <c r="AD1205" s="38">
        <f t="shared" si="53"/>
        <v>0</v>
      </c>
      <c r="AE1205" s="38">
        <f t="shared" si="54"/>
        <v>0</v>
      </c>
      <c r="AF1205" s="38">
        <f t="shared" si="55"/>
        <v>0</v>
      </c>
      <c r="AG1205" s="38">
        <f t="shared" si="56"/>
        <v>0</v>
      </c>
      <c r="AH1205" s="38">
        <f t="shared" si="57"/>
        <v>0</v>
      </c>
      <c r="AI1205" s="50" t="s">
        <v>87</v>
      </c>
      <c r="AJ1205" s="38">
        <f t="shared" si="58"/>
        <v>0</v>
      </c>
      <c r="AK1205" s="38">
        <f t="shared" si="59"/>
        <v>0</v>
      </c>
      <c r="AL1205" s="38">
        <f t="shared" si="60"/>
        <v>0</v>
      </c>
      <c r="AN1205" s="38">
        <v>21</v>
      </c>
      <c r="AO1205" s="38">
        <f t="shared" si="61"/>
        <v>0</v>
      </c>
      <c r="AP1205" s="38">
        <f t="shared" si="62"/>
        <v>0</v>
      </c>
      <c r="AQ1205" s="72" t="s">
        <v>169</v>
      </c>
      <c r="AV1205" s="38">
        <f t="shared" si="63"/>
        <v>0</v>
      </c>
      <c r="AW1205" s="38">
        <f t="shared" si="64"/>
        <v>0</v>
      </c>
      <c r="AX1205" s="38">
        <f t="shared" si="65"/>
        <v>0</v>
      </c>
      <c r="AY1205" s="72" t="s">
        <v>2187</v>
      </c>
      <c r="AZ1205" s="72" t="s">
        <v>2050</v>
      </c>
      <c r="BA1205" s="50" t="s">
        <v>2006</v>
      </c>
      <c r="BC1205" s="38">
        <f t="shared" si="66"/>
        <v>0</v>
      </c>
      <c r="BD1205" s="38">
        <f t="shared" si="67"/>
        <v>0</v>
      </c>
      <c r="BE1205" s="38">
        <v>0</v>
      </c>
      <c r="BF1205" s="38">
        <f t="shared" si="68"/>
        <v>0</v>
      </c>
      <c r="BH1205" s="38">
        <f t="shared" si="69"/>
        <v>0</v>
      </c>
      <c r="BI1205" s="38">
        <f t="shared" si="70"/>
        <v>0</v>
      </c>
      <c r="BJ1205" s="38">
        <f t="shared" si="71"/>
        <v>0</v>
      </c>
      <c r="BK1205" s="38"/>
      <c r="BL1205" s="38">
        <v>725</v>
      </c>
      <c r="BW1205" s="38">
        <v>21</v>
      </c>
    </row>
    <row r="1206" spans="1:75" ht="13.5" customHeight="1">
      <c r="A1206" s="1" t="s">
        <v>2206</v>
      </c>
      <c r="B1206" s="2" t="s">
        <v>87</v>
      </c>
      <c r="C1206" s="2" t="s">
        <v>2207</v>
      </c>
      <c r="D1206" s="108" t="s">
        <v>2208</v>
      </c>
      <c r="E1206" s="103"/>
      <c r="F1206" s="2" t="s">
        <v>1593</v>
      </c>
      <c r="G1206" s="38">
        <v>1</v>
      </c>
      <c r="H1206" s="70">
        <v>0</v>
      </c>
      <c r="I1206" s="38">
        <f t="shared" si="48"/>
        <v>0</v>
      </c>
      <c r="J1206" s="38">
        <v>0</v>
      </c>
      <c r="K1206" s="38">
        <f t="shared" si="49"/>
        <v>0</v>
      </c>
      <c r="L1206" s="71" t="s">
        <v>207</v>
      </c>
      <c r="Z1206" s="38">
        <f t="shared" si="50"/>
        <v>0</v>
      </c>
      <c r="AB1206" s="38">
        <f t="shared" si="51"/>
        <v>0</v>
      </c>
      <c r="AC1206" s="38">
        <f t="shared" si="52"/>
        <v>0</v>
      </c>
      <c r="AD1206" s="38">
        <f t="shared" si="53"/>
        <v>0</v>
      </c>
      <c r="AE1206" s="38">
        <f t="shared" si="54"/>
        <v>0</v>
      </c>
      <c r="AF1206" s="38">
        <f t="shared" si="55"/>
        <v>0</v>
      </c>
      <c r="AG1206" s="38">
        <f t="shared" si="56"/>
        <v>0</v>
      </c>
      <c r="AH1206" s="38">
        <f t="shared" si="57"/>
        <v>0</v>
      </c>
      <c r="AI1206" s="50" t="s">
        <v>87</v>
      </c>
      <c r="AJ1206" s="38">
        <f t="shared" si="58"/>
        <v>0</v>
      </c>
      <c r="AK1206" s="38">
        <f t="shared" si="59"/>
        <v>0</v>
      </c>
      <c r="AL1206" s="38">
        <f t="shared" si="60"/>
        <v>0</v>
      </c>
      <c r="AN1206" s="38">
        <v>21</v>
      </c>
      <c r="AO1206" s="38">
        <f t="shared" si="61"/>
        <v>0</v>
      </c>
      <c r="AP1206" s="38">
        <f t="shared" si="62"/>
        <v>0</v>
      </c>
      <c r="AQ1206" s="72" t="s">
        <v>169</v>
      </c>
      <c r="AV1206" s="38">
        <f t="shared" si="63"/>
        <v>0</v>
      </c>
      <c r="AW1206" s="38">
        <f t="shared" si="64"/>
        <v>0</v>
      </c>
      <c r="AX1206" s="38">
        <f t="shared" si="65"/>
        <v>0</v>
      </c>
      <c r="AY1206" s="72" t="s">
        <v>2187</v>
      </c>
      <c r="AZ1206" s="72" t="s">
        <v>2050</v>
      </c>
      <c r="BA1206" s="50" t="s">
        <v>2006</v>
      </c>
      <c r="BC1206" s="38">
        <f t="shared" si="66"/>
        <v>0</v>
      </c>
      <c r="BD1206" s="38">
        <f t="shared" si="67"/>
        <v>0</v>
      </c>
      <c r="BE1206" s="38">
        <v>0</v>
      </c>
      <c r="BF1206" s="38">
        <f t="shared" si="68"/>
        <v>0</v>
      </c>
      <c r="BH1206" s="38">
        <f t="shared" si="69"/>
        <v>0</v>
      </c>
      <c r="BI1206" s="38">
        <f t="shared" si="70"/>
        <v>0</v>
      </c>
      <c r="BJ1206" s="38">
        <f t="shared" si="71"/>
        <v>0</v>
      </c>
      <c r="BK1206" s="38"/>
      <c r="BL1206" s="38">
        <v>725</v>
      </c>
      <c r="BW1206" s="38">
        <v>21</v>
      </c>
    </row>
    <row r="1207" spans="1:75" ht="13.5" customHeight="1">
      <c r="A1207" s="1" t="s">
        <v>2209</v>
      </c>
      <c r="B1207" s="2" t="s">
        <v>87</v>
      </c>
      <c r="C1207" s="2" t="s">
        <v>2210</v>
      </c>
      <c r="D1207" s="108" t="s">
        <v>2211</v>
      </c>
      <c r="E1207" s="103"/>
      <c r="F1207" s="2" t="s">
        <v>1593</v>
      </c>
      <c r="G1207" s="38">
        <v>1</v>
      </c>
      <c r="H1207" s="70">
        <v>0</v>
      </c>
      <c r="I1207" s="38">
        <f t="shared" si="48"/>
        <v>0</v>
      </c>
      <c r="J1207" s="38">
        <v>0</v>
      </c>
      <c r="K1207" s="38">
        <f t="shared" si="49"/>
        <v>0</v>
      </c>
      <c r="L1207" s="71" t="s">
        <v>207</v>
      </c>
      <c r="Z1207" s="38">
        <f t="shared" si="50"/>
        <v>0</v>
      </c>
      <c r="AB1207" s="38">
        <f t="shared" si="51"/>
        <v>0</v>
      </c>
      <c r="AC1207" s="38">
        <f t="shared" si="52"/>
        <v>0</v>
      </c>
      <c r="AD1207" s="38">
        <f t="shared" si="53"/>
        <v>0</v>
      </c>
      <c r="AE1207" s="38">
        <f t="shared" si="54"/>
        <v>0</v>
      </c>
      <c r="AF1207" s="38">
        <f t="shared" si="55"/>
        <v>0</v>
      </c>
      <c r="AG1207" s="38">
        <f t="shared" si="56"/>
        <v>0</v>
      </c>
      <c r="AH1207" s="38">
        <f t="shared" si="57"/>
        <v>0</v>
      </c>
      <c r="AI1207" s="50" t="s">
        <v>87</v>
      </c>
      <c r="AJ1207" s="38">
        <f t="shared" si="58"/>
        <v>0</v>
      </c>
      <c r="AK1207" s="38">
        <f t="shared" si="59"/>
        <v>0</v>
      </c>
      <c r="AL1207" s="38">
        <f t="shared" si="60"/>
        <v>0</v>
      </c>
      <c r="AN1207" s="38">
        <v>21</v>
      </c>
      <c r="AO1207" s="38">
        <f t="shared" si="61"/>
        <v>0</v>
      </c>
      <c r="AP1207" s="38">
        <f t="shared" si="62"/>
        <v>0</v>
      </c>
      <c r="AQ1207" s="72" t="s">
        <v>169</v>
      </c>
      <c r="AV1207" s="38">
        <f t="shared" si="63"/>
        <v>0</v>
      </c>
      <c r="AW1207" s="38">
        <f t="shared" si="64"/>
        <v>0</v>
      </c>
      <c r="AX1207" s="38">
        <f t="shared" si="65"/>
        <v>0</v>
      </c>
      <c r="AY1207" s="72" t="s">
        <v>2187</v>
      </c>
      <c r="AZ1207" s="72" t="s">
        <v>2050</v>
      </c>
      <c r="BA1207" s="50" t="s">
        <v>2006</v>
      </c>
      <c r="BC1207" s="38">
        <f t="shared" si="66"/>
        <v>0</v>
      </c>
      <c r="BD1207" s="38">
        <f t="shared" si="67"/>
        <v>0</v>
      </c>
      <c r="BE1207" s="38">
        <v>0</v>
      </c>
      <c r="BF1207" s="38">
        <f t="shared" si="68"/>
        <v>0</v>
      </c>
      <c r="BH1207" s="38">
        <f t="shared" si="69"/>
        <v>0</v>
      </c>
      <c r="BI1207" s="38">
        <f t="shared" si="70"/>
        <v>0</v>
      </c>
      <c r="BJ1207" s="38">
        <f t="shared" si="71"/>
        <v>0</v>
      </c>
      <c r="BK1207" s="38"/>
      <c r="BL1207" s="38">
        <v>725</v>
      </c>
      <c r="BW1207" s="38">
        <v>21</v>
      </c>
    </row>
    <row r="1208" spans="1:75" ht="13.5" customHeight="1">
      <c r="A1208" s="1" t="s">
        <v>2212</v>
      </c>
      <c r="B1208" s="2" t="s">
        <v>87</v>
      </c>
      <c r="C1208" s="2" t="s">
        <v>2213</v>
      </c>
      <c r="D1208" s="108" t="s">
        <v>2214</v>
      </c>
      <c r="E1208" s="103"/>
      <c r="F1208" s="2" t="s">
        <v>1593</v>
      </c>
      <c r="G1208" s="38">
        <v>1</v>
      </c>
      <c r="H1208" s="70">
        <v>0</v>
      </c>
      <c r="I1208" s="38">
        <f t="shared" si="48"/>
        <v>0</v>
      </c>
      <c r="J1208" s="38">
        <v>0</v>
      </c>
      <c r="K1208" s="38">
        <f t="shared" si="49"/>
        <v>0</v>
      </c>
      <c r="L1208" s="71" t="s">
        <v>207</v>
      </c>
      <c r="Z1208" s="38">
        <f t="shared" si="50"/>
        <v>0</v>
      </c>
      <c r="AB1208" s="38">
        <f t="shared" si="51"/>
        <v>0</v>
      </c>
      <c r="AC1208" s="38">
        <f t="shared" si="52"/>
        <v>0</v>
      </c>
      <c r="AD1208" s="38">
        <f t="shared" si="53"/>
        <v>0</v>
      </c>
      <c r="AE1208" s="38">
        <f t="shared" si="54"/>
        <v>0</v>
      </c>
      <c r="AF1208" s="38">
        <f t="shared" si="55"/>
        <v>0</v>
      </c>
      <c r="AG1208" s="38">
        <f t="shared" si="56"/>
        <v>0</v>
      </c>
      <c r="AH1208" s="38">
        <f t="shared" si="57"/>
        <v>0</v>
      </c>
      <c r="AI1208" s="50" t="s">
        <v>87</v>
      </c>
      <c r="AJ1208" s="38">
        <f t="shared" si="58"/>
        <v>0</v>
      </c>
      <c r="AK1208" s="38">
        <f t="shared" si="59"/>
        <v>0</v>
      </c>
      <c r="AL1208" s="38">
        <f t="shared" si="60"/>
        <v>0</v>
      </c>
      <c r="AN1208" s="38">
        <v>21</v>
      </c>
      <c r="AO1208" s="38">
        <f t="shared" si="61"/>
        <v>0</v>
      </c>
      <c r="AP1208" s="38">
        <f t="shared" si="62"/>
        <v>0</v>
      </c>
      <c r="AQ1208" s="72" t="s">
        <v>169</v>
      </c>
      <c r="AV1208" s="38">
        <f t="shared" si="63"/>
        <v>0</v>
      </c>
      <c r="AW1208" s="38">
        <f t="shared" si="64"/>
        <v>0</v>
      </c>
      <c r="AX1208" s="38">
        <f t="shared" si="65"/>
        <v>0</v>
      </c>
      <c r="AY1208" s="72" t="s">
        <v>2187</v>
      </c>
      <c r="AZ1208" s="72" t="s">
        <v>2050</v>
      </c>
      <c r="BA1208" s="50" t="s">
        <v>2006</v>
      </c>
      <c r="BC1208" s="38">
        <f t="shared" si="66"/>
        <v>0</v>
      </c>
      <c r="BD1208" s="38">
        <f t="shared" si="67"/>
        <v>0</v>
      </c>
      <c r="BE1208" s="38">
        <v>0</v>
      </c>
      <c r="BF1208" s="38">
        <f t="shared" si="68"/>
        <v>0</v>
      </c>
      <c r="BH1208" s="38">
        <f t="shared" si="69"/>
        <v>0</v>
      </c>
      <c r="BI1208" s="38">
        <f t="shared" si="70"/>
        <v>0</v>
      </c>
      <c r="BJ1208" s="38">
        <f t="shared" si="71"/>
        <v>0</v>
      </c>
      <c r="BK1208" s="38"/>
      <c r="BL1208" s="38">
        <v>725</v>
      </c>
      <c r="BW1208" s="38">
        <v>21</v>
      </c>
    </row>
    <row r="1209" spans="1:75" ht="13.5" customHeight="1">
      <c r="A1209" s="1" t="s">
        <v>2215</v>
      </c>
      <c r="B1209" s="2" t="s">
        <v>87</v>
      </c>
      <c r="C1209" s="2" t="s">
        <v>2216</v>
      </c>
      <c r="D1209" s="108" t="s">
        <v>2217</v>
      </c>
      <c r="E1209" s="103"/>
      <c r="F1209" s="2" t="s">
        <v>1593</v>
      </c>
      <c r="G1209" s="38">
        <v>1</v>
      </c>
      <c r="H1209" s="70">
        <v>0</v>
      </c>
      <c r="I1209" s="38">
        <f t="shared" si="48"/>
        <v>0</v>
      </c>
      <c r="J1209" s="38">
        <v>0</v>
      </c>
      <c r="K1209" s="38">
        <f t="shared" si="49"/>
        <v>0</v>
      </c>
      <c r="L1209" s="71" t="s">
        <v>207</v>
      </c>
      <c r="Z1209" s="38">
        <f t="shared" si="50"/>
        <v>0</v>
      </c>
      <c r="AB1209" s="38">
        <f t="shared" si="51"/>
        <v>0</v>
      </c>
      <c r="AC1209" s="38">
        <f t="shared" si="52"/>
        <v>0</v>
      </c>
      <c r="AD1209" s="38">
        <f t="shared" si="53"/>
        <v>0</v>
      </c>
      <c r="AE1209" s="38">
        <f t="shared" si="54"/>
        <v>0</v>
      </c>
      <c r="AF1209" s="38">
        <f t="shared" si="55"/>
        <v>0</v>
      </c>
      <c r="AG1209" s="38">
        <f t="shared" si="56"/>
        <v>0</v>
      </c>
      <c r="AH1209" s="38">
        <f t="shared" si="57"/>
        <v>0</v>
      </c>
      <c r="AI1209" s="50" t="s">
        <v>87</v>
      </c>
      <c r="AJ1209" s="38">
        <f t="shared" si="58"/>
        <v>0</v>
      </c>
      <c r="AK1209" s="38">
        <f t="shared" si="59"/>
        <v>0</v>
      </c>
      <c r="AL1209" s="38">
        <f t="shared" si="60"/>
        <v>0</v>
      </c>
      <c r="AN1209" s="38">
        <v>21</v>
      </c>
      <c r="AO1209" s="38">
        <f t="shared" si="61"/>
        <v>0</v>
      </c>
      <c r="AP1209" s="38">
        <f t="shared" si="62"/>
        <v>0</v>
      </c>
      <c r="AQ1209" s="72" t="s">
        <v>169</v>
      </c>
      <c r="AV1209" s="38">
        <f t="shared" si="63"/>
        <v>0</v>
      </c>
      <c r="AW1209" s="38">
        <f t="shared" si="64"/>
        <v>0</v>
      </c>
      <c r="AX1209" s="38">
        <f t="shared" si="65"/>
        <v>0</v>
      </c>
      <c r="AY1209" s="72" t="s">
        <v>2187</v>
      </c>
      <c r="AZ1209" s="72" t="s">
        <v>2050</v>
      </c>
      <c r="BA1209" s="50" t="s">
        <v>2006</v>
      </c>
      <c r="BC1209" s="38">
        <f t="shared" si="66"/>
        <v>0</v>
      </c>
      <c r="BD1209" s="38">
        <f t="shared" si="67"/>
        <v>0</v>
      </c>
      <c r="BE1209" s="38">
        <v>0</v>
      </c>
      <c r="BF1209" s="38">
        <f t="shared" si="68"/>
        <v>0</v>
      </c>
      <c r="BH1209" s="38">
        <f t="shared" si="69"/>
        <v>0</v>
      </c>
      <c r="BI1209" s="38">
        <f t="shared" si="70"/>
        <v>0</v>
      </c>
      <c r="BJ1209" s="38">
        <f t="shared" si="71"/>
        <v>0</v>
      </c>
      <c r="BK1209" s="38"/>
      <c r="BL1209" s="38">
        <v>725</v>
      </c>
      <c r="BW1209" s="38">
        <v>21</v>
      </c>
    </row>
    <row r="1210" spans="1:75" ht="13.5" customHeight="1">
      <c r="A1210" s="1" t="s">
        <v>2218</v>
      </c>
      <c r="B1210" s="2" t="s">
        <v>87</v>
      </c>
      <c r="C1210" s="2" t="s">
        <v>2219</v>
      </c>
      <c r="D1210" s="108" t="s">
        <v>2220</v>
      </c>
      <c r="E1210" s="103"/>
      <c r="F1210" s="2" t="s">
        <v>1593</v>
      </c>
      <c r="G1210" s="38">
        <v>1</v>
      </c>
      <c r="H1210" s="70">
        <v>0</v>
      </c>
      <c r="I1210" s="38">
        <f t="shared" si="48"/>
        <v>0</v>
      </c>
      <c r="J1210" s="38">
        <v>0</v>
      </c>
      <c r="K1210" s="38">
        <f t="shared" si="49"/>
        <v>0</v>
      </c>
      <c r="L1210" s="71" t="s">
        <v>207</v>
      </c>
      <c r="Z1210" s="38">
        <f t="shared" si="50"/>
        <v>0</v>
      </c>
      <c r="AB1210" s="38">
        <f t="shared" si="51"/>
        <v>0</v>
      </c>
      <c r="AC1210" s="38">
        <f t="shared" si="52"/>
        <v>0</v>
      </c>
      <c r="AD1210" s="38">
        <f t="shared" si="53"/>
        <v>0</v>
      </c>
      <c r="AE1210" s="38">
        <f t="shared" si="54"/>
        <v>0</v>
      </c>
      <c r="AF1210" s="38">
        <f t="shared" si="55"/>
        <v>0</v>
      </c>
      <c r="AG1210" s="38">
        <f t="shared" si="56"/>
        <v>0</v>
      </c>
      <c r="AH1210" s="38">
        <f t="shared" si="57"/>
        <v>0</v>
      </c>
      <c r="AI1210" s="50" t="s">
        <v>87</v>
      </c>
      <c r="AJ1210" s="38">
        <f t="shared" si="58"/>
        <v>0</v>
      </c>
      <c r="AK1210" s="38">
        <f t="shared" si="59"/>
        <v>0</v>
      </c>
      <c r="AL1210" s="38">
        <f t="shared" si="60"/>
        <v>0</v>
      </c>
      <c r="AN1210" s="38">
        <v>21</v>
      </c>
      <c r="AO1210" s="38">
        <f t="shared" si="61"/>
        <v>0</v>
      </c>
      <c r="AP1210" s="38">
        <f t="shared" si="62"/>
        <v>0</v>
      </c>
      <c r="AQ1210" s="72" t="s">
        <v>169</v>
      </c>
      <c r="AV1210" s="38">
        <f t="shared" si="63"/>
        <v>0</v>
      </c>
      <c r="AW1210" s="38">
        <f t="shared" si="64"/>
        <v>0</v>
      </c>
      <c r="AX1210" s="38">
        <f t="shared" si="65"/>
        <v>0</v>
      </c>
      <c r="AY1210" s="72" t="s">
        <v>2187</v>
      </c>
      <c r="AZ1210" s="72" t="s">
        <v>2050</v>
      </c>
      <c r="BA1210" s="50" t="s">
        <v>2006</v>
      </c>
      <c r="BC1210" s="38">
        <f t="shared" si="66"/>
        <v>0</v>
      </c>
      <c r="BD1210" s="38">
        <f t="shared" si="67"/>
        <v>0</v>
      </c>
      <c r="BE1210" s="38">
        <v>0</v>
      </c>
      <c r="BF1210" s="38">
        <f t="shared" si="68"/>
        <v>0</v>
      </c>
      <c r="BH1210" s="38">
        <f t="shared" si="69"/>
        <v>0</v>
      </c>
      <c r="BI1210" s="38">
        <f t="shared" si="70"/>
        <v>0</v>
      </c>
      <c r="BJ1210" s="38">
        <f t="shared" si="71"/>
        <v>0</v>
      </c>
      <c r="BK1210" s="38"/>
      <c r="BL1210" s="38">
        <v>725</v>
      </c>
      <c r="BW1210" s="38">
        <v>21</v>
      </c>
    </row>
    <row r="1211" spans="1:75" ht="13.5" customHeight="1">
      <c r="A1211" s="1" t="s">
        <v>2221</v>
      </c>
      <c r="B1211" s="2" t="s">
        <v>87</v>
      </c>
      <c r="C1211" s="2" t="s">
        <v>2222</v>
      </c>
      <c r="D1211" s="108" t="s">
        <v>2223</v>
      </c>
      <c r="E1211" s="103"/>
      <c r="F1211" s="2" t="s">
        <v>1593</v>
      </c>
      <c r="G1211" s="38">
        <v>1</v>
      </c>
      <c r="H1211" s="70">
        <v>0</v>
      </c>
      <c r="I1211" s="38">
        <f t="shared" si="48"/>
        <v>0</v>
      </c>
      <c r="J1211" s="38">
        <v>0</v>
      </c>
      <c r="K1211" s="38">
        <f t="shared" si="49"/>
        <v>0</v>
      </c>
      <c r="L1211" s="71" t="s">
        <v>207</v>
      </c>
      <c r="Z1211" s="38">
        <f t="shared" si="50"/>
        <v>0</v>
      </c>
      <c r="AB1211" s="38">
        <f t="shared" si="51"/>
        <v>0</v>
      </c>
      <c r="AC1211" s="38">
        <f t="shared" si="52"/>
        <v>0</v>
      </c>
      <c r="AD1211" s="38">
        <f t="shared" si="53"/>
        <v>0</v>
      </c>
      <c r="AE1211" s="38">
        <f t="shared" si="54"/>
        <v>0</v>
      </c>
      <c r="AF1211" s="38">
        <f t="shared" si="55"/>
        <v>0</v>
      </c>
      <c r="AG1211" s="38">
        <f t="shared" si="56"/>
        <v>0</v>
      </c>
      <c r="AH1211" s="38">
        <f t="shared" si="57"/>
        <v>0</v>
      </c>
      <c r="AI1211" s="50" t="s">
        <v>87</v>
      </c>
      <c r="AJ1211" s="38">
        <f t="shared" si="58"/>
        <v>0</v>
      </c>
      <c r="AK1211" s="38">
        <f t="shared" si="59"/>
        <v>0</v>
      </c>
      <c r="AL1211" s="38">
        <f t="shared" si="60"/>
        <v>0</v>
      </c>
      <c r="AN1211" s="38">
        <v>21</v>
      </c>
      <c r="AO1211" s="38">
        <f t="shared" si="61"/>
        <v>0</v>
      </c>
      <c r="AP1211" s="38">
        <f t="shared" si="62"/>
        <v>0</v>
      </c>
      <c r="AQ1211" s="72" t="s">
        <v>169</v>
      </c>
      <c r="AV1211" s="38">
        <f t="shared" si="63"/>
        <v>0</v>
      </c>
      <c r="AW1211" s="38">
        <f t="shared" si="64"/>
        <v>0</v>
      </c>
      <c r="AX1211" s="38">
        <f t="shared" si="65"/>
        <v>0</v>
      </c>
      <c r="AY1211" s="72" t="s">
        <v>2187</v>
      </c>
      <c r="AZ1211" s="72" t="s">
        <v>2050</v>
      </c>
      <c r="BA1211" s="50" t="s">
        <v>2006</v>
      </c>
      <c r="BC1211" s="38">
        <f t="shared" si="66"/>
        <v>0</v>
      </c>
      <c r="BD1211" s="38">
        <f t="shared" si="67"/>
        <v>0</v>
      </c>
      <c r="BE1211" s="38">
        <v>0</v>
      </c>
      <c r="BF1211" s="38">
        <f t="shared" si="68"/>
        <v>0</v>
      </c>
      <c r="BH1211" s="38">
        <f t="shared" si="69"/>
        <v>0</v>
      </c>
      <c r="BI1211" s="38">
        <f t="shared" si="70"/>
        <v>0</v>
      </c>
      <c r="BJ1211" s="38">
        <f t="shared" si="71"/>
        <v>0</v>
      </c>
      <c r="BK1211" s="38"/>
      <c r="BL1211" s="38">
        <v>725</v>
      </c>
      <c r="BW1211" s="38">
        <v>21</v>
      </c>
    </row>
    <row r="1212" spans="1:75" ht="13.5" customHeight="1">
      <c r="A1212" s="1" t="s">
        <v>2224</v>
      </c>
      <c r="B1212" s="2" t="s">
        <v>87</v>
      </c>
      <c r="C1212" s="2" t="s">
        <v>2225</v>
      </c>
      <c r="D1212" s="108" t="s">
        <v>2226</v>
      </c>
      <c r="E1212" s="103"/>
      <c r="F1212" s="2" t="s">
        <v>1593</v>
      </c>
      <c r="G1212" s="38">
        <v>10</v>
      </c>
      <c r="H1212" s="70">
        <v>0</v>
      </c>
      <c r="I1212" s="38">
        <f t="shared" si="48"/>
        <v>0</v>
      </c>
      <c r="J1212" s="38">
        <v>0</v>
      </c>
      <c r="K1212" s="38">
        <f t="shared" si="49"/>
        <v>0</v>
      </c>
      <c r="L1212" s="71" t="s">
        <v>207</v>
      </c>
      <c r="Z1212" s="38">
        <f t="shared" si="50"/>
        <v>0</v>
      </c>
      <c r="AB1212" s="38">
        <f t="shared" si="51"/>
        <v>0</v>
      </c>
      <c r="AC1212" s="38">
        <f t="shared" si="52"/>
        <v>0</v>
      </c>
      <c r="AD1212" s="38">
        <f t="shared" si="53"/>
        <v>0</v>
      </c>
      <c r="AE1212" s="38">
        <f t="shared" si="54"/>
        <v>0</v>
      </c>
      <c r="AF1212" s="38">
        <f t="shared" si="55"/>
        <v>0</v>
      </c>
      <c r="AG1212" s="38">
        <f t="shared" si="56"/>
        <v>0</v>
      </c>
      <c r="AH1212" s="38">
        <f t="shared" si="57"/>
        <v>0</v>
      </c>
      <c r="AI1212" s="50" t="s">
        <v>87</v>
      </c>
      <c r="AJ1212" s="38">
        <f t="shared" si="58"/>
        <v>0</v>
      </c>
      <c r="AK1212" s="38">
        <f t="shared" si="59"/>
        <v>0</v>
      </c>
      <c r="AL1212" s="38">
        <f t="shared" si="60"/>
        <v>0</v>
      </c>
      <c r="AN1212" s="38">
        <v>21</v>
      </c>
      <c r="AO1212" s="38">
        <f t="shared" si="61"/>
        <v>0</v>
      </c>
      <c r="AP1212" s="38">
        <f t="shared" si="62"/>
        <v>0</v>
      </c>
      <c r="AQ1212" s="72" t="s">
        <v>169</v>
      </c>
      <c r="AV1212" s="38">
        <f t="shared" si="63"/>
        <v>0</v>
      </c>
      <c r="AW1212" s="38">
        <f t="shared" si="64"/>
        <v>0</v>
      </c>
      <c r="AX1212" s="38">
        <f t="shared" si="65"/>
        <v>0</v>
      </c>
      <c r="AY1212" s="72" t="s">
        <v>2187</v>
      </c>
      <c r="AZ1212" s="72" t="s">
        <v>2050</v>
      </c>
      <c r="BA1212" s="50" t="s">
        <v>2006</v>
      </c>
      <c r="BC1212" s="38">
        <f t="shared" si="66"/>
        <v>0</v>
      </c>
      <c r="BD1212" s="38">
        <f t="shared" si="67"/>
        <v>0</v>
      </c>
      <c r="BE1212" s="38">
        <v>0</v>
      </c>
      <c r="BF1212" s="38">
        <f t="shared" si="68"/>
        <v>0</v>
      </c>
      <c r="BH1212" s="38">
        <f t="shared" si="69"/>
        <v>0</v>
      </c>
      <c r="BI1212" s="38">
        <f t="shared" si="70"/>
        <v>0</v>
      </c>
      <c r="BJ1212" s="38">
        <f t="shared" si="71"/>
        <v>0</v>
      </c>
      <c r="BK1212" s="38"/>
      <c r="BL1212" s="38">
        <v>725</v>
      </c>
      <c r="BW1212" s="38">
        <v>21</v>
      </c>
    </row>
    <row r="1213" spans="1:75" ht="13.5" customHeight="1">
      <c r="A1213" s="1" t="s">
        <v>2227</v>
      </c>
      <c r="B1213" s="2" t="s">
        <v>87</v>
      </c>
      <c r="C1213" s="2" t="s">
        <v>2228</v>
      </c>
      <c r="D1213" s="108" t="s">
        <v>2229</v>
      </c>
      <c r="E1213" s="103"/>
      <c r="F1213" s="2" t="s">
        <v>199</v>
      </c>
      <c r="G1213" s="38">
        <v>1</v>
      </c>
      <c r="H1213" s="70">
        <v>0</v>
      </c>
      <c r="I1213" s="38">
        <f t="shared" si="48"/>
        <v>0</v>
      </c>
      <c r="J1213" s="38">
        <v>0</v>
      </c>
      <c r="K1213" s="38">
        <f t="shared" si="49"/>
        <v>0</v>
      </c>
      <c r="L1213" s="71" t="s">
        <v>207</v>
      </c>
      <c r="Z1213" s="38">
        <f t="shared" si="50"/>
        <v>0</v>
      </c>
      <c r="AB1213" s="38">
        <f t="shared" si="51"/>
        <v>0</v>
      </c>
      <c r="AC1213" s="38">
        <f t="shared" si="52"/>
        <v>0</v>
      </c>
      <c r="AD1213" s="38">
        <f t="shared" si="53"/>
        <v>0</v>
      </c>
      <c r="AE1213" s="38">
        <f t="shared" si="54"/>
        <v>0</v>
      </c>
      <c r="AF1213" s="38">
        <f t="shared" si="55"/>
        <v>0</v>
      </c>
      <c r="AG1213" s="38">
        <f t="shared" si="56"/>
        <v>0</v>
      </c>
      <c r="AH1213" s="38">
        <f t="shared" si="57"/>
        <v>0</v>
      </c>
      <c r="AI1213" s="50" t="s">
        <v>87</v>
      </c>
      <c r="AJ1213" s="38">
        <f t="shared" si="58"/>
        <v>0</v>
      </c>
      <c r="AK1213" s="38">
        <f t="shared" si="59"/>
        <v>0</v>
      </c>
      <c r="AL1213" s="38">
        <f t="shared" si="60"/>
        <v>0</v>
      </c>
      <c r="AN1213" s="38">
        <v>21</v>
      </c>
      <c r="AO1213" s="38">
        <f t="shared" si="61"/>
        <v>0</v>
      </c>
      <c r="AP1213" s="38">
        <f t="shared" si="62"/>
        <v>0</v>
      </c>
      <c r="AQ1213" s="72" t="s">
        <v>169</v>
      </c>
      <c r="AV1213" s="38">
        <f t="shared" si="63"/>
        <v>0</v>
      </c>
      <c r="AW1213" s="38">
        <f t="shared" si="64"/>
        <v>0</v>
      </c>
      <c r="AX1213" s="38">
        <f t="shared" si="65"/>
        <v>0</v>
      </c>
      <c r="AY1213" s="72" t="s">
        <v>2187</v>
      </c>
      <c r="AZ1213" s="72" t="s">
        <v>2050</v>
      </c>
      <c r="BA1213" s="50" t="s">
        <v>2006</v>
      </c>
      <c r="BC1213" s="38">
        <f t="shared" si="66"/>
        <v>0</v>
      </c>
      <c r="BD1213" s="38">
        <f t="shared" si="67"/>
        <v>0</v>
      </c>
      <c r="BE1213" s="38">
        <v>0</v>
      </c>
      <c r="BF1213" s="38">
        <f t="shared" si="68"/>
        <v>0</v>
      </c>
      <c r="BH1213" s="38">
        <f t="shared" si="69"/>
        <v>0</v>
      </c>
      <c r="BI1213" s="38">
        <f t="shared" si="70"/>
        <v>0</v>
      </c>
      <c r="BJ1213" s="38">
        <f t="shared" si="71"/>
        <v>0</v>
      </c>
      <c r="BK1213" s="38"/>
      <c r="BL1213" s="38">
        <v>725</v>
      </c>
      <c r="BW1213" s="38">
        <v>21</v>
      </c>
    </row>
    <row r="1214" spans="1:75" ht="13.5" customHeight="1">
      <c r="A1214" s="1" t="s">
        <v>2230</v>
      </c>
      <c r="B1214" s="2" t="s">
        <v>87</v>
      </c>
      <c r="C1214" s="2" t="s">
        <v>2231</v>
      </c>
      <c r="D1214" s="108" t="s">
        <v>2232</v>
      </c>
      <c r="E1214" s="103"/>
      <c r="F1214" s="2" t="s">
        <v>199</v>
      </c>
      <c r="G1214" s="38">
        <v>5</v>
      </c>
      <c r="H1214" s="70">
        <v>0</v>
      </c>
      <c r="I1214" s="38">
        <f t="shared" si="48"/>
        <v>0</v>
      </c>
      <c r="J1214" s="38">
        <v>0</v>
      </c>
      <c r="K1214" s="38">
        <f t="shared" si="49"/>
        <v>0</v>
      </c>
      <c r="L1214" s="71" t="s">
        <v>207</v>
      </c>
      <c r="Z1214" s="38">
        <f t="shared" si="50"/>
        <v>0</v>
      </c>
      <c r="AB1214" s="38">
        <f t="shared" si="51"/>
        <v>0</v>
      </c>
      <c r="AC1214" s="38">
        <f t="shared" si="52"/>
        <v>0</v>
      </c>
      <c r="AD1214" s="38">
        <f t="shared" si="53"/>
        <v>0</v>
      </c>
      <c r="AE1214" s="38">
        <f t="shared" si="54"/>
        <v>0</v>
      </c>
      <c r="AF1214" s="38">
        <f t="shared" si="55"/>
        <v>0</v>
      </c>
      <c r="AG1214" s="38">
        <f t="shared" si="56"/>
        <v>0</v>
      </c>
      <c r="AH1214" s="38">
        <f t="shared" si="57"/>
        <v>0</v>
      </c>
      <c r="AI1214" s="50" t="s">
        <v>87</v>
      </c>
      <c r="AJ1214" s="38">
        <f t="shared" si="58"/>
        <v>0</v>
      </c>
      <c r="AK1214" s="38">
        <f t="shared" si="59"/>
        <v>0</v>
      </c>
      <c r="AL1214" s="38">
        <f t="shared" si="60"/>
        <v>0</v>
      </c>
      <c r="AN1214" s="38">
        <v>21</v>
      </c>
      <c r="AO1214" s="38">
        <f t="shared" si="61"/>
        <v>0</v>
      </c>
      <c r="AP1214" s="38">
        <f t="shared" si="62"/>
        <v>0</v>
      </c>
      <c r="AQ1214" s="72" t="s">
        <v>169</v>
      </c>
      <c r="AV1214" s="38">
        <f t="shared" si="63"/>
        <v>0</v>
      </c>
      <c r="AW1214" s="38">
        <f t="shared" si="64"/>
        <v>0</v>
      </c>
      <c r="AX1214" s="38">
        <f t="shared" si="65"/>
        <v>0</v>
      </c>
      <c r="AY1214" s="72" t="s">
        <v>2187</v>
      </c>
      <c r="AZ1214" s="72" t="s">
        <v>2050</v>
      </c>
      <c r="BA1214" s="50" t="s">
        <v>2006</v>
      </c>
      <c r="BC1214" s="38">
        <f t="shared" si="66"/>
        <v>0</v>
      </c>
      <c r="BD1214" s="38">
        <f t="shared" si="67"/>
        <v>0</v>
      </c>
      <c r="BE1214" s="38">
        <v>0</v>
      </c>
      <c r="BF1214" s="38">
        <f t="shared" si="68"/>
        <v>0</v>
      </c>
      <c r="BH1214" s="38">
        <f t="shared" si="69"/>
        <v>0</v>
      </c>
      <c r="BI1214" s="38">
        <f t="shared" si="70"/>
        <v>0</v>
      </c>
      <c r="BJ1214" s="38">
        <f t="shared" si="71"/>
        <v>0</v>
      </c>
      <c r="BK1214" s="38"/>
      <c r="BL1214" s="38">
        <v>725</v>
      </c>
      <c r="BW1214" s="38">
        <v>21</v>
      </c>
    </row>
    <row r="1215" spans="1:75" ht="13.5" customHeight="1">
      <c r="A1215" s="1" t="s">
        <v>2233</v>
      </c>
      <c r="B1215" s="2" t="s">
        <v>87</v>
      </c>
      <c r="C1215" s="2" t="s">
        <v>2234</v>
      </c>
      <c r="D1215" s="108" t="s">
        <v>2235</v>
      </c>
      <c r="E1215" s="103"/>
      <c r="F1215" s="2" t="s">
        <v>189</v>
      </c>
      <c r="G1215" s="38">
        <v>0.46</v>
      </c>
      <c r="H1215" s="70">
        <v>0</v>
      </c>
      <c r="I1215" s="38">
        <f t="shared" si="48"/>
        <v>0</v>
      </c>
      <c r="J1215" s="38">
        <v>0</v>
      </c>
      <c r="K1215" s="38">
        <f t="shared" si="49"/>
        <v>0</v>
      </c>
      <c r="L1215" s="71" t="s">
        <v>207</v>
      </c>
      <c r="Z1215" s="38">
        <f t="shared" si="50"/>
        <v>0</v>
      </c>
      <c r="AB1215" s="38">
        <f t="shared" si="51"/>
        <v>0</v>
      </c>
      <c r="AC1215" s="38">
        <f t="shared" si="52"/>
        <v>0</v>
      </c>
      <c r="AD1215" s="38">
        <f t="shared" si="53"/>
        <v>0</v>
      </c>
      <c r="AE1215" s="38">
        <f t="shared" si="54"/>
        <v>0</v>
      </c>
      <c r="AF1215" s="38">
        <f t="shared" si="55"/>
        <v>0</v>
      </c>
      <c r="AG1215" s="38">
        <f t="shared" si="56"/>
        <v>0</v>
      </c>
      <c r="AH1215" s="38">
        <f t="shared" si="57"/>
        <v>0</v>
      </c>
      <c r="AI1215" s="50" t="s">
        <v>87</v>
      </c>
      <c r="AJ1215" s="38">
        <f t="shared" si="58"/>
        <v>0</v>
      </c>
      <c r="AK1215" s="38">
        <f t="shared" si="59"/>
        <v>0</v>
      </c>
      <c r="AL1215" s="38">
        <f t="shared" si="60"/>
        <v>0</v>
      </c>
      <c r="AN1215" s="38">
        <v>21</v>
      </c>
      <c r="AO1215" s="38">
        <f t="shared" si="61"/>
        <v>0</v>
      </c>
      <c r="AP1215" s="38">
        <f t="shared" si="62"/>
        <v>0</v>
      </c>
      <c r="AQ1215" s="72" t="s">
        <v>162</v>
      </c>
      <c r="AV1215" s="38">
        <f t="shared" si="63"/>
        <v>0</v>
      </c>
      <c r="AW1215" s="38">
        <f t="shared" si="64"/>
        <v>0</v>
      </c>
      <c r="AX1215" s="38">
        <f t="shared" si="65"/>
        <v>0</v>
      </c>
      <c r="AY1215" s="72" t="s">
        <v>2187</v>
      </c>
      <c r="AZ1215" s="72" t="s">
        <v>2050</v>
      </c>
      <c r="BA1215" s="50" t="s">
        <v>2006</v>
      </c>
      <c r="BC1215" s="38">
        <f t="shared" si="66"/>
        <v>0</v>
      </c>
      <c r="BD1215" s="38">
        <f t="shared" si="67"/>
        <v>0</v>
      </c>
      <c r="BE1215" s="38">
        <v>0</v>
      </c>
      <c r="BF1215" s="38">
        <f t="shared" si="68"/>
        <v>0</v>
      </c>
      <c r="BH1215" s="38">
        <f t="shared" si="69"/>
        <v>0</v>
      </c>
      <c r="BI1215" s="38">
        <f t="shared" si="70"/>
        <v>0</v>
      </c>
      <c r="BJ1215" s="38">
        <f t="shared" si="71"/>
        <v>0</v>
      </c>
      <c r="BK1215" s="38"/>
      <c r="BL1215" s="38">
        <v>725</v>
      </c>
      <c r="BW1215" s="38">
        <v>21</v>
      </c>
    </row>
    <row r="1216" spans="1:47" ht="15">
      <c r="A1216" s="65" t="s">
        <v>4</v>
      </c>
      <c r="B1216" s="66" t="s">
        <v>87</v>
      </c>
      <c r="C1216" s="66" t="s">
        <v>2236</v>
      </c>
      <c r="D1216" s="192" t="s">
        <v>2237</v>
      </c>
      <c r="E1216" s="193"/>
      <c r="F1216" s="67" t="s">
        <v>78</v>
      </c>
      <c r="G1216" s="67" t="s">
        <v>78</v>
      </c>
      <c r="H1216" s="68" t="s">
        <v>78</v>
      </c>
      <c r="I1216" s="44">
        <f>SUM(I1217:I1218)</f>
        <v>0</v>
      </c>
      <c r="J1216" s="50" t="s">
        <v>4</v>
      </c>
      <c r="K1216" s="44">
        <f>SUM(K1217:K1218)</f>
        <v>0</v>
      </c>
      <c r="L1216" s="69" t="s">
        <v>4</v>
      </c>
      <c r="AI1216" s="50" t="s">
        <v>87</v>
      </c>
      <c r="AS1216" s="44">
        <f>SUM(AJ1217:AJ1218)</f>
        <v>0</v>
      </c>
      <c r="AT1216" s="44">
        <f>SUM(AK1217:AK1218)</f>
        <v>0</v>
      </c>
      <c r="AU1216" s="44">
        <f>SUM(AL1217:AL1218)</f>
        <v>0</v>
      </c>
    </row>
    <row r="1217" spans="1:75" ht="27" customHeight="1">
      <c r="A1217" s="1" t="s">
        <v>2238</v>
      </c>
      <c r="B1217" s="2" t="s">
        <v>87</v>
      </c>
      <c r="C1217" s="2" t="s">
        <v>2239</v>
      </c>
      <c r="D1217" s="108" t="s">
        <v>2240</v>
      </c>
      <c r="E1217" s="103"/>
      <c r="F1217" s="2" t="s">
        <v>1593</v>
      </c>
      <c r="G1217" s="38">
        <v>6</v>
      </c>
      <c r="H1217" s="70">
        <v>0</v>
      </c>
      <c r="I1217" s="38">
        <f>G1217*H1217</f>
        <v>0</v>
      </c>
      <c r="J1217" s="38">
        <v>0</v>
      </c>
      <c r="K1217" s="38">
        <f>G1217*J1217</f>
        <v>0</v>
      </c>
      <c r="L1217" s="71" t="s">
        <v>207</v>
      </c>
      <c r="Z1217" s="38">
        <f>IF(AQ1217="5",BJ1217,0)</f>
        <v>0</v>
      </c>
      <c r="AB1217" s="38">
        <f>IF(AQ1217="1",BH1217,0)</f>
        <v>0</v>
      </c>
      <c r="AC1217" s="38">
        <f>IF(AQ1217="1",BI1217,0)</f>
        <v>0</v>
      </c>
      <c r="AD1217" s="38">
        <f>IF(AQ1217="7",BH1217,0)</f>
        <v>0</v>
      </c>
      <c r="AE1217" s="38">
        <f>IF(AQ1217="7",BI1217,0)</f>
        <v>0</v>
      </c>
      <c r="AF1217" s="38">
        <f>IF(AQ1217="2",BH1217,0)</f>
        <v>0</v>
      </c>
      <c r="AG1217" s="38">
        <f>IF(AQ1217="2",BI1217,0)</f>
        <v>0</v>
      </c>
      <c r="AH1217" s="38">
        <f>IF(AQ1217="0",BJ1217,0)</f>
        <v>0</v>
      </c>
      <c r="AI1217" s="50" t="s">
        <v>87</v>
      </c>
      <c r="AJ1217" s="38">
        <f>IF(AN1217=0,I1217,0)</f>
        <v>0</v>
      </c>
      <c r="AK1217" s="38">
        <f>IF(AN1217=12,I1217,0)</f>
        <v>0</v>
      </c>
      <c r="AL1217" s="38">
        <f>IF(AN1217=21,I1217,0)</f>
        <v>0</v>
      </c>
      <c r="AN1217" s="38">
        <v>21</v>
      </c>
      <c r="AO1217" s="38">
        <f>H1217*0</f>
        <v>0</v>
      </c>
      <c r="AP1217" s="38">
        <f>H1217*(1-0)</f>
        <v>0</v>
      </c>
      <c r="AQ1217" s="72" t="s">
        <v>169</v>
      </c>
      <c r="AV1217" s="38">
        <f>AW1217+AX1217</f>
        <v>0</v>
      </c>
      <c r="AW1217" s="38">
        <f>G1217*AO1217</f>
        <v>0</v>
      </c>
      <c r="AX1217" s="38">
        <f>G1217*AP1217</f>
        <v>0</v>
      </c>
      <c r="AY1217" s="72" t="s">
        <v>2241</v>
      </c>
      <c r="AZ1217" s="72" t="s">
        <v>2050</v>
      </c>
      <c r="BA1217" s="50" t="s">
        <v>2006</v>
      </c>
      <c r="BC1217" s="38">
        <f>AW1217+AX1217</f>
        <v>0</v>
      </c>
      <c r="BD1217" s="38">
        <f>H1217/(100-BE1217)*100</f>
        <v>0</v>
      </c>
      <c r="BE1217" s="38">
        <v>0</v>
      </c>
      <c r="BF1217" s="38">
        <f>K1217</f>
        <v>0</v>
      </c>
      <c r="BH1217" s="38">
        <f>G1217*AO1217</f>
        <v>0</v>
      </c>
      <c r="BI1217" s="38">
        <f>G1217*AP1217</f>
        <v>0</v>
      </c>
      <c r="BJ1217" s="38">
        <f>G1217*H1217</f>
        <v>0</v>
      </c>
      <c r="BK1217" s="38"/>
      <c r="BL1217" s="38">
        <v>726</v>
      </c>
      <c r="BW1217" s="38">
        <v>21</v>
      </c>
    </row>
    <row r="1218" spans="1:75" ht="13.5" customHeight="1">
      <c r="A1218" s="1" t="s">
        <v>2242</v>
      </c>
      <c r="B1218" s="2" t="s">
        <v>87</v>
      </c>
      <c r="C1218" s="2" t="s">
        <v>2243</v>
      </c>
      <c r="D1218" s="108" t="s">
        <v>2244</v>
      </c>
      <c r="E1218" s="103"/>
      <c r="F1218" s="2" t="s">
        <v>189</v>
      </c>
      <c r="G1218" s="38">
        <v>0.1</v>
      </c>
      <c r="H1218" s="70">
        <v>0</v>
      </c>
      <c r="I1218" s="38">
        <f>G1218*H1218</f>
        <v>0</v>
      </c>
      <c r="J1218" s="38">
        <v>0</v>
      </c>
      <c r="K1218" s="38">
        <f>G1218*J1218</f>
        <v>0</v>
      </c>
      <c r="L1218" s="71" t="s">
        <v>207</v>
      </c>
      <c r="Z1218" s="38">
        <f>IF(AQ1218="5",BJ1218,0)</f>
        <v>0</v>
      </c>
      <c r="AB1218" s="38">
        <f>IF(AQ1218="1",BH1218,0)</f>
        <v>0</v>
      </c>
      <c r="AC1218" s="38">
        <f>IF(AQ1218="1",BI1218,0)</f>
        <v>0</v>
      </c>
      <c r="AD1218" s="38">
        <f>IF(AQ1218="7",BH1218,0)</f>
        <v>0</v>
      </c>
      <c r="AE1218" s="38">
        <f>IF(AQ1218="7",BI1218,0)</f>
        <v>0</v>
      </c>
      <c r="AF1218" s="38">
        <f>IF(AQ1218="2",BH1218,0)</f>
        <v>0</v>
      </c>
      <c r="AG1218" s="38">
        <f>IF(AQ1218="2",BI1218,0)</f>
        <v>0</v>
      </c>
      <c r="AH1218" s="38">
        <f>IF(AQ1218="0",BJ1218,0)</f>
        <v>0</v>
      </c>
      <c r="AI1218" s="50" t="s">
        <v>87</v>
      </c>
      <c r="AJ1218" s="38">
        <f>IF(AN1218=0,I1218,0)</f>
        <v>0</v>
      </c>
      <c r="AK1218" s="38">
        <f>IF(AN1218=12,I1218,0)</f>
        <v>0</v>
      </c>
      <c r="AL1218" s="38">
        <f>IF(AN1218=21,I1218,0)</f>
        <v>0</v>
      </c>
      <c r="AN1218" s="38">
        <v>21</v>
      </c>
      <c r="AO1218" s="38">
        <f>H1218*0</f>
        <v>0</v>
      </c>
      <c r="AP1218" s="38">
        <f>H1218*(1-0)</f>
        <v>0</v>
      </c>
      <c r="AQ1218" s="72" t="s">
        <v>162</v>
      </c>
      <c r="AV1218" s="38">
        <f>AW1218+AX1218</f>
        <v>0</v>
      </c>
      <c r="AW1218" s="38">
        <f>G1218*AO1218</f>
        <v>0</v>
      </c>
      <c r="AX1218" s="38">
        <f>G1218*AP1218</f>
        <v>0</v>
      </c>
      <c r="AY1218" s="72" t="s">
        <v>2241</v>
      </c>
      <c r="AZ1218" s="72" t="s">
        <v>2050</v>
      </c>
      <c r="BA1218" s="50" t="s">
        <v>2006</v>
      </c>
      <c r="BC1218" s="38">
        <f>AW1218+AX1218</f>
        <v>0</v>
      </c>
      <c r="BD1218" s="38">
        <f>H1218/(100-BE1218)*100</f>
        <v>0</v>
      </c>
      <c r="BE1218" s="38">
        <v>0</v>
      </c>
      <c r="BF1218" s="38">
        <f>K1218</f>
        <v>0</v>
      </c>
      <c r="BH1218" s="38">
        <f>G1218*AO1218</f>
        <v>0</v>
      </c>
      <c r="BI1218" s="38">
        <f>G1218*AP1218</f>
        <v>0</v>
      </c>
      <c r="BJ1218" s="38">
        <f>G1218*H1218</f>
        <v>0</v>
      </c>
      <c r="BK1218" s="38"/>
      <c r="BL1218" s="38">
        <v>726</v>
      </c>
      <c r="BW1218" s="38">
        <v>21</v>
      </c>
    </row>
    <row r="1219" spans="1:47" ht="15">
      <c r="A1219" s="65" t="s">
        <v>4</v>
      </c>
      <c r="B1219" s="66" t="s">
        <v>87</v>
      </c>
      <c r="C1219" s="66" t="s">
        <v>1504</v>
      </c>
      <c r="D1219" s="192" t="s">
        <v>1505</v>
      </c>
      <c r="E1219" s="193"/>
      <c r="F1219" s="67" t="s">
        <v>78</v>
      </c>
      <c r="G1219" s="67" t="s">
        <v>78</v>
      </c>
      <c r="H1219" s="68" t="s">
        <v>78</v>
      </c>
      <c r="I1219" s="44">
        <f>SUM(I1220:I1223)</f>
        <v>0</v>
      </c>
      <c r="J1219" s="50" t="s">
        <v>4</v>
      </c>
      <c r="K1219" s="44">
        <f>SUM(K1220:K1223)</f>
        <v>0</v>
      </c>
      <c r="L1219" s="69" t="s">
        <v>4</v>
      </c>
      <c r="AI1219" s="50" t="s">
        <v>87</v>
      </c>
      <c r="AS1219" s="44">
        <f>SUM(AJ1220:AJ1223)</f>
        <v>0</v>
      </c>
      <c r="AT1219" s="44">
        <f>SUM(AK1220:AK1223)</f>
        <v>0</v>
      </c>
      <c r="AU1219" s="44">
        <f>SUM(AL1220:AL1223)</f>
        <v>0</v>
      </c>
    </row>
    <row r="1220" spans="1:75" ht="13.5" customHeight="1">
      <c r="A1220" s="1" t="s">
        <v>2245</v>
      </c>
      <c r="B1220" s="2" t="s">
        <v>87</v>
      </c>
      <c r="C1220" s="2" t="s">
        <v>2246</v>
      </c>
      <c r="D1220" s="108" t="s">
        <v>2247</v>
      </c>
      <c r="E1220" s="103"/>
      <c r="F1220" s="2" t="s">
        <v>214</v>
      </c>
      <c r="G1220" s="38">
        <v>10</v>
      </c>
      <c r="H1220" s="70">
        <v>0</v>
      </c>
      <c r="I1220" s="38">
        <f>G1220*H1220</f>
        <v>0</v>
      </c>
      <c r="J1220" s="38">
        <v>0</v>
      </c>
      <c r="K1220" s="38">
        <f>G1220*J1220</f>
        <v>0</v>
      </c>
      <c r="L1220" s="71" t="s">
        <v>207</v>
      </c>
      <c r="Z1220" s="38">
        <f>IF(AQ1220="5",BJ1220,0)</f>
        <v>0</v>
      </c>
      <c r="AB1220" s="38">
        <f>IF(AQ1220="1",BH1220,0)</f>
        <v>0</v>
      </c>
      <c r="AC1220" s="38">
        <f>IF(AQ1220="1",BI1220,0)</f>
        <v>0</v>
      </c>
      <c r="AD1220" s="38">
        <f>IF(AQ1220="7",BH1220,0)</f>
        <v>0</v>
      </c>
      <c r="AE1220" s="38">
        <f>IF(AQ1220="7",BI1220,0)</f>
        <v>0</v>
      </c>
      <c r="AF1220" s="38">
        <f>IF(AQ1220="2",BH1220,0)</f>
        <v>0</v>
      </c>
      <c r="AG1220" s="38">
        <f>IF(AQ1220="2",BI1220,0)</f>
        <v>0</v>
      </c>
      <c r="AH1220" s="38">
        <f>IF(AQ1220="0",BJ1220,0)</f>
        <v>0</v>
      </c>
      <c r="AI1220" s="50" t="s">
        <v>87</v>
      </c>
      <c r="AJ1220" s="38">
        <f>IF(AN1220=0,I1220,0)</f>
        <v>0</v>
      </c>
      <c r="AK1220" s="38">
        <f>IF(AN1220=12,I1220,0)</f>
        <v>0</v>
      </c>
      <c r="AL1220" s="38">
        <f>IF(AN1220=21,I1220,0)</f>
        <v>0</v>
      </c>
      <c r="AN1220" s="38">
        <v>21</v>
      </c>
      <c r="AO1220" s="38">
        <f>H1220*0</f>
        <v>0</v>
      </c>
      <c r="AP1220" s="38">
        <f>H1220*(1-0)</f>
        <v>0</v>
      </c>
      <c r="AQ1220" s="72" t="s">
        <v>169</v>
      </c>
      <c r="AV1220" s="38">
        <f>AW1220+AX1220</f>
        <v>0</v>
      </c>
      <c r="AW1220" s="38">
        <f>G1220*AO1220</f>
        <v>0</v>
      </c>
      <c r="AX1220" s="38">
        <f>G1220*AP1220</f>
        <v>0</v>
      </c>
      <c r="AY1220" s="72" t="s">
        <v>1509</v>
      </c>
      <c r="AZ1220" s="72" t="s">
        <v>2248</v>
      </c>
      <c r="BA1220" s="50" t="s">
        <v>2006</v>
      </c>
      <c r="BC1220" s="38">
        <f>AW1220+AX1220</f>
        <v>0</v>
      </c>
      <c r="BD1220" s="38">
        <f>H1220/(100-BE1220)*100</f>
        <v>0</v>
      </c>
      <c r="BE1220" s="38">
        <v>0</v>
      </c>
      <c r="BF1220" s="38">
        <f>K1220</f>
        <v>0</v>
      </c>
      <c r="BH1220" s="38">
        <f>G1220*AO1220</f>
        <v>0</v>
      </c>
      <c r="BI1220" s="38">
        <f>G1220*AP1220</f>
        <v>0</v>
      </c>
      <c r="BJ1220" s="38">
        <f>G1220*H1220</f>
        <v>0</v>
      </c>
      <c r="BK1220" s="38"/>
      <c r="BL1220" s="38">
        <v>783</v>
      </c>
      <c r="BW1220" s="38">
        <v>21</v>
      </c>
    </row>
    <row r="1221" spans="1:75" ht="13.5" customHeight="1">
      <c r="A1221" s="1" t="s">
        <v>2249</v>
      </c>
      <c r="B1221" s="2" t="s">
        <v>87</v>
      </c>
      <c r="C1221" s="2" t="s">
        <v>2250</v>
      </c>
      <c r="D1221" s="108" t="s">
        <v>2251</v>
      </c>
      <c r="E1221" s="103"/>
      <c r="F1221" s="2" t="s">
        <v>214</v>
      </c>
      <c r="G1221" s="38">
        <v>10</v>
      </c>
      <c r="H1221" s="70">
        <v>0</v>
      </c>
      <c r="I1221" s="38">
        <f>G1221*H1221</f>
        <v>0</v>
      </c>
      <c r="J1221" s="38">
        <v>0</v>
      </c>
      <c r="K1221" s="38">
        <f>G1221*J1221</f>
        <v>0</v>
      </c>
      <c r="L1221" s="71" t="s">
        <v>207</v>
      </c>
      <c r="Z1221" s="38">
        <f>IF(AQ1221="5",BJ1221,0)</f>
        <v>0</v>
      </c>
      <c r="AB1221" s="38">
        <f>IF(AQ1221="1",BH1221,0)</f>
        <v>0</v>
      </c>
      <c r="AC1221" s="38">
        <f>IF(AQ1221="1",BI1221,0)</f>
        <v>0</v>
      </c>
      <c r="AD1221" s="38">
        <f>IF(AQ1221="7",BH1221,0)</f>
        <v>0</v>
      </c>
      <c r="AE1221" s="38">
        <f>IF(AQ1221="7",BI1221,0)</f>
        <v>0</v>
      </c>
      <c r="AF1221" s="38">
        <f>IF(AQ1221="2",BH1221,0)</f>
        <v>0</v>
      </c>
      <c r="AG1221" s="38">
        <f>IF(AQ1221="2",BI1221,0)</f>
        <v>0</v>
      </c>
      <c r="AH1221" s="38">
        <f>IF(AQ1221="0",BJ1221,0)</f>
        <v>0</v>
      </c>
      <c r="AI1221" s="50" t="s">
        <v>87</v>
      </c>
      <c r="AJ1221" s="38">
        <f>IF(AN1221=0,I1221,0)</f>
        <v>0</v>
      </c>
      <c r="AK1221" s="38">
        <f>IF(AN1221=12,I1221,0)</f>
        <v>0</v>
      </c>
      <c r="AL1221" s="38">
        <f>IF(AN1221=21,I1221,0)</f>
        <v>0</v>
      </c>
      <c r="AN1221" s="38">
        <v>21</v>
      </c>
      <c r="AO1221" s="38">
        <f>H1221*0</f>
        <v>0</v>
      </c>
      <c r="AP1221" s="38">
        <f>H1221*(1-0)</f>
        <v>0</v>
      </c>
      <c r="AQ1221" s="72" t="s">
        <v>169</v>
      </c>
      <c r="AV1221" s="38">
        <f>AW1221+AX1221</f>
        <v>0</v>
      </c>
      <c r="AW1221" s="38">
        <f>G1221*AO1221</f>
        <v>0</v>
      </c>
      <c r="AX1221" s="38">
        <f>G1221*AP1221</f>
        <v>0</v>
      </c>
      <c r="AY1221" s="72" t="s">
        <v>1509</v>
      </c>
      <c r="AZ1221" s="72" t="s">
        <v>2248</v>
      </c>
      <c r="BA1221" s="50" t="s">
        <v>2006</v>
      </c>
      <c r="BC1221" s="38">
        <f>AW1221+AX1221</f>
        <v>0</v>
      </c>
      <c r="BD1221" s="38">
        <f>H1221/(100-BE1221)*100</f>
        <v>0</v>
      </c>
      <c r="BE1221" s="38">
        <v>0</v>
      </c>
      <c r="BF1221" s="38">
        <f>K1221</f>
        <v>0</v>
      </c>
      <c r="BH1221" s="38">
        <f>G1221*AO1221</f>
        <v>0</v>
      </c>
      <c r="BI1221" s="38">
        <f>G1221*AP1221</f>
        <v>0</v>
      </c>
      <c r="BJ1221" s="38">
        <f>G1221*H1221</f>
        <v>0</v>
      </c>
      <c r="BK1221" s="38"/>
      <c r="BL1221" s="38">
        <v>783</v>
      </c>
      <c r="BW1221" s="38">
        <v>21</v>
      </c>
    </row>
    <row r="1222" spans="1:75" ht="13.5" customHeight="1">
      <c r="A1222" s="1" t="s">
        <v>2252</v>
      </c>
      <c r="B1222" s="2" t="s">
        <v>87</v>
      </c>
      <c r="C1222" s="2" t="s">
        <v>2253</v>
      </c>
      <c r="D1222" s="108" t="s">
        <v>2254</v>
      </c>
      <c r="E1222" s="103"/>
      <c r="F1222" s="2" t="s">
        <v>214</v>
      </c>
      <c r="G1222" s="38">
        <v>10</v>
      </c>
      <c r="H1222" s="70">
        <v>0</v>
      </c>
      <c r="I1222" s="38">
        <f>G1222*H1222</f>
        <v>0</v>
      </c>
      <c r="J1222" s="38">
        <v>0</v>
      </c>
      <c r="K1222" s="38">
        <f>G1222*J1222</f>
        <v>0</v>
      </c>
      <c r="L1222" s="71" t="s">
        <v>207</v>
      </c>
      <c r="Z1222" s="38">
        <f>IF(AQ1222="5",BJ1222,0)</f>
        <v>0</v>
      </c>
      <c r="AB1222" s="38">
        <f>IF(AQ1222="1",BH1222,0)</f>
        <v>0</v>
      </c>
      <c r="AC1222" s="38">
        <f>IF(AQ1222="1",BI1222,0)</f>
        <v>0</v>
      </c>
      <c r="AD1222" s="38">
        <f>IF(AQ1222="7",BH1222,0)</f>
        <v>0</v>
      </c>
      <c r="AE1222" s="38">
        <f>IF(AQ1222="7",BI1222,0)</f>
        <v>0</v>
      </c>
      <c r="AF1222" s="38">
        <f>IF(AQ1222="2",BH1222,0)</f>
        <v>0</v>
      </c>
      <c r="AG1222" s="38">
        <f>IF(AQ1222="2",BI1222,0)</f>
        <v>0</v>
      </c>
      <c r="AH1222" s="38">
        <f>IF(AQ1222="0",BJ1222,0)</f>
        <v>0</v>
      </c>
      <c r="AI1222" s="50" t="s">
        <v>87</v>
      </c>
      <c r="AJ1222" s="38">
        <f>IF(AN1222=0,I1222,0)</f>
        <v>0</v>
      </c>
      <c r="AK1222" s="38">
        <f>IF(AN1222=12,I1222,0)</f>
        <v>0</v>
      </c>
      <c r="AL1222" s="38">
        <f>IF(AN1222=21,I1222,0)</f>
        <v>0</v>
      </c>
      <c r="AN1222" s="38">
        <v>21</v>
      </c>
      <c r="AO1222" s="38">
        <f>H1222*0</f>
        <v>0</v>
      </c>
      <c r="AP1222" s="38">
        <f>H1222*(1-0)</f>
        <v>0</v>
      </c>
      <c r="AQ1222" s="72" t="s">
        <v>169</v>
      </c>
      <c r="AV1222" s="38">
        <f>AW1222+AX1222</f>
        <v>0</v>
      </c>
      <c r="AW1222" s="38">
        <f>G1222*AO1222</f>
        <v>0</v>
      </c>
      <c r="AX1222" s="38">
        <f>G1222*AP1222</f>
        <v>0</v>
      </c>
      <c r="AY1222" s="72" t="s">
        <v>1509</v>
      </c>
      <c r="AZ1222" s="72" t="s">
        <v>2248</v>
      </c>
      <c r="BA1222" s="50" t="s">
        <v>2006</v>
      </c>
      <c r="BC1222" s="38">
        <f>AW1222+AX1222</f>
        <v>0</v>
      </c>
      <c r="BD1222" s="38">
        <f>H1222/(100-BE1222)*100</f>
        <v>0</v>
      </c>
      <c r="BE1222" s="38">
        <v>0</v>
      </c>
      <c r="BF1222" s="38">
        <f>K1222</f>
        <v>0</v>
      </c>
      <c r="BH1222" s="38">
        <f>G1222*AO1222</f>
        <v>0</v>
      </c>
      <c r="BI1222" s="38">
        <f>G1222*AP1222</f>
        <v>0</v>
      </c>
      <c r="BJ1222" s="38">
        <f>G1222*H1222</f>
        <v>0</v>
      </c>
      <c r="BK1222" s="38"/>
      <c r="BL1222" s="38">
        <v>783</v>
      </c>
      <c r="BW1222" s="38">
        <v>21</v>
      </c>
    </row>
    <row r="1223" spans="1:75" ht="13.5" customHeight="1">
      <c r="A1223" s="1" t="s">
        <v>2255</v>
      </c>
      <c r="B1223" s="2" t="s">
        <v>87</v>
      </c>
      <c r="C1223" s="2" t="s">
        <v>2256</v>
      </c>
      <c r="D1223" s="108" t="s">
        <v>2257</v>
      </c>
      <c r="E1223" s="103"/>
      <c r="F1223" s="2" t="s">
        <v>214</v>
      </c>
      <c r="G1223" s="38">
        <v>10</v>
      </c>
      <c r="H1223" s="70">
        <v>0</v>
      </c>
      <c r="I1223" s="38">
        <f>G1223*H1223</f>
        <v>0</v>
      </c>
      <c r="J1223" s="38">
        <v>0</v>
      </c>
      <c r="K1223" s="38">
        <f>G1223*J1223</f>
        <v>0</v>
      </c>
      <c r="L1223" s="71" t="s">
        <v>207</v>
      </c>
      <c r="Z1223" s="38">
        <f>IF(AQ1223="5",BJ1223,0)</f>
        <v>0</v>
      </c>
      <c r="AB1223" s="38">
        <f>IF(AQ1223="1",BH1223,0)</f>
        <v>0</v>
      </c>
      <c r="AC1223" s="38">
        <f>IF(AQ1223="1",BI1223,0)</f>
        <v>0</v>
      </c>
      <c r="AD1223" s="38">
        <f>IF(AQ1223="7",BH1223,0)</f>
        <v>0</v>
      </c>
      <c r="AE1223" s="38">
        <f>IF(AQ1223="7",BI1223,0)</f>
        <v>0</v>
      </c>
      <c r="AF1223" s="38">
        <f>IF(AQ1223="2",BH1223,0)</f>
        <v>0</v>
      </c>
      <c r="AG1223" s="38">
        <f>IF(AQ1223="2",BI1223,0)</f>
        <v>0</v>
      </c>
      <c r="AH1223" s="38">
        <f>IF(AQ1223="0",BJ1223,0)</f>
        <v>0</v>
      </c>
      <c r="AI1223" s="50" t="s">
        <v>87</v>
      </c>
      <c r="AJ1223" s="38">
        <f>IF(AN1223=0,I1223,0)</f>
        <v>0</v>
      </c>
      <c r="AK1223" s="38">
        <f>IF(AN1223=12,I1223,0)</f>
        <v>0</v>
      </c>
      <c r="AL1223" s="38">
        <f>IF(AN1223=21,I1223,0)</f>
        <v>0</v>
      </c>
      <c r="AN1223" s="38">
        <v>21</v>
      </c>
      <c r="AO1223" s="38">
        <f>H1223*0</f>
        <v>0</v>
      </c>
      <c r="AP1223" s="38">
        <f>H1223*(1-0)</f>
        <v>0</v>
      </c>
      <c r="AQ1223" s="72" t="s">
        <v>169</v>
      </c>
      <c r="AV1223" s="38">
        <f>AW1223+AX1223</f>
        <v>0</v>
      </c>
      <c r="AW1223" s="38">
        <f>G1223*AO1223</f>
        <v>0</v>
      </c>
      <c r="AX1223" s="38">
        <f>G1223*AP1223</f>
        <v>0</v>
      </c>
      <c r="AY1223" s="72" t="s">
        <v>1509</v>
      </c>
      <c r="AZ1223" s="72" t="s">
        <v>2248</v>
      </c>
      <c r="BA1223" s="50" t="s">
        <v>2006</v>
      </c>
      <c r="BC1223" s="38">
        <f>AW1223+AX1223</f>
        <v>0</v>
      </c>
      <c r="BD1223" s="38">
        <f>H1223/(100-BE1223)*100</f>
        <v>0</v>
      </c>
      <c r="BE1223" s="38">
        <v>0</v>
      </c>
      <c r="BF1223" s="38">
        <f>K1223</f>
        <v>0</v>
      </c>
      <c r="BH1223" s="38">
        <f>G1223*AO1223</f>
        <v>0</v>
      </c>
      <c r="BI1223" s="38">
        <f>G1223*AP1223</f>
        <v>0</v>
      </c>
      <c r="BJ1223" s="38">
        <f>G1223*H1223</f>
        <v>0</v>
      </c>
      <c r="BK1223" s="38"/>
      <c r="BL1223" s="38">
        <v>783</v>
      </c>
      <c r="BW1223" s="38">
        <v>21</v>
      </c>
    </row>
    <row r="1224" spans="1:47" ht="15">
      <c r="A1224" s="65" t="s">
        <v>4</v>
      </c>
      <c r="B1224" s="66" t="s">
        <v>87</v>
      </c>
      <c r="C1224" s="66" t="s">
        <v>691</v>
      </c>
      <c r="D1224" s="192" t="s">
        <v>1639</v>
      </c>
      <c r="E1224" s="193"/>
      <c r="F1224" s="67" t="s">
        <v>78</v>
      </c>
      <c r="G1224" s="67" t="s">
        <v>78</v>
      </c>
      <c r="H1224" s="68" t="s">
        <v>78</v>
      </c>
      <c r="I1224" s="44">
        <f>SUM(I1225:I1228)</f>
        <v>0</v>
      </c>
      <c r="J1224" s="50" t="s">
        <v>4</v>
      </c>
      <c r="K1224" s="44">
        <f>SUM(K1225:K1228)</f>
        <v>0</v>
      </c>
      <c r="L1224" s="69" t="s">
        <v>4</v>
      </c>
      <c r="AI1224" s="50" t="s">
        <v>87</v>
      </c>
      <c r="AS1224" s="44">
        <f>SUM(AJ1225:AJ1228)</f>
        <v>0</v>
      </c>
      <c r="AT1224" s="44">
        <f>SUM(AK1225:AK1228)</f>
        <v>0</v>
      </c>
      <c r="AU1224" s="44">
        <f>SUM(AL1225:AL1228)</f>
        <v>0</v>
      </c>
    </row>
    <row r="1225" spans="1:75" ht="13.5" customHeight="1">
      <c r="A1225" s="1" t="s">
        <v>2258</v>
      </c>
      <c r="B1225" s="2" t="s">
        <v>87</v>
      </c>
      <c r="C1225" s="2" t="s">
        <v>2259</v>
      </c>
      <c r="D1225" s="108" t="s">
        <v>2260</v>
      </c>
      <c r="E1225" s="103"/>
      <c r="F1225" s="2" t="s">
        <v>199</v>
      </c>
      <c r="G1225" s="38">
        <v>2</v>
      </c>
      <c r="H1225" s="70">
        <v>0</v>
      </c>
      <c r="I1225" s="38">
        <f>G1225*H1225</f>
        <v>0</v>
      </c>
      <c r="J1225" s="38">
        <v>0</v>
      </c>
      <c r="K1225" s="38">
        <f>G1225*J1225</f>
        <v>0</v>
      </c>
      <c r="L1225" s="71" t="s">
        <v>207</v>
      </c>
      <c r="Z1225" s="38">
        <f>IF(AQ1225="5",BJ1225,0)</f>
        <v>0</v>
      </c>
      <c r="AB1225" s="38">
        <f>IF(AQ1225="1",BH1225,0)</f>
        <v>0</v>
      </c>
      <c r="AC1225" s="38">
        <f>IF(AQ1225="1",BI1225,0)</f>
        <v>0</v>
      </c>
      <c r="AD1225" s="38">
        <f>IF(AQ1225="7",BH1225,0)</f>
        <v>0</v>
      </c>
      <c r="AE1225" s="38">
        <f>IF(AQ1225="7",BI1225,0)</f>
        <v>0</v>
      </c>
      <c r="AF1225" s="38">
        <f>IF(AQ1225="2",BH1225,0)</f>
        <v>0</v>
      </c>
      <c r="AG1225" s="38">
        <f>IF(AQ1225="2",BI1225,0)</f>
        <v>0</v>
      </c>
      <c r="AH1225" s="38">
        <f>IF(AQ1225="0",BJ1225,0)</f>
        <v>0</v>
      </c>
      <c r="AI1225" s="50" t="s">
        <v>87</v>
      </c>
      <c r="AJ1225" s="38">
        <f>IF(AN1225=0,I1225,0)</f>
        <v>0</v>
      </c>
      <c r="AK1225" s="38">
        <f>IF(AN1225=12,I1225,0)</f>
        <v>0</v>
      </c>
      <c r="AL1225" s="38">
        <f>IF(AN1225=21,I1225,0)</f>
        <v>0</v>
      </c>
      <c r="AN1225" s="38">
        <v>21</v>
      </c>
      <c r="AO1225" s="38">
        <f>H1225*0</f>
        <v>0</v>
      </c>
      <c r="AP1225" s="38">
        <f>H1225*(1-0)</f>
        <v>0</v>
      </c>
      <c r="AQ1225" s="72" t="s">
        <v>132</v>
      </c>
      <c r="AV1225" s="38">
        <f>AW1225+AX1225</f>
        <v>0</v>
      </c>
      <c r="AW1225" s="38">
        <f>G1225*AO1225</f>
        <v>0</v>
      </c>
      <c r="AX1225" s="38">
        <f>G1225*AP1225</f>
        <v>0</v>
      </c>
      <c r="AY1225" s="72" t="s">
        <v>1643</v>
      </c>
      <c r="AZ1225" s="72" t="s">
        <v>2261</v>
      </c>
      <c r="BA1225" s="50" t="s">
        <v>2006</v>
      </c>
      <c r="BC1225" s="38">
        <f>AW1225+AX1225</f>
        <v>0</v>
      </c>
      <c r="BD1225" s="38">
        <f>H1225/(100-BE1225)*100</f>
        <v>0</v>
      </c>
      <c r="BE1225" s="38">
        <v>0</v>
      </c>
      <c r="BF1225" s="38">
        <f>K1225</f>
        <v>0</v>
      </c>
      <c r="BH1225" s="38">
        <f>G1225*AO1225</f>
        <v>0</v>
      </c>
      <c r="BI1225" s="38">
        <f>G1225*AP1225</f>
        <v>0</v>
      </c>
      <c r="BJ1225" s="38">
        <f>G1225*H1225</f>
        <v>0</v>
      </c>
      <c r="BK1225" s="38"/>
      <c r="BL1225" s="38">
        <v>89</v>
      </c>
      <c r="BW1225" s="38">
        <v>21</v>
      </c>
    </row>
    <row r="1226" spans="1:75" ht="13.5" customHeight="1">
      <c r="A1226" s="1" t="s">
        <v>2262</v>
      </c>
      <c r="B1226" s="2" t="s">
        <v>87</v>
      </c>
      <c r="C1226" s="2" t="s">
        <v>2263</v>
      </c>
      <c r="D1226" s="108" t="s">
        <v>2264</v>
      </c>
      <c r="E1226" s="103"/>
      <c r="F1226" s="2" t="s">
        <v>199</v>
      </c>
      <c r="G1226" s="38">
        <v>4</v>
      </c>
      <c r="H1226" s="70">
        <v>0</v>
      </c>
      <c r="I1226" s="38">
        <f>G1226*H1226</f>
        <v>0</v>
      </c>
      <c r="J1226" s="38">
        <v>0</v>
      </c>
      <c r="K1226" s="38">
        <f>G1226*J1226</f>
        <v>0</v>
      </c>
      <c r="L1226" s="71" t="s">
        <v>207</v>
      </c>
      <c r="Z1226" s="38">
        <f>IF(AQ1226="5",BJ1226,0)</f>
        <v>0</v>
      </c>
      <c r="AB1226" s="38">
        <f>IF(AQ1226="1",BH1226,0)</f>
        <v>0</v>
      </c>
      <c r="AC1226" s="38">
        <f>IF(AQ1226="1",BI1226,0)</f>
        <v>0</v>
      </c>
      <c r="AD1226" s="38">
        <f>IF(AQ1226="7",BH1226,0)</f>
        <v>0</v>
      </c>
      <c r="AE1226" s="38">
        <f>IF(AQ1226="7",BI1226,0)</f>
        <v>0</v>
      </c>
      <c r="AF1226" s="38">
        <f>IF(AQ1226="2",BH1226,0)</f>
        <v>0</v>
      </c>
      <c r="AG1226" s="38">
        <f>IF(AQ1226="2",BI1226,0)</f>
        <v>0</v>
      </c>
      <c r="AH1226" s="38">
        <f>IF(AQ1226="0",BJ1226,0)</f>
        <v>0</v>
      </c>
      <c r="AI1226" s="50" t="s">
        <v>87</v>
      </c>
      <c r="AJ1226" s="38">
        <f>IF(AN1226=0,I1226,0)</f>
        <v>0</v>
      </c>
      <c r="AK1226" s="38">
        <f>IF(AN1226=12,I1226,0)</f>
        <v>0</v>
      </c>
      <c r="AL1226" s="38">
        <f>IF(AN1226=21,I1226,0)</f>
        <v>0</v>
      </c>
      <c r="AN1226" s="38">
        <v>21</v>
      </c>
      <c r="AO1226" s="38">
        <f>H1226*0</f>
        <v>0</v>
      </c>
      <c r="AP1226" s="38">
        <f>H1226*(1-0)</f>
        <v>0</v>
      </c>
      <c r="AQ1226" s="72" t="s">
        <v>132</v>
      </c>
      <c r="AV1226" s="38">
        <f>AW1226+AX1226</f>
        <v>0</v>
      </c>
      <c r="AW1226" s="38">
        <f>G1226*AO1226</f>
        <v>0</v>
      </c>
      <c r="AX1226" s="38">
        <f>G1226*AP1226</f>
        <v>0</v>
      </c>
      <c r="AY1226" s="72" t="s">
        <v>1643</v>
      </c>
      <c r="AZ1226" s="72" t="s">
        <v>2261</v>
      </c>
      <c r="BA1226" s="50" t="s">
        <v>2006</v>
      </c>
      <c r="BC1226" s="38">
        <f>AW1226+AX1226</f>
        <v>0</v>
      </c>
      <c r="BD1226" s="38">
        <f>H1226/(100-BE1226)*100</f>
        <v>0</v>
      </c>
      <c r="BE1226" s="38">
        <v>0</v>
      </c>
      <c r="BF1226" s="38">
        <f>K1226</f>
        <v>0</v>
      </c>
      <c r="BH1226" s="38">
        <f>G1226*AO1226</f>
        <v>0</v>
      </c>
      <c r="BI1226" s="38">
        <f>G1226*AP1226</f>
        <v>0</v>
      </c>
      <c r="BJ1226" s="38">
        <f>G1226*H1226</f>
        <v>0</v>
      </c>
      <c r="BK1226" s="38"/>
      <c r="BL1226" s="38">
        <v>89</v>
      </c>
      <c r="BW1226" s="38">
        <v>21</v>
      </c>
    </row>
    <row r="1227" spans="1:75" ht="13.5" customHeight="1">
      <c r="A1227" s="1" t="s">
        <v>2265</v>
      </c>
      <c r="B1227" s="2" t="s">
        <v>87</v>
      </c>
      <c r="C1227" s="2" t="s">
        <v>2266</v>
      </c>
      <c r="D1227" s="108" t="s">
        <v>2267</v>
      </c>
      <c r="E1227" s="103"/>
      <c r="F1227" s="2" t="s">
        <v>199</v>
      </c>
      <c r="G1227" s="38">
        <v>2</v>
      </c>
      <c r="H1227" s="70">
        <v>0</v>
      </c>
      <c r="I1227" s="38">
        <f>G1227*H1227</f>
        <v>0</v>
      </c>
      <c r="J1227" s="38">
        <v>0</v>
      </c>
      <c r="K1227" s="38">
        <f>G1227*J1227</f>
        <v>0</v>
      </c>
      <c r="L1227" s="71" t="s">
        <v>207</v>
      </c>
      <c r="Z1227" s="38">
        <f>IF(AQ1227="5",BJ1227,0)</f>
        <v>0</v>
      </c>
      <c r="AB1227" s="38">
        <f>IF(AQ1227="1",BH1227,0)</f>
        <v>0</v>
      </c>
      <c r="AC1227" s="38">
        <f>IF(AQ1227="1",BI1227,0)</f>
        <v>0</v>
      </c>
      <c r="AD1227" s="38">
        <f>IF(AQ1227="7",BH1227,0)</f>
        <v>0</v>
      </c>
      <c r="AE1227" s="38">
        <f>IF(AQ1227="7",BI1227,0)</f>
        <v>0</v>
      </c>
      <c r="AF1227" s="38">
        <f>IF(AQ1227="2",BH1227,0)</f>
        <v>0</v>
      </c>
      <c r="AG1227" s="38">
        <f>IF(AQ1227="2",BI1227,0)</f>
        <v>0</v>
      </c>
      <c r="AH1227" s="38">
        <f>IF(AQ1227="0",BJ1227,0)</f>
        <v>0</v>
      </c>
      <c r="AI1227" s="50" t="s">
        <v>87</v>
      </c>
      <c r="AJ1227" s="38">
        <f>IF(AN1227=0,I1227,0)</f>
        <v>0</v>
      </c>
      <c r="AK1227" s="38">
        <f>IF(AN1227=12,I1227,0)</f>
        <v>0</v>
      </c>
      <c r="AL1227" s="38">
        <f>IF(AN1227=21,I1227,0)</f>
        <v>0</v>
      </c>
      <c r="AN1227" s="38">
        <v>21</v>
      </c>
      <c r="AO1227" s="38">
        <f>H1227*0</f>
        <v>0</v>
      </c>
      <c r="AP1227" s="38">
        <f>H1227*(1-0)</f>
        <v>0</v>
      </c>
      <c r="AQ1227" s="72" t="s">
        <v>132</v>
      </c>
      <c r="AV1227" s="38">
        <f>AW1227+AX1227</f>
        <v>0</v>
      </c>
      <c r="AW1227" s="38">
        <f>G1227*AO1227</f>
        <v>0</v>
      </c>
      <c r="AX1227" s="38">
        <f>G1227*AP1227</f>
        <v>0</v>
      </c>
      <c r="AY1227" s="72" t="s">
        <v>1643</v>
      </c>
      <c r="AZ1227" s="72" t="s">
        <v>2261</v>
      </c>
      <c r="BA1227" s="50" t="s">
        <v>2006</v>
      </c>
      <c r="BC1227" s="38">
        <f>AW1227+AX1227</f>
        <v>0</v>
      </c>
      <c r="BD1227" s="38">
        <f>H1227/(100-BE1227)*100</f>
        <v>0</v>
      </c>
      <c r="BE1227" s="38">
        <v>0</v>
      </c>
      <c r="BF1227" s="38">
        <f>K1227</f>
        <v>0</v>
      </c>
      <c r="BH1227" s="38">
        <f>G1227*AO1227</f>
        <v>0</v>
      </c>
      <c r="BI1227" s="38">
        <f>G1227*AP1227</f>
        <v>0</v>
      </c>
      <c r="BJ1227" s="38">
        <f>G1227*H1227</f>
        <v>0</v>
      </c>
      <c r="BK1227" s="38"/>
      <c r="BL1227" s="38">
        <v>89</v>
      </c>
      <c r="BW1227" s="38">
        <v>21</v>
      </c>
    </row>
    <row r="1228" spans="1:75" ht="27" customHeight="1">
      <c r="A1228" s="1" t="s">
        <v>2268</v>
      </c>
      <c r="B1228" s="2" t="s">
        <v>87</v>
      </c>
      <c r="C1228" s="2" t="s">
        <v>2269</v>
      </c>
      <c r="D1228" s="108" t="s">
        <v>2270</v>
      </c>
      <c r="E1228" s="103"/>
      <c r="F1228" s="2" t="s">
        <v>199</v>
      </c>
      <c r="G1228" s="38">
        <v>2</v>
      </c>
      <c r="H1228" s="70">
        <v>0</v>
      </c>
      <c r="I1228" s="38">
        <f>G1228*H1228</f>
        <v>0</v>
      </c>
      <c r="J1228" s="38">
        <v>0</v>
      </c>
      <c r="K1228" s="38">
        <f>G1228*J1228</f>
        <v>0</v>
      </c>
      <c r="L1228" s="71" t="s">
        <v>207</v>
      </c>
      <c r="Z1228" s="38">
        <f>IF(AQ1228="5",BJ1228,0)</f>
        <v>0</v>
      </c>
      <c r="AB1228" s="38">
        <f>IF(AQ1228="1",BH1228,0)</f>
        <v>0</v>
      </c>
      <c r="AC1228" s="38">
        <f>IF(AQ1228="1",BI1228,0)</f>
        <v>0</v>
      </c>
      <c r="AD1228" s="38">
        <f>IF(AQ1228="7",BH1228,0)</f>
        <v>0</v>
      </c>
      <c r="AE1228" s="38">
        <f>IF(AQ1228="7",BI1228,0)</f>
        <v>0</v>
      </c>
      <c r="AF1228" s="38">
        <f>IF(AQ1228="2",BH1228,0)</f>
        <v>0</v>
      </c>
      <c r="AG1228" s="38">
        <f>IF(AQ1228="2",BI1228,0)</f>
        <v>0</v>
      </c>
      <c r="AH1228" s="38">
        <f>IF(AQ1228="0",BJ1228,0)</f>
        <v>0</v>
      </c>
      <c r="AI1228" s="50" t="s">
        <v>87</v>
      </c>
      <c r="AJ1228" s="38">
        <f>IF(AN1228=0,I1228,0)</f>
        <v>0</v>
      </c>
      <c r="AK1228" s="38">
        <f>IF(AN1228=12,I1228,0)</f>
        <v>0</v>
      </c>
      <c r="AL1228" s="38">
        <f>IF(AN1228=21,I1228,0)</f>
        <v>0</v>
      </c>
      <c r="AN1228" s="38">
        <v>21</v>
      </c>
      <c r="AO1228" s="38">
        <f>H1228*0</f>
        <v>0</v>
      </c>
      <c r="AP1228" s="38">
        <f>H1228*(1-0)</f>
        <v>0</v>
      </c>
      <c r="AQ1228" s="72" t="s">
        <v>132</v>
      </c>
      <c r="AV1228" s="38">
        <f>AW1228+AX1228</f>
        <v>0</v>
      </c>
      <c r="AW1228" s="38">
        <f>G1228*AO1228</f>
        <v>0</v>
      </c>
      <c r="AX1228" s="38">
        <f>G1228*AP1228</f>
        <v>0</v>
      </c>
      <c r="AY1228" s="72" t="s">
        <v>1643</v>
      </c>
      <c r="AZ1228" s="72" t="s">
        <v>2261</v>
      </c>
      <c r="BA1228" s="50" t="s">
        <v>2006</v>
      </c>
      <c r="BC1228" s="38">
        <f>AW1228+AX1228</f>
        <v>0</v>
      </c>
      <c r="BD1228" s="38">
        <f>H1228/(100-BE1228)*100</f>
        <v>0</v>
      </c>
      <c r="BE1228" s="38">
        <v>0</v>
      </c>
      <c r="BF1228" s="38">
        <f>K1228</f>
        <v>0</v>
      </c>
      <c r="BH1228" s="38">
        <f>G1228*AO1228</f>
        <v>0</v>
      </c>
      <c r="BI1228" s="38">
        <f>G1228*AP1228</f>
        <v>0</v>
      </c>
      <c r="BJ1228" s="38">
        <f>G1228*H1228</f>
        <v>0</v>
      </c>
      <c r="BK1228" s="38"/>
      <c r="BL1228" s="38">
        <v>89</v>
      </c>
      <c r="BW1228" s="38">
        <v>21</v>
      </c>
    </row>
    <row r="1229" spans="1:47" ht="15">
      <c r="A1229" s="65" t="s">
        <v>4</v>
      </c>
      <c r="B1229" s="66" t="s">
        <v>87</v>
      </c>
      <c r="C1229" s="66" t="s">
        <v>2271</v>
      </c>
      <c r="D1229" s="192" t="s">
        <v>2272</v>
      </c>
      <c r="E1229" s="193"/>
      <c r="F1229" s="67" t="s">
        <v>78</v>
      </c>
      <c r="G1229" s="67" t="s">
        <v>78</v>
      </c>
      <c r="H1229" s="68" t="s">
        <v>78</v>
      </c>
      <c r="I1229" s="44">
        <f>SUM(I1230:I1231)</f>
        <v>0</v>
      </c>
      <c r="J1229" s="50" t="s">
        <v>4</v>
      </c>
      <c r="K1229" s="44">
        <f>SUM(K1230:K1231)</f>
        <v>0</v>
      </c>
      <c r="L1229" s="69" t="s">
        <v>4</v>
      </c>
      <c r="AI1229" s="50" t="s">
        <v>87</v>
      </c>
      <c r="AS1229" s="44">
        <f>SUM(AJ1230:AJ1231)</f>
        <v>0</v>
      </c>
      <c r="AT1229" s="44">
        <f>SUM(AK1230:AK1231)</f>
        <v>0</v>
      </c>
      <c r="AU1229" s="44">
        <f>SUM(AL1230:AL1231)</f>
        <v>0</v>
      </c>
    </row>
    <row r="1230" spans="1:75" ht="13.5" customHeight="1">
      <c r="A1230" s="1" t="s">
        <v>2273</v>
      </c>
      <c r="B1230" s="2" t="s">
        <v>87</v>
      </c>
      <c r="C1230" s="2" t="s">
        <v>2274</v>
      </c>
      <c r="D1230" s="108" t="s">
        <v>2275</v>
      </c>
      <c r="E1230" s="103"/>
      <c r="F1230" s="2" t="s">
        <v>1199</v>
      </c>
      <c r="G1230" s="38">
        <v>48.46</v>
      </c>
      <c r="H1230" s="70">
        <v>0</v>
      </c>
      <c r="I1230" s="38">
        <f>G1230*H1230</f>
        <v>0</v>
      </c>
      <c r="J1230" s="38">
        <v>0</v>
      </c>
      <c r="K1230" s="38">
        <f>G1230*J1230</f>
        <v>0</v>
      </c>
      <c r="L1230" s="71" t="s">
        <v>207</v>
      </c>
      <c r="Z1230" s="38">
        <f>IF(AQ1230="5",BJ1230,0)</f>
        <v>0</v>
      </c>
      <c r="AB1230" s="38">
        <f>IF(AQ1230="1",BH1230,0)</f>
        <v>0</v>
      </c>
      <c r="AC1230" s="38">
        <f>IF(AQ1230="1",BI1230,0)</f>
        <v>0</v>
      </c>
      <c r="AD1230" s="38">
        <f>IF(AQ1230="7",BH1230,0)</f>
        <v>0</v>
      </c>
      <c r="AE1230" s="38">
        <f>IF(AQ1230="7",BI1230,0)</f>
        <v>0</v>
      </c>
      <c r="AF1230" s="38">
        <f>IF(AQ1230="2",BH1230,0)</f>
        <v>0</v>
      </c>
      <c r="AG1230" s="38">
        <f>IF(AQ1230="2",BI1230,0)</f>
        <v>0</v>
      </c>
      <c r="AH1230" s="38">
        <f>IF(AQ1230="0",BJ1230,0)</f>
        <v>0</v>
      </c>
      <c r="AI1230" s="50" t="s">
        <v>87</v>
      </c>
      <c r="AJ1230" s="38">
        <f>IF(AN1230=0,I1230,0)</f>
        <v>0</v>
      </c>
      <c r="AK1230" s="38">
        <f>IF(AN1230=12,I1230,0)</f>
        <v>0</v>
      </c>
      <c r="AL1230" s="38">
        <f>IF(AN1230=21,I1230,0)</f>
        <v>0</v>
      </c>
      <c r="AN1230" s="38">
        <v>21</v>
      </c>
      <c r="AO1230" s="38">
        <f>H1230*0</f>
        <v>0</v>
      </c>
      <c r="AP1230" s="38">
        <f>H1230*(1-0)</f>
        <v>0</v>
      </c>
      <c r="AQ1230" s="72" t="s">
        <v>143</v>
      </c>
      <c r="AV1230" s="38">
        <f>AW1230+AX1230</f>
        <v>0</v>
      </c>
      <c r="AW1230" s="38">
        <f>G1230*AO1230</f>
        <v>0</v>
      </c>
      <c r="AX1230" s="38">
        <f>G1230*AP1230</f>
        <v>0</v>
      </c>
      <c r="AY1230" s="72" t="s">
        <v>2276</v>
      </c>
      <c r="AZ1230" s="72" t="s">
        <v>2277</v>
      </c>
      <c r="BA1230" s="50" t="s">
        <v>2006</v>
      </c>
      <c r="BC1230" s="38">
        <f>AW1230+AX1230</f>
        <v>0</v>
      </c>
      <c r="BD1230" s="38">
        <f>H1230/(100-BE1230)*100</f>
        <v>0</v>
      </c>
      <c r="BE1230" s="38">
        <v>0</v>
      </c>
      <c r="BF1230" s="38">
        <f>K1230</f>
        <v>0</v>
      </c>
      <c r="BH1230" s="38">
        <f>G1230*AO1230</f>
        <v>0</v>
      </c>
      <c r="BI1230" s="38">
        <f>G1230*AP1230</f>
        <v>0</v>
      </c>
      <c r="BJ1230" s="38">
        <f>G1230*H1230</f>
        <v>0</v>
      </c>
      <c r="BK1230" s="38"/>
      <c r="BL1230" s="38"/>
      <c r="BW1230" s="38">
        <v>21</v>
      </c>
    </row>
    <row r="1231" spans="1:75" ht="13.5" customHeight="1">
      <c r="A1231" s="78" t="s">
        <v>2278</v>
      </c>
      <c r="B1231" s="79" t="s">
        <v>87</v>
      </c>
      <c r="C1231" s="79" t="s">
        <v>2279</v>
      </c>
      <c r="D1231" s="198" t="s">
        <v>2280</v>
      </c>
      <c r="E1231" s="199"/>
      <c r="F1231" s="79" t="s">
        <v>199</v>
      </c>
      <c r="G1231" s="80">
        <v>18</v>
      </c>
      <c r="H1231" s="81">
        <v>0</v>
      </c>
      <c r="I1231" s="80">
        <f>G1231*H1231</f>
        <v>0</v>
      </c>
      <c r="J1231" s="80">
        <v>0</v>
      </c>
      <c r="K1231" s="80">
        <f>G1231*J1231</f>
        <v>0</v>
      </c>
      <c r="L1231" s="82" t="s">
        <v>207</v>
      </c>
      <c r="Z1231" s="38">
        <f>IF(AQ1231="5",BJ1231,0)</f>
        <v>0</v>
      </c>
      <c r="AB1231" s="38">
        <f>IF(AQ1231="1",BH1231,0)</f>
        <v>0</v>
      </c>
      <c r="AC1231" s="38">
        <f>IF(AQ1231="1",BI1231,0)</f>
        <v>0</v>
      </c>
      <c r="AD1231" s="38">
        <f>IF(AQ1231="7",BH1231,0)</f>
        <v>0</v>
      </c>
      <c r="AE1231" s="38">
        <f>IF(AQ1231="7",BI1231,0)</f>
        <v>0</v>
      </c>
      <c r="AF1231" s="38">
        <f>IF(AQ1231="2",BH1231,0)</f>
        <v>0</v>
      </c>
      <c r="AG1231" s="38">
        <f>IF(AQ1231="2",BI1231,0)</f>
        <v>0</v>
      </c>
      <c r="AH1231" s="38">
        <f>IF(AQ1231="0",BJ1231,0)</f>
        <v>0</v>
      </c>
      <c r="AI1231" s="50" t="s">
        <v>87</v>
      </c>
      <c r="AJ1231" s="80">
        <f>IF(AN1231=0,I1231,0)</f>
        <v>0</v>
      </c>
      <c r="AK1231" s="80">
        <f>IF(AN1231=12,I1231,0)</f>
        <v>0</v>
      </c>
      <c r="AL1231" s="80">
        <f>IF(AN1231=21,I1231,0)</f>
        <v>0</v>
      </c>
      <c r="AN1231" s="38">
        <v>21</v>
      </c>
      <c r="AO1231" s="38">
        <f>H1231*1</f>
        <v>0</v>
      </c>
      <c r="AP1231" s="38">
        <f>H1231*(1-1)</f>
        <v>0</v>
      </c>
      <c r="AQ1231" s="83" t="s">
        <v>132</v>
      </c>
      <c r="AV1231" s="38">
        <f>AW1231+AX1231</f>
        <v>0</v>
      </c>
      <c r="AW1231" s="38">
        <f>G1231*AO1231</f>
        <v>0</v>
      </c>
      <c r="AX1231" s="38">
        <f>G1231*AP1231</f>
        <v>0</v>
      </c>
      <c r="AY1231" s="72" t="s">
        <v>2276</v>
      </c>
      <c r="AZ1231" s="72" t="s">
        <v>2277</v>
      </c>
      <c r="BA1231" s="50" t="s">
        <v>2006</v>
      </c>
      <c r="BC1231" s="38">
        <f>AW1231+AX1231</f>
        <v>0</v>
      </c>
      <c r="BD1231" s="38">
        <f>H1231/(100-BE1231)*100</f>
        <v>0</v>
      </c>
      <c r="BE1231" s="38">
        <v>0</v>
      </c>
      <c r="BF1231" s="38">
        <f>K1231</f>
        <v>0</v>
      </c>
      <c r="BH1231" s="80">
        <f>G1231*AO1231</f>
        <v>0</v>
      </c>
      <c r="BI1231" s="80">
        <f>G1231*AP1231</f>
        <v>0</v>
      </c>
      <c r="BJ1231" s="80">
        <f>G1231*H1231</f>
        <v>0</v>
      </c>
      <c r="BK1231" s="80"/>
      <c r="BL1231" s="38"/>
      <c r="BW1231" s="38">
        <v>21</v>
      </c>
    </row>
    <row r="1232" spans="1:47" ht="15">
      <c r="A1232" s="65" t="s">
        <v>4</v>
      </c>
      <c r="B1232" s="66" t="s">
        <v>87</v>
      </c>
      <c r="C1232" s="66" t="s">
        <v>2281</v>
      </c>
      <c r="D1232" s="192" t="s">
        <v>2282</v>
      </c>
      <c r="E1232" s="193"/>
      <c r="F1232" s="67" t="s">
        <v>78</v>
      </c>
      <c r="G1232" s="67" t="s">
        <v>78</v>
      </c>
      <c r="H1232" s="68" t="s">
        <v>78</v>
      </c>
      <c r="I1232" s="44">
        <f>SUM(I1233:I1236)</f>
        <v>0</v>
      </c>
      <c r="J1232" s="50" t="s">
        <v>4</v>
      </c>
      <c r="K1232" s="44">
        <f>SUM(K1233:K1236)</f>
        <v>0</v>
      </c>
      <c r="L1232" s="69" t="s">
        <v>4</v>
      </c>
      <c r="AI1232" s="50" t="s">
        <v>87</v>
      </c>
      <c r="AS1232" s="44">
        <f>SUM(AJ1233:AJ1236)</f>
        <v>0</v>
      </c>
      <c r="AT1232" s="44">
        <f>SUM(AK1233:AK1236)</f>
        <v>0</v>
      </c>
      <c r="AU1232" s="44">
        <f>SUM(AL1233:AL1236)</f>
        <v>0</v>
      </c>
    </row>
    <row r="1233" spans="1:75" ht="27" customHeight="1">
      <c r="A1233" s="1" t="s">
        <v>2283</v>
      </c>
      <c r="B1233" s="2" t="s">
        <v>87</v>
      </c>
      <c r="C1233" s="2" t="s">
        <v>2284</v>
      </c>
      <c r="D1233" s="108" t="s">
        <v>2285</v>
      </c>
      <c r="E1233" s="103"/>
      <c r="F1233" s="2" t="s">
        <v>2286</v>
      </c>
      <c r="G1233" s="38">
        <v>100</v>
      </c>
      <c r="H1233" s="70">
        <v>0</v>
      </c>
      <c r="I1233" s="38">
        <f>G1233*H1233</f>
        <v>0</v>
      </c>
      <c r="J1233" s="38">
        <v>0</v>
      </c>
      <c r="K1233" s="38">
        <f>G1233*J1233</f>
        <v>0</v>
      </c>
      <c r="L1233" s="71" t="s">
        <v>207</v>
      </c>
      <c r="Z1233" s="38">
        <f>IF(AQ1233="5",BJ1233,0)</f>
        <v>0</v>
      </c>
      <c r="AB1233" s="38">
        <f>IF(AQ1233="1",BH1233,0)</f>
        <v>0</v>
      </c>
      <c r="AC1233" s="38">
        <f>IF(AQ1233="1",BI1233,0)</f>
        <v>0</v>
      </c>
      <c r="AD1233" s="38">
        <f>IF(AQ1233="7",BH1233,0)</f>
        <v>0</v>
      </c>
      <c r="AE1233" s="38">
        <f>IF(AQ1233="7",BI1233,0)</f>
        <v>0</v>
      </c>
      <c r="AF1233" s="38">
        <f>IF(AQ1233="2",BH1233,0)</f>
        <v>0</v>
      </c>
      <c r="AG1233" s="38">
        <f>IF(AQ1233="2",BI1233,0)</f>
        <v>0</v>
      </c>
      <c r="AH1233" s="38">
        <f>IF(AQ1233="0",BJ1233,0)</f>
        <v>0</v>
      </c>
      <c r="AI1233" s="50" t="s">
        <v>87</v>
      </c>
      <c r="AJ1233" s="38">
        <f>IF(AN1233=0,I1233,0)</f>
        <v>0</v>
      </c>
      <c r="AK1233" s="38">
        <f>IF(AN1233=12,I1233,0)</f>
        <v>0</v>
      </c>
      <c r="AL1233" s="38">
        <f>IF(AN1233=21,I1233,0)</f>
        <v>0</v>
      </c>
      <c r="AN1233" s="38">
        <v>21</v>
      </c>
      <c r="AO1233" s="38">
        <f>H1233*0</f>
        <v>0</v>
      </c>
      <c r="AP1233" s="38">
        <f>H1233*(1-0)</f>
        <v>0</v>
      </c>
      <c r="AQ1233" s="72" t="s">
        <v>132</v>
      </c>
      <c r="AV1233" s="38">
        <f>AW1233+AX1233</f>
        <v>0</v>
      </c>
      <c r="AW1233" s="38">
        <f>G1233*AO1233</f>
        <v>0</v>
      </c>
      <c r="AX1233" s="38">
        <f>G1233*AP1233</f>
        <v>0</v>
      </c>
      <c r="AY1233" s="72" t="s">
        <v>2287</v>
      </c>
      <c r="AZ1233" s="72" t="s">
        <v>2277</v>
      </c>
      <c r="BA1233" s="50" t="s">
        <v>2006</v>
      </c>
      <c r="BC1233" s="38">
        <f>AW1233+AX1233</f>
        <v>0</v>
      </c>
      <c r="BD1233" s="38">
        <f>H1233/(100-BE1233)*100</f>
        <v>0</v>
      </c>
      <c r="BE1233" s="38">
        <v>0</v>
      </c>
      <c r="BF1233" s="38">
        <f>K1233</f>
        <v>0</v>
      </c>
      <c r="BH1233" s="38">
        <f>G1233*AO1233</f>
        <v>0</v>
      </c>
      <c r="BI1233" s="38">
        <f>G1233*AP1233</f>
        <v>0</v>
      </c>
      <c r="BJ1233" s="38">
        <f>G1233*H1233</f>
        <v>0</v>
      </c>
      <c r="BK1233" s="38"/>
      <c r="BL1233" s="38"/>
      <c r="BW1233" s="38">
        <v>21</v>
      </c>
    </row>
    <row r="1234" spans="1:75" ht="13.5" customHeight="1">
      <c r="A1234" s="1" t="s">
        <v>2288</v>
      </c>
      <c r="B1234" s="2" t="s">
        <v>87</v>
      </c>
      <c r="C1234" s="2" t="s">
        <v>2289</v>
      </c>
      <c r="D1234" s="108" t="s">
        <v>2290</v>
      </c>
      <c r="E1234" s="103"/>
      <c r="F1234" s="2" t="s">
        <v>2286</v>
      </c>
      <c r="G1234" s="38">
        <v>8</v>
      </c>
      <c r="H1234" s="70">
        <v>0</v>
      </c>
      <c r="I1234" s="38">
        <f>G1234*H1234</f>
        <v>0</v>
      </c>
      <c r="J1234" s="38">
        <v>0</v>
      </c>
      <c r="K1234" s="38">
        <f>G1234*J1234</f>
        <v>0</v>
      </c>
      <c r="L1234" s="71" t="s">
        <v>207</v>
      </c>
      <c r="Z1234" s="38">
        <f>IF(AQ1234="5",BJ1234,0)</f>
        <v>0</v>
      </c>
      <c r="AB1234" s="38">
        <f>IF(AQ1234="1",BH1234,0)</f>
        <v>0</v>
      </c>
      <c r="AC1234" s="38">
        <f>IF(AQ1234="1",BI1234,0)</f>
        <v>0</v>
      </c>
      <c r="AD1234" s="38">
        <f>IF(AQ1234="7",BH1234,0)</f>
        <v>0</v>
      </c>
      <c r="AE1234" s="38">
        <f>IF(AQ1234="7",BI1234,0)</f>
        <v>0</v>
      </c>
      <c r="AF1234" s="38">
        <f>IF(AQ1234="2",BH1234,0)</f>
        <v>0</v>
      </c>
      <c r="AG1234" s="38">
        <f>IF(AQ1234="2",BI1234,0)</f>
        <v>0</v>
      </c>
      <c r="AH1234" s="38">
        <f>IF(AQ1234="0",BJ1234,0)</f>
        <v>0</v>
      </c>
      <c r="AI1234" s="50" t="s">
        <v>87</v>
      </c>
      <c r="AJ1234" s="38">
        <f>IF(AN1234=0,I1234,0)</f>
        <v>0</v>
      </c>
      <c r="AK1234" s="38">
        <f>IF(AN1234=12,I1234,0)</f>
        <v>0</v>
      </c>
      <c r="AL1234" s="38">
        <f>IF(AN1234=21,I1234,0)</f>
        <v>0</v>
      </c>
      <c r="AN1234" s="38">
        <v>21</v>
      </c>
      <c r="AO1234" s="38">
        <f>H1234*0</f>
        <v>0</v>
      </c>
      <c r="AP1234" s="38">
        <f>H1234*(1-0)</f>
        <v>0</v>
      </c>
      <c r="AQ1234" s="72" t="s">
        <v>132</v>
      </c>
      <c r="AV1234" s="38">
        <f>AW1234+AX1234</f>
        <v>0</v>
      </c>
      <c r="AW1234" s="38">
        <f>G1234*AO1234</f>
        <v>0</v>
      </c>
      <c r="AX1234" s="38">
        <f>G1234*AP1234</f>
        <v>0</v>
      </c>
      <c r="AY1234" s="72" t="s">
        <v>2287</v>
      </c>
      <c r="AZ1234" s="72" t="s">
        <v>2277</v>
      </c>
      <c r="BA1234" s="50" t="s">
        <v>2006</v>
      </c>
      <c r="BC1234" s="38">
        <f>AW1234+AX1234</f>
        <v>0</v>
      </c>
      <c r="BD1234" s="38">
        <f>H1234/(100-BE1234)*100</f>
        <v>0</v>
      </c>
      <c r="BE1234" s="38">
        <v>0</v>
      </c>
      <c r="BF1234" s="38">
        <f>K1234</f>
        <v>0</v>
      </c>
      <c r="BH1234" s="38">
        <f>G1234*AO1234</f>
        <v>0</v>
      </c>
      <c r="BI1234" s="38">
        <f>G1234*AP1234</f>
        <v>0</v>
      </c>
      <c r="BJ1234" s="38">
        <f>G1234*H1234</f>
        <v>0</v>
      </c>
      <c r="BK1234" s="38"/>
      <c r="BL1234" s="38"/>
      <c r="BW1234" s="38">
        <v>21</v>
      </c>
    </row>
    <row r="1235" spans="1:75" ht="27" customHeight="1">
      <c r="A1235" s="1" t="s">
        <v>2291</v>
      </c>
      <c r="B1235" s="2" t="s">
        <v>87</v>
      </c>
      <c r="C1235" s="2" t="s">
        <v>2292</v>
      </c>
      <c r="D1235" s="108" t="s">
        <v>2293</v>
      </c>
      <c r="E1235" s="103"/>
      <c r="F1235" s="2" t="s">
        <v>2286</v>
      </c>
      <c r="G1235" s="38">
        <v>72</v>
      </c>
      <c r="H1235" s="70">
        <v>0</v>
      </c>
      <c r="I1235" s="38">
        <f>G1235*H1235</f>
        <v>0</v>
      </c>
      <c r="J1235" s="38">
        <v>0</v>
      </c>
      <c r="K1235" s="38">
        <f>G1235*J1235</f>
        <v>0</v>
      </c>
      <c r="L1235" s="71" t="s">
        <v>207</v>
      </c>
      <c r="Z1235" s="38">
        <f>IF(AQ1235="5",BJ1235,0)</f>
        <v>0</v>
      </c>
      <c r="AB1235" s="38">
        <f>IF(AQ1235="1",BH1235,0)</f>
        <v>0</v>
      </c>
      <c r="AC1235" s="38">
        <f>IF(AQ1235="1",BI1235,0)</f>
        <v>0</v>
      </c>
      <c r="AD1235" s="38">
        <f>IF(AQ1235="7",BH1235,0)</f>
        <v>0</v>
      </c>
      <c r="AE1235" s="38">
        <f>IF(AQ1235="7",BI1235,0)</f>
        <v>0</v>
      </c>
      <c r="AF1235" s="38">
        <f>IF(AQ1235="2",BH1235,0)</f>
        <v>0</v>
      </c>
      <c r="AG1235" s="38">
        <f>IF(AQ1235="2",BI1235,0)</f>
        <v>0</v>
      </c>
      <c r="AH1235" s="38">
        <f>IF(AQ1235="0",BJ1235,0)</f>
        <v>0</v>
      </c>
      <c r="AI1235" s="50" t="s">
        <v>87</v>
      </c>
      <c r="AJ1235" s="38">
        <f>IF(AN1235=0,I1235,0)</f>
        <v>0</v>
      </c>
      <c r="AK1235" s="38">
        <f>IF(AN1235=12,I1235,0)</f>
        <v>0</v>
      </c>
      <c r="AL1235" s="38">
        <f>IF(AN1235=21,I1235,0)</f>
        <v>0</v>
      </c>
      <c r="AN1235" s="38">
        <v>21</v>
      </c>
      <c r="AO1235" s="38">
        <f>H1235*0</f>
        <v>0</v>
      </c>
      <c r="AP1235" s="38">
        <f>H1235*(1-0)</f>
        <v>0</v>
      </c>
      <c r="AQ1235" s="72" t="s">
        <v>132</v>
      </c>
      <c r="AV1235" s="38">
        <f>AW1235+AX1235</f>
        <v>0</v>
      </c>
      <c r="AW1235" s="38">
        <f>G1235*AO1235</f>
        <v>0</v>
      </c>
      <c r="AX1235" s="38">
        <f>G1235*AP1235</f>
        <v>0</v>
      </c>
      <c r="AY1235" s="72" t="s">
        <v>2287</v>
      </c>
      <c r="AZ1235" s="72" t="s">
        <v>2277</v>
      </c>
      <c r="BA1235" s="50" t="s">
        <v>2006</v>
      </c>
      <c r="BC1235" s="38">
        <f>AW1235+AX1235</f>
        <v>0</v>
      </c>
      <c r="BD1235" s="38">
        <f>H1235/(100-BE1235)*100</f>
        <v>0</v>
      </c>
      <c r="BE1235" s="38">
        <v>0</v>
      </c>
      <c r="BF1235" s="38">
        <f>K1235</f>
        <v>0</v>
      </c>
      <c r="BH1235" s="38">
        <f>G1235*AO1235</f>
        <v>0</v>
      </c>
      <c r="BI1235" s="38">
        <f>G1235*AP1235</f>
        <v>0</v>
      </c>
      <c r="BJ1235" s="38">
        <f>G1235*H1235</f>
        <v>0</v>
      </c>
      <c r="BK1235" s="38"/>
      <c r="BL1235" s="38"/>
      <c r="BW1235" s="38">
        <v>21</v>
      </c>
    </row>
    <row r="1236" spans="1:75" ht="13.5" customHeight="1">
      <c r="A1236" s="1" t="s">
        <v>2294</v>
      </c>
      <c r="B1236" s="2" t="s">
        <v>87</v>
      </c>
      <c r="C1236" s="2" t="s">
        <v>2295</v>
      </c>
      <c r="D1236" s="108" t="s">
        <v>2296</v>
      </c>
      <c r="E1236" s="103"/>
      <c r="F1236" s="2" t="s">
        <v>2286</v>
      </c>
      <c r="G1236" s="38">
        <v>12</v>
      </c>
      <c r="H1236" s="70">
        <v>0</v>
      </c>
      <c r="I1236" s="38">
        <f>G1236*H1236</f>
        <v>0</v>
      </c>
      <c r="J1236" s="38">
        <v>0</v>
      </c>
      <c r="K1236" s="38">
        <f>G1236*J1236</f>
        <v>0</v>
      </c>
      <c r="L1236" s="71" t="s">
        <v>207</v>
      </c>
      <c r="Z1236" s="38">
        <f>IF(AQ1236="5",BJ1236,0)</f>
        <v>0</v>
      </c>
      <c r="AB1236" s="38">
        <f>IF(AQ1236="1",BH1236,0)</f>
        <v>0</v>
      </c>
      <c r="AC1236" s="38">
        <f>IF(AQ1236="1",BI1236,0)</f>
        <v>0</v>
      </c>
      <c r="AD1236" s="38">
        <f>IF(AQ1236="7",BH1236,0)</f>
        <v>0</v>
      </c>
      <c r="AE1236" s="38">
        <f>IF(AQ1236="7",BI1236,0)</f>
        <v>0</v>
      </c>
      <c r="AF1236" s="38">
        <f>IF(AQ1236="2",BH1236,0)</f>
        <v>0</v>
      </c>
      <c r="AG1236" s="38">
        <f>IF(AQ1236="2",BI1236,0)</f>
        <v>0</v>
      </c>
      <c r="AH1236" s="38">
        <f>IF(AQ1236="0",BJ1236,0)</f>
        <v>0</v>
      </c>
      <c r="AI1236" s="50" t="s">
        <v>87</v>
      </c>
      <c r="AJ1236" s="38">
        <f>IF(AN1236=0,I1236,0)</f>
        <v>0</v>
      </c>
      <c r="AK1236" s="38">
        <f>IF(AN1236=12,I1236,0)</f>
        <v>0</v>
      </c>
      <c r="AL1236" s="38">
        <f>IF(AN1236=21,I1236,0)</f>
        <v>0</v>
      </c>
      <c r="AN1236" s="38">
        <v>21</v>
      </c>
      <c r="AO1236" s="38">
        <f>H1236*0</f>
        <v>0</v>
      </c>
      <c r="AP1236" s="38">
        <f>H1236*(1-0)</f>
        <v>0</v>
      </c>
      <c r="AQ1236" s="72" t="s">
        <v>132</v>
      </c>
      <c r="AV1236" s="38">
        <f>AW1236+AX1236</f>
        <v>0</v>
      </c>
      <c r="AW1236" s="38">
        <f>G1236*AO1236</f>
        <v>0</v>
      </c>
      <c r="AX1236" s="38">
        <f>G1236*AP1236</f>
        <v>0</v>
      </c>
      <c r="AY1236" s="72" t="s">
        <v>2287</v>
      </c>
      <c r="AZ1236" s="72" t="s">
        <v>2277</v>
      </c>
      <c r="BA1236" s="50" t="s">
        <v>2006</v>
      </c>
      <c r="BC1236" s="38">
        <f>AW1236+AX1236</f>
        <v>0</v>
      </c>
      <c r="BD1236" s="38">
        <f>H1236/(100-BE1236)*100</f>
        <v>0</v>
      </c>
      <c r="BE1236" s="38">
        <v>0</v>
      </c>
      <c r="BF1236" s="38">
        <f>K1236</f>
        <v>0</v>
      </c>
      <c r="BH1236" s="38">
        <f>G1236*AO1236</f>
        <v>0</v>
      </c>
      <c r="BI1236" s="38">
        <f>G1236*AP1236</f>
        <v>0</v>
      </c>
      <c r="BJ1236" s="38">
        <f>G1236*H1236</f>
        <v>0</v>
      </c>
      <c r="BK1236" s="38"/>
      <c r="BL1236" s="38"/>
      <c r="BW1236" s="38">
        <v>21</v>
      </c>
    </row>
    <row r="1237" spans="1:12" ht="15">
      <c r="A1237" s="65" t="s">
        <v>4</v>
      </c>
      <c r="B1237" s="66" t="s">
        <v>89</v>
      </c>
      <c r="C1237" s="66" t="s">
        <v>4</v>
      </c>
      <c r="D1237" s="192" t="s">
        <v>90</v>
      </c>
      <c r="E1237" s="193"/>
      <c r="F1237" s="67" t="s">
        <v>78</v>
      </c>
      <c r="G1237" s="67" t="s">
        <v>78</v>
      </c>
      <c r="H1237" s="68" t="s">
        <v>78</v>
      </c>
      <c r="I1237" s="44">
        <f>I1238+I1243+I1254+I1264+I1273+I1286+I1289</f>
        <v>0</v>
      </c>
      <c r="J1237" s="50" t="s">
        <v>4</v>
      </c>
      <c r="K1237" s="44">
        <f>K1238+K1243+K1254+K1264+K1273+K1286+K1289</f>
        <v>0</v>
      </c>
      <c r="L1237" s="69" t="s">
        <v>4</v>
      </c>
    </row>
    <row r="1238" spans="1:47" ht="15">
      <c r="A1238" s="65" t="s">
        <v>4</v>
      </c>
      <c r="B1238" s="66" t="s">
        <v>89</v>
      </c>
      <c r="C1238" s="66" t="s">
        <v>890</v>
      </c>
      <c r="D1238" s="192" t="s">
        <v>891</v>
      </c>
      <c r="E1238" s="193"/>
      <c r="F1238" s="67" t="s">
        <v>78</v>
      </c>
      <c r="G1238" s="67" t="s">
        <v>78</v>
      </c>
      <c r="H1238" s="68" t="s">
        <v>78</v>
      </c>
      <c r="I1238" s="44">
        <f>SUM(I1239:I1242)</f>
        <v>0</v>
      </c>
      <c r="J1238" s="50" t="s">
        <v>4</v>
      </c>
      <c r="K1238" s="44">
        <f>SUM(K1239:K1242)</f>
        <v>0</v>
      </c>
      <c r="L1238" s="69" t="s">
        <v>4</v>
      </c>
      <c r="AI1238" s="50" t="s">
        <v>89</v>
      </c>
      <c r="AS1238" s="44">
        <f>SUM(AJ1239:AJ1242)</f>
        <v>0</v>
      </c>
      <c r="AT1238" s="44">
        <f>SUM(AK1239:AK1242)</f>
        <v>0</v>
      </c>
      <c r="AU1238" s="44">
        <f>SUM(AL1239:AL1242)</f>
        <v>0</v>
      </c>
    </row>
    <row r="1239" spans="1:75" ht="27" customHeight="1">
      <c r="A1239" s="1" t="s">
        <v>2297</v>
      </c>
      <c r="B1239" s="2" t="s">
        <v>89</v>
      </c>
      <c r="C1239" s="2" t="s">
        <v>2298</v>
      </c>
      <c r="D1239" s="108" t="s">
        <v>2299</v>
      </c>
      <c r="E1239" s="103"/>
      <c r="F1239" s="2" t="s">
        <v>214</v>
      </c>
      <c r="G1239" s="38">
        <v>107.84</v>
      </c>
      <c r="H1239" s="70">
        <v>0</v>
      </c>
      <c r="I1239" s="38">
        <f>G1239*H1239</f>
        <v>0</v>
      </c>
      <c r="J1239" s="38">
        <v>0</v>
      </c>
      <c r="K1239" s="38">
        <f>G1239*J1239</f>
        <v>0</v>
      </c>
      <c r="L1239" s="71" t="s">
        <v>207</v>
      </c>
      <c r="Z1239" s="38">
        <f>IF(AQ1239="5",BJ1239,0)</f>
        <v>0</v>
      </c>
      <c r="AB1239" s="38">
        <f>IF(AQ1239="1",BH1239,0)</f>
        <v>0</v>
      </c>
      <c r="AC1239" s="38">
        <f>IF(AQ1239="1",BI1239,0)</f>
        <v>0</v>
      </c>
      <c r="AD1239" s="38">
        <f>IF(AQ1239="7",BH1239,0)</f>
        <v>0</v>
      </c>
      <c r="AE1239" s="38">
        <f>IF(AQ1239="7",BI1239,0)</f>
        <v>0</v>
      </c>
      <c r="AF1239" s="38">
        <f>IF(AQ1239="2",BH1239,0)</f>
        <v>0</v>
      </c>
      <c r="AG1239" s="38">
        <f>IF(AQ1239="2",BI1239,0)</f>
        <v>0</v>
      </c>
      <c r="AH1239" s="38">
        <f>IF(AQ1239="0",BJ1239,0)</f>
        <v>0</v>
      </c>
      <c r="AI1239" s="50" t="s">
        <v>89</v>
      </c>
      <c r="AJ1239" s="38">
        <f>IF(AN1239=0,I1239,0)</f>
        <v>0</v>
      </c>
      <c r="AK1239" s="38">
        <f>IF(AN1239=12,I1239,0)</f>
        <v>0</v>
      </c>
      <c r="AL1239" s="38">
        <f>IF(AN1239=21,I1239,0)</f>
        <v>0</v>
      </c>
      <c r="AN1239" s="38">
        <v>21</v>
      </c>
      <c r="AO1239" s="38">
        <f>H1239*0</f>
        <v>0</v>
      </c>
      <c r="AP1239" s="38">
        <f>H1239*(1-0)</f>
        <v>0</v>
      </c>
      <c r="AQ1239" s="72" t="s">
        <v>169</v>
      </c>
      <c r="AV1239" s="38">
        <f>AW1239+AX1239</f>
        <v>0</v>
      </c>
      <c r="AW1239" s="38">
        <f>G1239*AO1239</f>
        <v>0</v>
      </c>
      <c r="AX1239" s="38">
        <f>G1239*AP1239</f>
        <v>0</v>
      </c>
      <c r="AY1239" s="72" t="s">
        <v>895</v>
      </c>
      <c r="AZ1239" s="72" t="s">
        <v>2300</v>
      </c>
      <c r="BA1239" s="50" t="s">
        <v>2301</v>
      </c>
      <c r="BC1239" s="38">
        <f>AW1239+AX1239</f>
        <v>0</v>
      </c>
      <c r="BD1239" s="38">
        <f>H1239/(100-BE1239)*100</f>
        <v>0</v>
      </c>
      <c r="BE1239" s="38">
        <v>0</v>
      </c>
      <c r="BF1239" s="38">
        <f>K1239</f>
        <v>0</v>
      </c>
      <c r="BH1239" s="38">
        <f>G1239*AO1239</f>
        <v>0</v>
      </c>
      <c r="BI1239" s="38">
        <f>G1239*AP1239</f>
        <v>0</v>
      </c>
      <c r="BJ1239" s="38">
        <f>G1239*H1239</f>
        <v>0</v>
      </c>
      <c r="BK1239" s="38"/>
      <c r="BL1239" s="38">
        <v>713</v>
      </c>
      <c r="BW1239" s="38">
        <v>21</v>
      </c>
    </row>
    <row r="1240" spans="1:75" ht="13.5" customHeight="1">
      <c r="A1240" s="78" t="s">
        <v>2302</v>
      </c>
      <c r="B1240" s="79" t="s">
        <v>89</v>
      </c>
      <c r="C1240" s="79" t="s">
        <v>2303</v>
      </c>
      <c r="D1240" s="198" t="s">
        <v>2304</v>
      </c>
      <c r="E1240" s="199"/>
      <c r="F1240" s="79" t="s">
        <v>214</v>
      </c>
      <c r="G1240" s="80">
        <v>15</v>
      </c>
      <c r="H1240" s="81">
        <v>0</v>
      </c>
      <c r="I1240" s="80">
        <f>G1240*H1240</f>
        <v>0</v>
      </c>
      <c r="J1240" s="80">
        <v>0</v>
      </c>
      <c r="K1240" s="80">
        <f>G1240*J1240</f>
        <v>0</v>
      </c>
      <c r="L1240" s="82" t="s">
        <v>207</v>
      </c>
      <c r="Z1240" s="38">
        <f>IF(AQ1240="5",BJ1240,0)</f>
        <v>0</v>
      </c>
      <c r="AB1240" s="38">
        <f>IF(AQ1240="1",BH1240,0)</f>
        <v>0</v>
      </c>
      <c r="AC1240" s="38">
        <f>IF(AQ1240="1",BI1240,0)</f>
        <v>0</v>
      </c>
      <c r="AD1240" s="38">
        <f>IF(AQ1240="7",BH1240,0)</f>
        <v>0</v>
      </c>
      <c r="AE1240" s="38">
        <f>IF(AQ1240="7",BI1240,0)</f>
        <v>0</v>
      </c>
      <c r="AF1240" s="38">
        <f>IF(AQ1240="2",BH1240,0)</f>
        <v>0</v>
      </c>
      <c r="AG1240" s="38">
        <f>IF(AQ1240="2",BI1240,0)</f>
        <v>0</v>
      </c>
      <c r="AH1240" s="38">
        <f>IF(AQ1240="0",BJ1240,0)</f>
        <v>0</v>
      </c>
      <c r="AI1240" s="50" t="s">
        <v>89</v>
      </c>
      <c r="AJ1240" s="80">
        <f>IF(AN1240=0,I1240,0)</f>
        <v>0</v>
      </c>
      <c r="AK1240" s="80">
        <f>IF(AN1240=12,I1240,0)</f>
        <v>0</v>
      </c>
      <c r="AL1240" s="80">
        <f>IF(AN1240=21,I1240,0)</f>
        <v>0</v>
      </c>
      <c r="AN1240" s="38">
        <v>21</v>
      </c>
      <c r="AO1240" s="38">
        <f>H1240*1</f>
        <v>0</v>
      </c>
      <c r="AP1240" s="38">
        <f>H1240*(1-1)</f>
        <v>0</v>
      </c>
      <c r="AQ1240" s="83" t="s">
        <v>169</v>
      </c>
      <c r="AV1240" s="38">
        <f>AW1240+AX1240</f>
        <v>0</v>
      </c>
      <c r="AW1240" s="38">
        <f>G1240*AO1240</f>
        <v>0</v>
      </c>
      <c r="AX1240" s="38">
        <f>G1240*AP1240</f>
        <v>0</v>
      </c>
      <c r="AY1240" s="72" t="s">
        <v>895</v>
      </c>
      <c r="AZ1240" s="72" t="s">
        <v>2300</v>
      </c>
      <c r="BA1240" s="50" t="s">
        <v>2301</v>
      </c>
      <c r="BC1240" s="38">
        <f>AW1240+AX1240</f>
        <v>0</v>
      </c>
      <c r="BD1240" s="38">
        <f>H1240/(100-BE1240)*100</f>
        <v>0</v>
      </c>
      <c r="BE1240" s="38">
        <v>0</v>
      </c>
      <c r="BF1240" s="38">
        <f>K1240</f>
        <v>0</v>
      </c>
      <c r="BH1240" s="80">
        <f>G1240*AO1240</f>
        <v>0</v>
      </c>
      <c r="BI1240" s="80">
        <f>G1240*AP1240</f>
        <v>0</v>
      </c>
      <c r="BJ1240" s="80">
        <f>G1240*H1240</f>
        <v>0</v>
      </c>
      <c r="BK1240" s="80"/>
      <c r="BL1240" s="38">
        <v>713</v>
      </c>
      <c r="BW1240" s="38">
        <v>21</v>
      </c>
    </row>
    <row r="1241" spans="1:75" ht="13.5" customHeight="1">
      <c r="A1241" s="78" t="s">
        <v>2305</v>
      </c>
      <c r="B1241" s="79" t="s">
        <v>89</v>
      </c>
      <c r="C1241" s="79" t="s">
        <v>2306</v>
      </c>
      <c r="D1241" s="198" t="s">
        <v>2307</v>
      </c>
      <c r="E1241" s="199"/>
      <c r="F1241" s="79" t="s">
        <v>214</v>
      </c>
      <c r="G1241" s="80">
        <v>20</v>
      </c>
      <c r="H1241" s="81">
        <v>0</v>
      </c>
      <c r="I1241" s="80">
        <f>G1241*H1241</f>
        <v>0</v>
      </c>
      <c r="J1241" s="80">
        <v>0</v>
      </c>
      <c r="K1241" s="80">
        <f>G1241*J1241</f>
        <v>0</v>
      </c>
      <c r="L1241" s="82" t="s">
        <v>207</v>
      </c>
      <c r="Z1241" s="38">
        <f>IF(AQ1241="5",BJ1241,0)</f>
        <v>0</v>
      </c>
      <c r="AB1241" s="38">
        <f>IF(AQ1241="1",BH1241,0)</f>
        <v>0</v>
      </c>
      <c r="AC1241" s="38">
        <f>IF(AQ1241="1",BI1241,0)</f>
        <v>0</v>
      </c>
      <c r="AD1241" s="38">
        <f>IF(AQ1241="7",BH1241,0)</f>
        <v>0</v>
      </c>
      <c r="AE1241" s="38">
        <f>IF(AQ1241="7",BI1241,0)</f>
        <v>0</v>
      </c>
      <c r="AF1241" s="38">
        <f>IF(AQ1241="2",BH1241,0)</f>
        <v>0</v>
      </c>
      <c r="AG1241" s="38">
        <f>IF(AQ1241="2",BI1241,0)</f>
        <v>0</v>
      </c>
      <c r="AH1241" s="38">
        <f>IF(AQ1241="0",BJ1241,0)</f>
        <v>0</v>
      </c>
      <c r="AI1241" s="50" t="s">
        <v>89</v>
      </c>
      <c r="AJ1241" s="80">
        <f>IF(AN1241=0,I1241,0)</f>
        <v>0</v>
      </c>
      <c r="AK1241" s="80">
        <f>IF(AN1241=12,I1241,0)</f>
        <v>0</v>
      </c>
      <c r="AL1241" s="80">
        <f>IF(AN1241=21,I1241,0)</f>
        <v>0</v>
      </c>
      <c r="AN1241" s="38">
        <v>21</v>
      </c>
      <c r="AO1241" s="38">
        <f>H1241*1</f>
        <v>0</v>
      </c>
      <c r="AP1241" s="38">
        <f>H1241*(1-1)</f>
        <v>0</v>
      </c>
      <c r="AQ1241" s="83" t="s">
        <v>169</v>
      </c>
      <c r="AV1241" s="38">
        <f>AW1241+AX1241</f>
        <v>0</v>
      </c>
      <c r="AW1241" s="38">
        <f>G1241*AO1241</f>
        <v>0</v>
      </c>
      <c r="AX1241" s="38">
        <f>G1241*AP1241</f>
        <v>0</v>
      </c>
      <c r="AY1241" s="72" t="s">
        <v>895</v>
      </c>
      <c r="AZ1241" s="72" t="s">
        <v>2300</v>
      </c>
      <c r="BA1241" s="50" t="s">
        <v>2301</v>
      </c>
      <c r="BC1241" s="38">
        <f>AW1241+AX1241</f>
        <v>0</v>
      </c>
      <c r="BD1241" s="38">
        <f>H1241/(100-BE1241)*100</f>
        <v>0</v>
      </c>
      <c r="BE1241" s="38">
        <v>0</v>
      </c>
      <c r="BF1241" s="38">
        <f>K1241</f>
        <v>0</v>
      </c>
      <c r="BH1241" s="80">
        <f>G1241*AO1241</f>
        <v>0</v>
      </c>
      <c r="BI1241" s="80">
        <f>G1241*AP1241</f>
        <v>0</v>
      </c>
      <c r="BJ1241" s="80">
        <f>G1241*H1241</f>
        <v>0</v>
      </c>
      <c r="BK1241" s="80"/>
      <c r="BL1241" s="38">
        <v>713</v>
      </c>
      <c r="BW1241" s="38">
        <v>21</v>
      </c>
    </row>
    <row r="1242" spans="1:75" ht="13.5" customHeight="1">
      <c r="A1242" s="78" t="s">
        <v>2308</v>
      </c>
      <c r="B1242" s="79" t="s">
        <v>89</v>
      </c>
      <c r="C1242" s="79" t="s">
        <v>2309</v>
      </c>
      <c r="D1242" s="198" t="s">
        <v>2310</v>
      </c>
      <c r="E1242" s="199"/>
      <c r="F1242" s="79" t="s">
        <v>214</v>
      </c>
      <c r="G1242" s="80">
        <v>75</v>
      </c>
      <c r="H1242" s="81">
        <v>0</v>
      </c>
      <c r="I1242" s="80">
        <f>G1242*H1242</f>
        <v>0</v>
      </c>
      <c r="J1242" s="80">
        <v>0</v>
      </c>
      <c r="K1242" s="80">
        <f>G1242*J1242</f>
        <v>0</v>
      </c>
      <c r="L1242" s="82" t="s">
        <v>207</v>
      </c>
      <c r="Z1242" s="38">
        <f>IF(AQ1242="5",BJ1242,0)</f>
        <v>0</v>
      </c>
      <c r="AB1242" s="38">
        <f>IF(AQ1242="1",BH1242,0)</f>
        <v>0</v>
      </c>
      <c r="AC1242" s="38">
        <f>IF(AQ1242="1",BI1242,0)</f>
        <v>0</v>
      </c>
      <c r="AD1242" s="38">
        <f>IF(AQ1242="7",BH1242,0)</f>
        <v>0</v>
      </c>
      <c r="AE1242" s="38">
        <f>IF(AQ1242="7",BI1242,0)</f>
        <v>0</v>
      </c>
      <c r="AF1242" s="38">
        <f>IF(AQ1242="2",BH1242,0)</f>
        <v>0</v>
      </c>
      <c r="AG1242" s="38">
        <f>IF(AQ1242="2",BI1242,0)</f>
        <v>0</v>
      </c>
      <c r="AH1242" s="38">
        <f>IF(AQ1242="0",BJ1242,0)</f>
        <v>0</v>
      </c>
      <c r="AI1242" s="50" t="s">
        <v>89</v>
      </c>
      <c r="AJ1242" s="80">
        <f>IF(AN1242=0,I1242,0)</f>
        <v>0</v>
      </c>
      <c r="AK1242" s="80">
        <f>IF(AN1242=12,I1242,0)</f>
        <v>0</v>
      </c>
      <c r="AL1242" s="80">
        <f>IF(AN1242=21,I1242,0)</f>
        <v>0</v>
      </c>
      <c r="AN1242" s="38">
        <v>21</v>
      </c>
      <c r="AO1242" s="38">
        <f>H1242*1</f>
        <v>0</v>
      </c>
      <c r="AP1242" s="38">
        <f>H1242*(1-1)</f>
        <v>0</v>
      </c>
      <c r="AQ1242" s="83" t="s">
        <v>169</v>
      </c>
      <c r="AV1242" s="38">
        <f>AW1242+AX1242</f>
        <v>0</v>
      </c>
      <c r="AW1242" s="38">
        <f>G1242*AO1242</f>
        <v>0</v>
      </c>
      <c r="AX1242" s="38">
        <f>G1242*AP1242</f>
        <v>0</v>
      </c>
      <c r="AY1242" s="72" t="s">
        <v>895</v>
      </c>
      <c r="AZ1242" s="72" t="s">
        <v>2300</v>
      </c>
      <c r="BA1242" s="50" t="s">
        <v>2301</v>
      </c>
      <c r="BC1242" s="38">
        <f>AW1242+AX1242</f>
        <v>0</v>
      </c>
      <c r="BD1242" s="38">
        <f>H1242/(100-BE1242)*100</f>
        <v>0</v>
      </c>
      <c r="BE1242" s="38">
        <v>0</v>
      </c>
      <c r="BF1242" s="38">
        <f>K1242</f>
        <v>0</v>
      </c>
      <c r="BH1242" s="80">
        <f>G1242*AO1242</f>
        <v>0</v>
      </c>
      <c r="BI1242" s="80">
        <f>G1242*AP1242</f>
        <v>0</v>
      </c>
      <c r="BJ1242" s="80">
        <f>G1242*H1242</f>
        <v>0</v>
      </c>
      <c r="BK1242" s="80"/>
      <c r="BL1242" s="38">
        <v>713</v>
      </c>
      <c r="BW1242" s="38">
        <v>21</v>
      </c>
    </row>
    <row r="1243" spans="1:47" ht="15">
      <c r="A1243" s="65" t="s">
        <v>4</v>
      </c>
      <c r="B1243" s="66" t="s">
        <v>89</v>
      </c>
      <c r="C1243" s="66" t="s">
        <v>2311</v>
      </c>
      <c r="D1243" s="192" t="s">
        <v>2312</v>
      </c>
      <c r="E1243" s="193"/>
      <c r="F1243" s="67" t="s">
        <v>78</v>
      </c>
      <c r="G1243" s="67" t="s">
        <v>78</v>
      </c>
      <c r="H1243" s="68" t="s">
        <v>78</v>
      </c>
      <c r="I1243" s="44">
        <f>SUM(I1244:I1253)</f>
        <v>0</v>
      </c>
      <c r="J1243" s="50" t="s">
        <v>4</v>
      </c>
      <c r="K1243" s="44">
        <f>SUM(K1244:K1253)</f>
        <v>0</v>
      </c>
      <c r="L1243" s="69" t="s">
        <v>4</v>
      </c>
      <c r="AI1243" s="50" t="s">
        <v>89</v>
      </c>
      <c r="AS1243" s="44">
        <f>SUM(AJ1244:AJ1253)</f>
        <v>0</v>
      </c>
      <c r="AT1243" s="44">
        <f>SUM(AK1244:AK1253)</f>
        <v>0</v>
      </c>
      <c r="AU1243" s="44">
        <f>SUM(AL1244:AL1253)</f>
        <v>0</v>
      </c>
    </row>
    <row r="1244" spans="1:75" ht="13.5" customHeight="1">
      <c r="A1244" s="1" t="s">
        <v>2313</v>
      </c>
      <c r="B1244" s="2" t="s">
        <v>89</v>
      </c>
      <c r="C1244" s="2" t="s">
        <v>2314</v>
      </c>
      <c r="D1244" s="108" t="s">
        <v>2315</v>
      </c>
      <c r="E1244" s="103"/>
      <c r="F1244" s="2" t="s">
        <v>214</v>
      </c>
      <c r="G1244" s="38">
        <v>95</v>
      </c>
      <c r="H1244" s="70">
        <v>0</v>
      </c>
      <c r="I1244" s="38">
        <f aca="true" t="shared" si="72" ref="I1244:I1253">G1244*H1244</f>
        <v>0</v>
      </c>
      <c r="J1244" s="38">
        <v>0</v>
      </c>
      <c r="K1244" s="38">
        <f aca="true" t="shared" si="73" ref="K1244:K1253">G1244*J1244</f>
        <v>0</v>
      </c>
      <c r="L1244" s="71" t="s">
        <v>207</v>
      </c>
      <c r="Z1244" s="38">
        <f aca="true" t="shared" si="74" ref="Z1244:Z1253">IF(AQ1244="5",BJ1244,0)</f>
        <v>0</v>
      </c>
      <c r="AB1244" s="38">
        <f aca="true" t="shared" si="75" ref="AB1244:AB1253">IF(AQ1244="1",BH1244,0)</f>
        <v>0</v>
      </c>
      <c r="AC1244" s="38">
        <f aca="true" t="shared" si="76" ref="AC1244:AC1253">IF(AQ1244="1",BI1244,0)</f>
        <v>0</v>
      </c>
      <c r="AD1244" s="38">
        <f aca="true" t="shared" si="77" ref="AD1244:AD1253">IF(AQ1244="7",BH1244,0)</f>
        <v>0</v>
      </c>
      <c r="AE1244" s="38">
        <f aca="true" t="shared" si="78" ref="AE1244:AE1253">IF(AQ1244="7",BI1244,0)</f>
        <v>0</v>
      </c>
      <c r="AF1244" s="38">
        <f aca="true" t="shared" si="79" ref="AF1244:AF1253">IF(AQ1244="2",BH1244,0)</f>
        <v>0</v>
      </c>
      <c r="AG1244" s="38">
        <f aca="true" t="shared" si="80" ref="AG1244:AG1253">IF(AQ1244="2",BI1244,0)</f>
        <v>0</v>
      </c>
      <c r="AH1244" s="38">
        <f aca="true" t="shared" si="81" ref="AH1244:AH1253">IF(AQ1244="0",BJ1244,0)</f>
        <v>0</v>
      </c>
      <c r="AI1244" s="50" t="s">
        <v>89</v>
      </c>
      <c r="AJ1244" s="38">
        <f aca="true" t="shared" si="82" ref="AJ1244:AJ1253">IF(AN1244=0,I1244,0)</f>
        <v>0</v>
      </c>
      <c r="AK1244" s="38">
        <f aca="true" t="shared" si="83" ref="AK1244:AK1253">IF(AN1244=12,I1244,0)</f>
        <v>0</v>
      </c>
      <c r="AL1244" s="38">
        <f aca="true" t="shared" si="84" ref="AL1244:AL1253">IF(AN1244=21,I1244,0)</f>
        <v>0</v>
      </c>
      <c r="AN1244" s="38">
        <v>21</v>
      </c>
      <c r="AO1244" s="38">
        <f aca="true" t="shared" si="85" ref="AO1244:AO1253">H1244*0</f>
        <v>0</v>
      </c>
      <c r="AP1244" s="38">
        <f aca="true" t="shared" si="86" ref="AP1244:AP1253">H1244*(1-0)</f>
        <v>0</v>
      </c>
      <c r="AQ1244" s="72" t="s">
        <v>169</v>
      </c>
      <c r="AV1244" s="38">
        <f aca="true" t="shared" si="87" ref="AV1244:AV1253">AW1244+AX1244</f>
        <v>0</v>
      </c>
      <c r="AW1244" s="38">
        <f aca="true" t="shared" si="88" ref="AW1244:AW1253">G1244*AO1244</f>
        <v>0</v>
      </c>
      <c r="AX1244" s="38">
        <f aca="true" t="shared" si="89" ref="AX1244:AX1253">G1244*AP1244</f>
        <v>0</v>
      </c>
      <c r="AY1244" s="72" t="s">
        <v>2316</v>
      </c>
      <c r="AZ1244" s="72" t="s">
        <v>2317</v>
      </c>
      <c r="BA1244" s="50" t="s">
        <v>2301</v>
      </c>
      <c r="BC1244" s="38">
        <f aca="true" t="shared" si="90" ref="BC1244:BC1253">AW1244+AX1244</f>
        <v>0</v>
      </c>
      <c r="BD1244" s="38">
        <f aca="true" t="shared" si="91" ref="BD1244:BD1253">H1244/(100-BE1244)*100</f>
        <v>0</v>
      </c>
      <c r="BE1244" s="38">
        <v>0</v>
      </c>
      <c r="BF1244" s="38">
        <f aca="true" t="shared" si="92" ref="BF1244:BF1253">K1244</f>
        <v>0</v>
      </c>
      <c r="BH1244" s="38">
        <f aca="true" t="shared" si="93" ref="BH1244:BH1253">G1244*AO1244</f>
        <v>0</v>
      </c>
      <c r="BI1244" s="38">
        <f aca="true" t="shared" si="94" ref="BI1244:BI1253">G1244*AP1244</f>
        <v>0</v>
      </c>
      <c r="BJ1244" s="38">
        <f aca="true" t="shared" si="95" ref="BJ1244:BJ1253">G1244*H1244</f>
        <v>0</v>
      </c>
      <c r="BK1244" s="38"/>
      <c r="BL1244" s="38">
        <v>733</v>
      </c>
      <c r="BW1244" s="38">
        <v>21</v>
      </c>
    </row>
    <row r="1245" spans="1:75" ht="13.5" customHeight="1">
      <c r="A1245" s="1" t="s">
        <v>2318</v>
      </c>
      <c r="B1245" s="2" t="s">
        <v>89</v>
      </c>
      <c r="C1245" s="2" t="s">
        <v>2319</v>
      </c>
      <c r="D1245" s="108" t="s">
        <v>2320</v>
      </c>
      <c r="E1245" s="103"/>
      <c r="F1245" s="2" t="s">
        <v>214</v>
      </c>
      <c r="G1245" s="38">
        <v>75</v>
      </c>
      <c r="H1245" s="70">
        <v>0</v>
      </c>
      <c r="I1245" s="38">
        <f t="shared" si="72"/>
        <v>0</v>
      </c>
      <c r="J1245" s="38">
        <v>0</v>
      </c>
      <c r="K1245" s="38">
        <f t="shared" si="73"/>
        <v>0</v>
      </c>
      <c r="L1245" s="71" t="s">
        <v>207</v>
      </c>
      <c r="Z1245" s="38">
        <f t="shared" si="74"/>
        <v>0</v>
      </c>
      <c r="AB1245" s="38">
        <f t="shared" si="75"/>
        <v>0</v>
      </c>
      <c r="AC1245" s="38">
        <f t="shared" si="76"/>
        <v>0</v>
      </c>
      <c r="AD1245" s="38">
        <f t="shared" si="77"/>
        <v>0</v>
      </c>
      <c r="AE1245" s="38">
        <f t="shared" si="78"/>
        <v>0</v>
      </c>
      <c r="AF1245" s="38">
        <f t="shared" si="79"/>
        <v>0</v>
      </c>
      <c r="AG1245" s="38">
        <f t="shared" si="80"/>
        <v>0</v>
      </c>
      <c r="AH1245" s="38">
        <f t="shared" si="81"/>
        <v>0</v>
      </c>
      <c r="AI1245" s="50" t="s">
        <v>89</v>
      </c>
      <c r="AJ1245" s="38">
        <f t="shared" si="82"/>
        <v>0</v>
      </c>
      <c r="AK1245" s="38">
        <f t="shared" si="83"/>
        <v>0</v>
      </c>
      <c r="AL1245" s="38">
        <f t="shared" si="84"/>
        <v>0</v>
      </c>
      <c r="AN1245" s="38">
        <v>21</v>
      </c>
      <c r="AO1245" s="38">
        <f t="shared" si="85"/>
        <v>0</v>
      </c>
      <c r="AP1245" s="38">
        <f t="shared" si="86"/>
        <v>0</v>
      </c>
      <c r="AQ1245" s="72" t="s">
        <v>169</v>
      </c>
      <c r="AV1245" s="38">
        <f t="shared" si="87"/>
        <v>0</v>
      </c>
      <c r="AW1245" s="38">
        <f t="shared" si="88"/>
        <v>0</v>
      </c>
      <c r="AX1245" s="38">
        <f t="shared" si="89"/>
        <v>0</v>
      </c>
      <c r="AY1245" s="72" t="s">
        <v>2316</v>
      </c>
      <c r="AZ1245" s="72" t="s">
        <v>2317</v>
      </c>
      <c r="BA1245" s="50" t="s">
        <v>2301</v>
      </c>
      <c r="BC1245" s="38">
        <f t="shared" si="90"/>
        <v>0</v>
      </c>
      <c r="BD1245" s="38">
        <f t="shared" si="91"/>
        <v>0</v>
      </c>
      <c r="BE1245" s="38">
        <v>0</v>
      </c>
      <c r="BF1245" s="38">
        <f t="shared" si="92"/>
        <v>0</v>
      </c>
      <c r="BH1245" s="38">
        <f t="shared" si="93"/>
        <v>0</v>
      </c>
      <c r="BI1245" s="38">
        <f t="shared" si="94"/>
        <v>0</v>
      </c>
      <c r="BJ1245" s="38">
        <f t="shared" si="95"/>
        <v>0</v>
      </c>
      <c r="BK1245" s="38"/>
      <c r="BL1245" s="38">
        <v>733</v>
      </c>
      <c r="BW1245" s="38">
        <v>21</v>
      </c>
    </row>
    <row r="1246" spans="1:75" ht="13.5" customHeight="1">
      <c r="A1246" s="1" t="s">
        <v>2321</v>
      </c>
      <c r="B1246" s="2" t="s">
        <v>89</v>
      </c>
      <c r="C1246" s="2" t="s">
        <v>2322</v>
      </c>
      <c r="D1246" s="108" t="s">
        <v>2323</v>
      </c>
      <c r="E1246" s="103"/>
      <c r="F1246" s="2" t="s">
        <v>214</v>
      </c>
      <c r="G1246" s="38">
        <v>2</v>
      </c>
      <c r="H1246" s="70">
        <v>0</v>
      </c>
      <c r="I1246" s="38">
        <f t="shared" si="72"/>
        <v>0</v>
      </c>
      <c r="J1246" s="38">
        <v>0</v>
      </c>
      <c r="K1246" s="38">
        <f t="shared" si="73"/>
        <v>0</v>
      </c>
      <c r="L1246" s="71" t="s">
        <v>207</v>
      </c>
      <c r="Z1246" s="38">
        <f t="shared" si="74"/>
        <v>0</v>
      </c>
      <c r="AB1246" s="38">
        <f t="shared" si="75"/>
        <v>0</v>
      </c>
      <c r="AC1246" s="38">
        <f t="shared" si="76"/>
        <v>0</v>
      </c>
      <c r="AD1246" s="38">
        <f t="shared" si="77"/>
        <v>0</v>
      </c>
      <c r="AE1246" s="38">
        <f t="shared" si="78"/>
        <v>0</v>
      </c>
      <c r="AF1246" s="38">
        <f t="shared" si="79"/>
        <v>0</v>
      </c>
      <c r="AG1246" s="38">
        <f t="shared" si="80"/>
        <v>0</v>
      </c>
      <c r="AH1246" s="38">
        <f t="shared" si="81"/>
        <v>0</v>
      </c>
      <c r="AI1246" s="50" t="s">
        <v>89</v>
      </c>
      <c r="AJ1246" s="38">
        <f t="shared" si="82"/>
        <v>0</v>
      </c>
      <c r="AK1246" s="38">
        <f t="shared" si="83"/>
        <v>0</v>
      </c>
      <c r="AL1246" s="38">
        <f t="shared" si="84"/>
        <v>0</v>
      </c>
      <c r="AN1246" s="38">
        <v>21</v>
      </c>
      <c r="AO1246" s="38">
        <f t="shared" si="85"/>
        <v>0</v>
      </c>
      <c r="AP1246" s="38">
        <f t="shared" si="86"/>
        <v>0</v>
      </c>
      <c r="AQ1246" s="72" t="s">
        <v>169</v>
      </c>
      <c r="AV1246" s="38">
        <f t="shared" si="87"/>
        <v>0</v>
      </c>
      <c r="AW1246" s="38">
        <f t="shared" si="88"/>
        <v>0</v>
      </c>
      <c r="AX1246" s="38">
        <f t="shared" si="89"/>
        <v>0</v>
      </c>
      <c r="AY1246" s="72" t="s">
        <v>2316</v>
      </c>
      <c r="AZ1246" s="72" t="s">
        <v>2317</v>
      </c>
      <c r="BA1246" s="50" t="s">
        <v>2301</v>
      </c>
      <c r="BC1246" s="38">
        <f t="shared" si="90"/>
        <v>0</v>
      </c>
      <c r="BD1246" s="38">
        <f t="shared" si="91"/>
        <v>0</v>
      </c>
      <c r="BE1246" s="38">
        <v>0</v>
      </c>
      <c r="BF1246" s="38">
        <f t="shared" si="92"/>
        <v>0</v>
      </c>
      <c r="BH1246" s="38">
        <f t="shared" si="93"/>
        <v>0</v>
      </c>
      <c r="BI1246" s="38">
        <f t="shared" si="94"/>
        <v>0</v>
      </c>
      <c r="BJ1246" s="38">
        <f t="shared" si="95"/>
        <v>0</v>
      </c>
      <c r="BK1246" s="38"/>
      <c r="BL1246" s="38">
        <v>733</v>
      </c>
      <c r="BW1246" s="38">
        <v>21</v>
      </c>
    </row>
    <row r="1247" spans="1:75" ht="13.5" customHeight="1">
      <c r="A1247" s="1" t="s">
        <v>2324</v>
      </c>
      <c r="B1247" s="2" t="s">
        <v>89</v>
      </c>
      <c r="C1247" s="2" t="s">
        <v>2325</v>
      </c>
      <c r="D1247" s="108" t="s">
        <v>2326</v>
      </c>
      <c r="E1247" s="103"/>
      <c r="F1247" s="2" t="s">
        <v>214</v>
      </c>
      <c r="G1247" s="38">
        <v>100</v>
      </c>
      <c r="H1247" s="70">
        <v>0</v>
      </c>
      <c r="I1247" s="38">
        <f t="shared" si="72"/>
        <v>0</v>
      </c>
      <c r="J1247" s="38">
        <v>0</v>
      </c>
      <c r="K1247" s="38">
        <f t="shared" si="73"/>
        <v>0</v>
      </c>
      <c r="L1247" s="71" t="s">
        <v>207</v>
      </c>
      <c r="Z1247" s="38">
        <f t="shared" si="74"/>
        <v>0</v>
      </c>
      <c r="AB1247" s="38">
        <f t="shared" si="75"/>
        <v>0</v>
      </c>
      <c r="AC1247" s="38">
        <f t="shared" si="76"/>
        <v>0</v>
      </c>
      <c r="AD1247" s="38">
        <f t="shared" si="77"/>
        <v>0</v>
      </c>
      <c r="AE1247" s="38">
        <f t="shared" si="78"/>
        <v>0</v>
      </c>
      <c r="AF1247" s="38">
        <f t="shared" si="79"/>
        <v>0</v>
      </c>
      <c r="AG1247" s="38">
        <f t="shared" si="80"/>
        <v>0</v>
      </c>
      <c r="AH1247" s="38">
        <f t="shared" si="81"/>
        <v>0</v>
      </c>
      <c r="AI1247" s="50" t="s">
        <v>89</v>
      </c>
      <c r="AJ1247" s="38">
        <f t="shared" si="82"/>
        <v>0</v>
      </c>
      <c r="AK1247" s="38">
        <f t="shared" si="83"/>
        <v>0</v>
      </c>
      <c r="AL1247" s="38">
        <f t="shared" si="84"/>
        <v>0</v>
      </c>
      <c r="AN1247" s="38">
        <v>21</v>
      </c>
      <c r="AO1247" s="38">
        <f t="shared" si="85"/>
        <v>0</v>
      </c>
      <c r="AP1247" s="38">
        <f t="shared" si="86"/>
        <v>0</v>
      </c>
      <c r="AQ1247" s="72" t="s">
        <v>169</v>
      </c>
      <c r="AV1247" s="38">
        <f t="shared" si="87"/>
        <v>0</v>
      </c>
      <c r="AW1247" s="38">
        <f t="shared" si="88"/>
        <v>0</v>
      </c>
      <c r="AX1247" s="38">
        <f t="shared" si="89"/>
        <v>0</v>
      </c>
      <c r="AY1247" s="72" t="s">
        <v>2316</v>
      </c>
      <c r="AZ1247" s="72" t="s">
        <v>2317</v>
      </c>
      <c r="BA1247" s="50" t="s">
        <v>2301</v>
      </c>
      <c r="BC1247" s="38">
        <f t="shared" si="90"/>
        <v>0</v>
      </c>
      <c r="BD1247" s="38">
        <f t="shared" si="91"/>
        <v>0</v>
      </c>
      <c r="BE1247" s="38">
        <v>0</v>
      </c>
      <c r="BF1247" s="38">
        <f t="shared" si="92"/>
        <v>0</v>
      </c>
      <c r="BH1247" s="38">
        <f t="shared" si="93"/>
        <v>0</v>
      </c>
      <c r="BI1247" s="38">
        <f t="shared" si="94"/>
        <v>0</v>
      </c>
      <c r="BJ1247" s="38">
        <f t="shared" si="95"/>
        <v>0</v>
      </c>
      <c r="BK1247" s="38"/>
      <c r="BL1247" s="38">
        <v>733</v>
      </c>
      <c r="BW1247" s="38">
        <v>21</v>
      </c>
    </row>
    <row r="1248" spans="1:75" ht="13.5" customHeight="1">
      <c r="A1248" s="1" t="s">
        <v>2327</v>
      </c>
      <c r="B1248" s="2" t="s">
        <v>89</v>
      </c>
      <c r="C1248" s="2" t="s">
        <v>2328</v>
      </c>
      <c r="D1248" s="108" t="s">
        <v>2329</v>
      </c>
      <c r="E1248" s="103"/>
      <c r="F1248" s="2" t="s">
        <v>214</v>
      </c>
      <c r="G1248" s="38">
        <v>20</v>
      </c>
      <c r="H1248" s="70">
        <v>0</v>
      </c>
      <c r="I1248" s="38">
        <f t="shared" si="72"/>
        <v>0</v>
      </c>
      <c r="J1248" s="38">
        <v>0</v>
      </c>
      <c r="K1248" s="38">
        <f t="shared" si="73"/>
        <v>0</v>
      </c>
      <c r="L1248" s="71" t="s">
        <v>207</v>
      </c>
      <c r="Z1248" s="38">
        <f t="shared" si="74"/>
        <v>0</v>
      </c>
      <c r="AB1248" s="38">
        <f t="shared" si="75"/>
        <v>0</v>
      </c>
      <c r="AC1248" s="38">
        <f t="shared" si="76"/>
        <v>0</v>
      </c>
      <c r="AD1248" s="38">
        <f t="shared" si="77"/>
        <v>0</v>
      </c>
      <c r="AE1248" s="38">
        <f t="shared" si="78"/>
        <v>0</v>
      </c>
      <c r="AF1248" s="38">
        <f t="shared" si="79"/>
        <v>0</v>
      </c>
      <c r="AG1248" s="38">
        <f t="shared" si="80"/>
        <v>0</v>
      </c>
      <c r="AH1248" s="38">
        <f t="shared" si="81"/>
        <v>0</v>
      </c>
      <c r="AI1248" s="50" t="s">
        <v>89</v>
      </c>
      <c r="AJ1248" s="38">
        <f t="shared" si="82"/>
        <v>0</v>
      </c>
      <c r="AK1248" s="38">
        <f t="shared" si="83"/>
        <v>0</v>
      </c>
      <c r="AL1248" s="38">
        <f t="shared" si="84"/>
        <v>0</v>
      </c>
      <c r="AN1248" s="38">
        <v>21</v>
      </c>
      <c r="AO1248" s="38">
        <f t="shared" si="85"/>
        <v>0</v>
      </c>
      <c r="AP1248" s="38">
        <f t="shared" si="86"/>
        <v>0</v>
      </c>
      <c r="AQ1248" s="72" t="s">
        <v>169</v>
      </c>
      <c r="AV1248" s="38">
        <f t="shared" si="87"/>
        <v>0</v>
      </c>
      <c r="AW1248" s="38">
        <f t="shared" si="88"/>
        <v>0</v>
      </c>
      <c r="AX1248" s="38">
        <f t="shared" si="89"/>
        <v>0</v>
      </c>
      <c r="AY1248" s="72" t="s">
        <v>2316</v>
      </c>
      <c r="AZ1248" s="72" t="s">
        <v>2317</v>
      </c>
      <c r="BA1248" s="50" t="s">
        <v>2301</v>
      </c>
      <c r="BC1248" s="38">
        <f t="shared" si="90"/>
        <v>0</v>
      </c>
      <c r="BD1248" s="38">
        <f t="shared" si="91"/>
        <v>0</v>
      </c>
      <c r="BE1248" s="38">
        <v>0</v>
      </c>
      <c r="BF1248" s="38">
        <f t="shared" si="92"/>
        <v>0</v>
      </c>
      <c r="BH1248" s="38">
        <f t="shared" si="93"/>
        <v>0</v>
      </c>
      <c r="BI1248" s="38">
        <f t="shared" si="94"/>
        <v>0</v>
      </c>
      <c r="BJ1248" s="38">
        <f t="shared" si="95"/>
        <v>0</v>
      </c>
      <c r="BK1248" s="38"/>
      <c r="BL1248" s="38">
        <v>733</v>
      </c>
      <c r="BW1248" s="38">
        <v>21</v>
      </c>
    </row>
    <row r="1249" spans="1:75" ht="13.5" customHeight="1">
      <c r="A1249" s="1" t="s">
        <v>2330</v>
      </c>
      <c r="B1249" s="2" t="s">
        <v>89</v>
      </c>
      <c r="C1249" s="2" t="s">
        <v>2331</v>
      </c>
      <c r="D1249" s="108" t="s">
        <v>2332</v>
      </c>
      <c r="E1249" s="103"/>
      <c r="F1249" s="2" t="s">
        <v>214</v>
      </c>
      <c r="G1249" s="38">
        <v>15</v>
      </c>
      <c r="H1249" s="70">
        <v>0</v>
      </c>
      <c r="I1249" s="38">
        <f t="shared" si="72"/>
        <v>0</v>
      </c>
      <c r="J1249" s="38">
        <v>0</v>
      </c>
      <c r="K1249" s="38">
        <f t="shared" si="73"/>
        <v>0</v>
      </c>
      <c r="L1249" s="71" t="s">
        <v>207</v>
      </c>
      <c r="Z1249" s="38">
        <f t="shared" si="74"/>
        <v>0</v>
      </c>
      <c r="AB1249" s="38">
        <f t="shared" si="75"/>
        <v>0</v>
      </c>
      <c r="AC1249" s="38">
        <f t="shared" si="76"/>
        <v>0</v>
      </c>
      <c r="AD1249" s="38">
        <f t="shared" si="77"/>
        <v>0</v>
      </c>
      <c r="AE1249" s="38">
        <f t="shared" si="78"/>
        <v>0</v>
      </c>
      <c r="AF1249" s="38">
        <f t="shared" si="79"/>
        <v>0</v>
      </c>
      <c r="AG1249" s="38">
        <f t="shared" si="80"/>
        <v>0</v>
      </c>
      <c r="AH1249" s="38">
        <f t="shared" si="81"/>
        <v>0</v>
      </c>
      <c r="AI1249" s="50" t="s">
        <v>89</v>
      </c>
      <c r="AJ1249" s="38">
        <f t="shared" si="82"/>
        <v>0</v>
      </c>
      <c r="AK1249" s="38">
        <f t="shared" si="83"/>
        <v>0</v>
      </c>
      <c r="AL1249" s="38">
        <f t="shared" si="84"/>
        <v>0</v>
      </c>
      <c r="AN1249" s="38">
        <v>21</v>
      </c>
      <c r="AO1249" s="38">
        <f t="shared" si="85"/>
        <v>0</v>
      </c>
      <c r="AP1249" s="38">
        <f t="shared" si="86"/>
        <v>0</v>
      </c>
      <c r="AQ1249" s="72" t="s">
        <v>169</v>
      </c>
      <c r="AV1249" s="38">
        <f t="shared" si="87"/>
        <v>0</v>
      </c>
      <c r="AW1249" s="38">
        <f t="shared" si="88"/>
        <v>0</v>
      </c>
      <c r="AX1249" s="38">
        <f t="shared" si="89"/>
        <v>0</v>
      </c>
      <c r="AY1249" s="72" t="s">
        <v>2316</v>
      </c>
      <c r="AZ1249" s="72" t="s">
        <v>2317</v>
      </c>
      <c r="BA1249" s="50" t="s">
        <v>2301</v>
      </c>
      <c r="BC1249" s="38">
        <f t="shared" si="90"/>
        <v>0</v>
      </c>
      <c r="BD1249" s="38">
        <f t="shared" si="91"/>
        <v>0</v>
      </c>
      <c r="BE1249" s="38">
        <v>0</v>
      </c>
      <c r="BF1249" s="38">
        <f t="shared" si="92"/>
        <v>0</v>
      </c>
      <c r="BH1249" s="38">
        <f t="shared" si="93"/>
        <v>0</v>
      </c>
      <c r="BI1249" s="38">
        <f t="shared" si="94"/>
        <v>0</v>
      </c>
      <c r="BJ1249" s="38">
        <f t="shared" si="95"/>
        <v>0</v>
      </c>
      <c r="BK1249" s="38"/>
      <c r="BL1249" s="38">
        <v>733</v>
      </c>
      <c r="BW1249" s="38">
        <v>21</v>
      </c>
    </row>
    <row r="1250" spans="1:75" ht="13.5" customHeight="1">
      <c r="A1250" s="1" t="s">
        <v>2333</v>
      </c>
      <c r="B1250" s="2" t="s">
        <v>89</v>
      </c>
      <c r="C1250" s="2" t="s">
        <v>2334</v>
      </c>
      <c r="D1250" s="108" t="s">
        <v>2335</v>
      </c>
      <c r="E1250" s="103"/>
      <c r="F1250" s="2" t="s">
        <v>214</v>
      </c>
      <c r="G1250" s="38">
        <v>20</v>
      </c>
      <c r="H1250" s="70">
        <v>0</v>
      </c>
      <c r="I1250" s="38">
        <f t="shared" si="72"/>
        <v>0</v>
      </c>
      <c r="J1250" s="38">
        <v>0</v>
      </c>
      <c r="K1250" s="38">
        <f t="shared" si="73"/>
        <v>0</v>
      </c>
      <c r="L1250" s="71" t="s">
        <v>207</v>
      </c>
      <c r="Z1250" s="38">
        <f t="shared" si="74"/>
        <v>0</v>
      </c>
      <c r="AB1250" s="38">
        <f t="shared" si="75"/>
        <v>0</v>
      </c>
      <c r="AC1250" s="38">
        <f t="shared" si="76"/>
        <v>0</v>
      </c>
      <c r="AD1250" s="38">
        <f t="shared" si="77"/>
        <v>0</v>
      </c>
      <c r="AE1250" s="38">
        <f t="shared" si="78"/>
        <v>0</v>
      </c>
      <c r="AF1250" s="38">
        <f t="shared" si="79"/>
        <v>0</v>
      </c>
      <c r="AG1250" s="38">
        <f t="shared" si="80"/>
        <v>0</v>
      </c>
      <c r="AH1250" s="38">
        <f t="shared" si="81"/>
        <v>0</v>
      </c>
      <c r="AI1250" s="50" t="s">
        <v>89</v>
      </c>
      <c r="AJ1250" s="38">
        <f t="shared" si="82"/>
        <v>0</v>
      </c>
      <c r="AK1250" s="38">
        <f t="shared" si="83"/>
        <v>0</v>
      </c>
      <c r="AL1250" s="38">
        <f t="shared" si="84"/>
        <v>0</v>
      </c>
      <c r="AN1250" s="38">
        <v>21</v>
      </c>
      <c r="AO1250" s="38">
        <f t="shared" si="85"/>
        <v>0</v>
      </c>
      <c r="AP1250" s="38">
        <f t="shared" si="86"/>
        <v>0</v>
      </c>
      <c r="AQ1250" s="72" t="s">
        <v>169</v>
      </c>
      <c r="AV1250" s="38">
        <f t="shared" si="87"/>
        <v>0</v>
      </c>
      <c r="AW1250" s="38">
        <f t="shared" si="88"/>
        <v>0</v>
      </c>
      <c r="AX1250" s="38">
        <f t="shared" si="89"/>
        <v>0</v>
      </c>
      <c r="AY1250" s="72" t="s">
        <v>2316</v>
      </c>
      <c r="AZ1250" s="72" t="s">
        <v>2317</v>
      </c>
      <c r="BA1250" s="50" t="s">
        <v>2301</v>
      </c>
      <c r="BC1250" s="38">
        <f t="shared" si="90"/>
        <v>0</v>
      </c>
      <c r="BD1250" s="38">
        <f t="shared" si="91"/>
        <v>0</v>
      </c>
      <c r="BE1250" s="38">
        <v>0</v>
      </c>
      <c r="BF1250" s="38">
        <f t="shared" si="92"/>
        <v>0</v>
      </c>
      <c r="BH1250" s="38">
        <f t="shared" si="93"/>
        <v>0</v>
      </c>
      <c r="BI1250" s="38">
        <f t="shared" si="94"/>
        <v>0</v>
      </c>
      <c r="BJ1250" s="38">
        <f t="shared" si="95"/>
        <v>0</v>
      </c>
      <c r="BK1250" s="38"/>
      <c r="BL1250" s="38">
        <v>733</v>
      </c>
      <c r="BW1250" s="38">
        <v>21</v>
      </c>
    </row>
    <row r="1251" spans="1:75" ht="13.5" customHeight="1">
      <c r="A1251" s="1" t="s">
        <v>2336</v>
      </c>
      <c r="B1251" s="2" t="s">
        <v>89</v>
      </c>
      <c r="C1251" s="2" t="s">
        <v>2337</v>
      </c>
      <c r="D1251" s="108" t="s">
        <v>2338</v>
      </c>
      <c r="E1251" s="103"/>
      <c r="F1251" s="2" t="s">
        <v>214</v>
      </c>
      <c r="G1251" s="38">
        <v>75</v>
      </c>
      <c r="H1251" s="70">
        <v>0</v>
      </c>
      <c r="I1251" s="38">
        <f t="shared" si="72"/>
        <v>0</v>
      </c>
      <c r="J1251" s="38">
        <v>0</v>
      </c>
      <c r="K1251" s="38">
        <f t="shared" si="73"/>
        <v>0</v>
      </c>
      <c r="L1251" s="71" t="s">
        <v>207</v>
      </c>
      <c r="Z1251" s="38">
        <f t="shared" si="74"/>
        <v>0</v>
      </c>
      <c r="AB1251" s="38">
        <f t="shared" si="75"/>
        <v>0</v>
      </c>
      <c r="AC1251" s="38">
        <f t="shared" si="76"/>
        <v>0</v>
      </c>
      <c r="AD1251" s="38">
        <f t="shared" si="77"/>
        <v>0</v>
      </c>
      <c r="AE1251" s="38">
        <f t="shared" si="78"/>
        <v>0</v>
      </c>
      <c r="AF1251" s="38">
        <f t="shared" si="79"/>
        <v>0</v>
      </c>
      <c r="AG1251" s="38">
        <f t="shared" si="80"/>
        <v>0</v>
      </c>
      <c r="AH1251" s="38">
        <f t="shared" si="81"/>
        <v>0</v>
      </c>
      <c r="AI1251" s="50" t="s">
        <v>89</v>
      </c>
      <c r="AJ1251" s="38">
        <f t="shared" si="82"/>
        <v>0</v>
      </c>
      <c r="AK1251" s="38">
        <f t="shared" si="83"/>
        <v>0</v>
      </c>
      <c r="AL1251" s="38">
        <f t="shared" si="84"/>
        <v>0</v>
      </c>
      <c r="AN1251" s="38">
        <v>21</v>
      </c>
      <c r="AO1251" s="38">
        <f t="shared" si="85"/>
        <v>0</v>
      </c>
      <c r="AP1251" s="38">
        <f t="shared" si="86"/>
        <v>0</v>
      </c>
      <c r="AQ1251" s="72" t="s">
        <v>169</v>
      </c>
      <c r="AV1251" s="38">
        <f t="shared" si="87"/>
        <v>0</v>
      </c>
      <c r="AW1251" s="38">
        <f t="shared" si="88"/>
        <v>0</v>
      </c>
      <c r="AX1251" s="38">
        <f t="shared" si="89"/>
        <v>0</v>
      </c>
      <c r="AY1251" s="72" t="s">
        <v>2316</v>
      </c>
      <c r="AZ1251" s="72" t="s">
        <v>2317</v>
      </c>
      <c r="BA1251" s="50" t="s">
        <v>2301</v>
      </c>
      <c r="BC1251" s="38">
        <f t="shared" si="90"/>
        <v>0</v>
      </c>
      <c r="BD1251" s="38">
        <f t="shared" si="91"/>
        <v>0</v>
      </c>
      <c r="BE1251" s="38">
        <v>0</v>
      </c>
      <c r="BF1251" s="38">
        <f t="shared" si="92"/>
        <v>0</v>
      </c>
      <c r="BH1251" s="38">
        <f t="shared" si="93"/>
        <v>0</v>
      </c>
      <c r="BI1251" s="38">
        <f t="shared" si="94"/>
        <v>0</v>
      </c>
      <c r="BJ1251" s="38">
        <f t="shared" si="95"/>
        <v>0</v>
      </c>
      <c r="BK1251" s="38"/>
      <c r="BL1251" s="38">
        <v>733</v>
      </c>
      <c r="BW1251" s="38">
        <v>21</v>
      </c>
    </row>
    <row r="1252" spans="1:75" ht="13.5" customHeight="1">
      <c r="A1252" s="1" t="s">
        <v>2339</v>
      </c>
      <c r="B1252" s="2" t="s">
        <v>89</v>
      </c>
      <c r="C1252" s="2" t="s">
        <v>2340</v>
      </c>
      <c r="D1252" s="108" t="s">
        <v>2341</v>
      </c>
      <c r="E1252" s="103"/>
      <c r="F1252" s="2" t="s">
        <v>214</v>
      </c>
      <c r="G1252" s="38">
        <v>232</v>
      </c>
      <c r="H1252" s="70">
        <v>0</v>
      </c>
      <c r="I1252" s="38">
        <f t="shared" si="72"/>
        <v>0</v>
      </c>
      <c r="J1252" s="38">
        <v>0</v>
      </c>
      <c r="K1252" s="38">
        <f t="shared" si="73"/>
        <v>0</v>
      </c>
      <c r="L1252" s="71" t="s">
        <v>207</v>
      </c>
      <c r="Z1252" s="38">
        <f t="shared" si="74"/>
        <v>0</v>
      </c>
      <c r="AB1252" s="38">
        <f t="shared" si="75"/>
        <v>0</v>
      </c>
      <c r="AC1252" s="38">
        <f t="shared" si="76"/>
        <v>0</v>
      </c>
      <c r="AD1252" s="38">
        <f t="shared" si="77"/>
        <v>0</v>
      </c>
      <c r="AE1252" s="38">
        <f t="shared" si="78"/>
        <v>0</v>
      </c>
      <c r="AF1252" s="38">
        <f t="shared" si="79"/>
        <v>0</v>
      </c>
      <c r="AG1252" s="38">
        <f t="shared" si="80"/>
        <v>0</v>
      </c>
      <c r="AH1252" s="38">
        <f t="shared" si="81"/>
        <v>0</v>
      </c>
      <c r="AI1252" s="50" t="s">
        <v>89</v>
      </c>
      <c r="AJ1252" s="38">
        <f t="shared" si="82"/>
        <v>0</v>
      </c>
      <c r="AK1252" s="38">
        <f t="shared" si="83"/>
        <v>0</v>
      </c>
      <c r="AL1252" s="38">
        <f t="shared" si="84"/>
        <v>0</v>
      </c>
      <c r="AN1252" s="38">
        <v>21</v>
      </c>
      <c r="AO1252" s="38">
        <f t="shared" si="85"/>
        <v>0</v>
      </c>
      <c r="AP1252" s="38">
        <f t="shared" si="86"/>
        <v>0</v>
      </c>
      <c r="AQ1252" s="72" t="s">
        <v>169</v>
      </c>
      <c r="AV1252" s="38">
        <f t="shared" si="87"/>
        <v>0</v>
      </c>
      <c r="AW1252" s="38">
        <f t="shared" si="88"/>
        <v>0</v>
      </c>
      <c r="AX1252" s="38">
        <f t="shared" si="89"/>
        <v>0</v>
      </c>
      <c r="AY1252" s="72" t="s">
        <v>2316</v>
      </c>
      <c r="AZ1252" s="72" t="s">
        <v>2317</v>
      </c>
      <c r="BA1252" s="50" t="s">
        <v>2301</v>
      </c>
      <c r="BC1252" s="38">
        <f t="shared" si="90"/>
        <v>0</v>
      </c>
      <c r="BD1252" s="38">
        <f t="shared" si="91"/>
        <v>0</v>
      </c>
      <c r="BE1252" s="38">
        <v>0</v>
      </c>
      <c r="BF1252" s="38">
        <f t="shared" si="92"/>
        <v>0</v>
      </c>
      <c r="BH1252" s="38">
        <f t="shared" si="93"/>
        <v>0</v>
      </c>
      <c r="BI1252" s="38">
        <f t="shared" si="94"/>
        <v>0</v>
      </c>
      <c r="BJ1252" s="38">
        <f t="shared" si="95"/>
        <v>0</v>
      </c>
      <c r="BK1252" s="38"/>
      <c r="BL1252" s="38">
        <v>733</v>
      </c>
      <c r="BW1252" s="38">
        <v>21</v>
      </c>
    </row>
    <row r="1253" spans="1:75" ht="13.5" customHeight="1">
      <c r="A1253" s="1" t="s">
        <v>2342</v>
      </c>
      <c r="B1253" s="2" t="s">
        <v>89</v>
      </c>
      <c r="C1253" s="2" t="s">
        <v>2343</v>
      </c>
      <c r="D1253" s="108" t="s">
        <v>2344</v>
      </c>
      <c r="E1253" s="103"/>
      <c r="F1253" s="2" t="s">
        <v>189</v>
      </c>
      <c r="G1253" s="38">
        <v>0.63</v>
      </c>
      <c r="H1253" s="70">
        <v>0</v>
      </c>
      <c r="I1253" s="38">
        <f t="shared" si="72"/>
        <v>0</v>
      </c>
      <c r="J1253" s="38">
        <v>0</v>
      </c>
      <c r="K1253" s="38">
        <f t="shared" si="73"/>
        <v>0</v>
      </c>
      <c r="L1253" s="71" t="s">
        <v>207</v>
      </c>
      <c r="Z1253" s="38">
        <f t="shared" si="74"/>
        <v>0</v>
      </c>
      <c r="AB1253" s="38">
        <f t="shared" si="75"/>
        <v>0</v>
      </c>
      <c r="AC1253" s="38">
        <f t="shared" si="76"/>
        <v>0</v>
      </c>
      <c r="AD1253" s="38">
        <f t="shared" si="77"/>
        <v>0</v>
      </c>
      <c r="AE1253" s="38">
        <f t="shared" si="78"/>
        <v>0</v>
      </c>
      <c r="AF1253" s="38">
        <f t="shared" si="79"/>
        <v>0</v>
      </c>
      <c r="AG1253" s="38">
        <f t="shared" si="80"/>
        <v>0</v>
      </c>
      <c r="AH1253" s="38">
        <f t="shared" si="81"/>
        <v>0</v>
      </c>
      <c r="AI1253" s="50" t="s">
        <v>89</v>
      </c>
      <c r="AJ1253" s="38">
        <f t="shared" si="82"/>
        <v>0</v>
      </c>
      <c r="AK1253" s="38">
        <f t="shared" si="83"/>
        <v>0</v>
      </c>
      <c r="AL1253" s="38">
        <f t="shared" si="84"/>
        <v>0</v>
      </c>
      <c r="AN1253" s="38">
        <v>21</v>
      </c>
      <c r="AO1253" s="38">
        <f t="shared" si="85"/>
        <v>0</v>
      </c>
      <c r="AP1253" s="38">
        <f t="shared" si="86"/>
        <v>0</v>
      </c>
      <c r="AQ1253" s="72" t="s">
        <v>162</v>
      </c>
      <c r="AV1253" s="38">
        <f t="shared" si="87"/>
        <v>0</v>
      </c>
      <c r="AW1253" s="38">
        <f t="shared" si="88"/>
        <v>0</v>
      </c>
      <c r="AX1253" s="38">
        <f t="shared" si="89"/>
        <v>0</v>
      </c>
      <c r="AY1253" s="72" t="s">
        <v>2316</v>
      </c>
      <c r="AZ1253" s="72" t="s">
        <v>2317</v>
      </c>
      <c r="BA1253" s="50" t="s">
        <v>2301</v>
      </c>
      <c r="BC1253" s="38">
        <f t="shared" si="90"/>
        <v>0</v>
      </c>
      <c r="BD1253" s="38">
        <f t="shared" si="91"/>
        <v>0</v>
      </c>
      <c r="BE1253" s="38">
        <v>0</v>
      </c>
      <c r="BF1253" s="38">
        <f t="shared" si="92"/>
        <v>0</v>
      </c>
      <c r="BH1253" s="38">
        <f t="shared" si="93"/>
        <v>0</v>
      </c>
      <c r="BI1253" s="38">
        <f t="shared" si="94"/>
        <v>0</v>
      </c>
      <c r="BJ1253" s="38">
        <f t="shared" si="95"/>
        <v>0</v>
      </c>
      <c r="BK1253" s="38"/>
      <c r="BL1253" s="38">
        <v>733</v>
      </c>
      <c r="BW1253" s="38">
        <v>21</v>
      </c>
    </row>
    <row r="1254" spans="1:47" ht="15">
      <c r="A1254" s="65" t="s">
        <v>4</v>
      </c>
      <c r="B1254" s="66" t="s">
        <v>89</v>
      </c>
      <c r="C1254" s="66" t="s">
        <v>2345</v>
      </c>
      <c r="D1254" s="192" t="s">
        <v>2346</v>
      </c>
      <c r="E1254" s="193"/>
      <c r="F1254" s="67" t="s">
        <v>78</v>
      </c>
      <c r="G1254" s="67" t="s">
        <v>78</v>
      </c>
      <c r="H1254" s="68" t="s">
        <v>78</v>
      </c>
      <c r="I1254" s="44">
        <f>SUM(I1255:I1263)</f>
        <v>0</v>
      </c>
      <c r="J1254" s="50" t="s">
        <v>4</v>
      </c>
      <c r="K1254" s="44">
        <f>SUM(K1255:K1263)</f>
        <v>0</v>
      </c>
      <c r="L1254" s="69" t="s">
        <v>4</v>
      </c>
      <c r="AI1254" s="50" t="s">
        <v>89</v>
      </c>
      <c r="AS1254" s="44">
        <f>SUM(AJ1255:AJ1263)</f>
        <v>0</v>
      </c>
      <c r="AT1254" s="44">
        <f>SUM(AK1255:AK1263)</f>
        <v>0</v>
      </c>
      <c r="AU1254" s="44">
        <f>SUM(AL1255:AL1263)</f>
        <v>0</v>
      </c>
    </row>
    <row r="1255" spans="1:75" ht="13.5" customHeight="1">
      <c r="A1255" s="1" t="s">
        <v>2347</v>
      </c>
      <c r="B1255" s="2" t="s">
        <v>89</v>
      </c>
      <c r="C1255" s="2" t="s">
        <v>2348</v>
      </c>
      <c r="D1255" s="108" t="s">
        <v>2349</v>
      </c>
      <c r="E1255" s="103"/>
      <c r="F1255" s="2" t="s">
        <v>199</v>
      </c>
      <c r="G1255" s="38">
        <v>14</v>
      </c>
      <c r="H1255" s="70">
        <v>0</v>
      </c>
      <c r="I1255" s="38">
        <f aca="true" t="shared" si="96" ref="I1255:I1263">G1255*H1255</f>
        <v>0</v>
      </c>
      <c r="J1255" s="38">
        <v>0</v>
      </c>
      <c r="K1255" s="38">
        <f aca="true" t="shared" si="97" ref="K1255:K1263">G1255*J1255</f>
        <v>0</v>
      </c>
      <c r="L1255" s="71" t="s">
        <v>207</v>
      </c>
      <c r="Z1255" s="38">
        <f aca="true" t="shared" si="98" ref="Z1255:Z1263">IF(AQ1255="5",BJ1255,0)</f>
        <v>0</v>
      </c>
      <c r="AB1255" s="38">
        <f aca="true" t="shared" si="99" ref="AB1255:AB1263">IF(AQ1255="1",BH1255,0)</f>
        <v>0</v>
      </c>
      <c r="AC1255" s="38">
        <f aca="true" t="shared" si="100" ref="AC1255:AC1263">IF(AQ1255="1",BI1255,0)</f>
        <v>0</v>
      </c>
      <c r="AD1255" s="38">
        <f aca="true" t="shared" si="101" ref="AD1255:AD1263">IF(AQ1255="7",BH1255,0)</f>
        <v>0</v>
      </c>
      <c r="AE1255" s="38">
        <f aca="true" t="shared" si="102" ref="AE1255:AE1263">IF(AQ1255="7",BI1255,0)</f>
        <v>0</v>
      </c>
      <c r="AF1255" s="38">
        <f aca="true" t="shared" si="103" ref="AF1255:AF1263">IF(AQ1255="2",BH1255,0)</f>
        <v>0</v>
      </c>
      <c r="AG1255" s="38">
        <f aca="true" t="shared" si="104" ref="AG1255:AG1263">IF(AQ1255="2",BI1255,0)</f>
        <v>0</v>
      </c>
      <c r="AH1255" s="38">
        <f aca="true" t="shared" si="105" ref="AH1255:AH1263">IF(AQ1255="0",BJ1255,0)</f>
        <v>0</v>
      </c>
      <c r="AI1255" s="50" t="s">
        <v>89</v>
      </c>
      <c r="AJ1255" s="38">
        <f aca="true" t="shared" si="106" ref="AJ1255:AJ1263">IF(AN1255=0,I1255,0)</f>
        <v>0</v>
      </c>
      <c r="AK1255" s="38">
        <f aca="true" t="shared" si="107" ref="AK1255:AK1263">IF(AN1255=12,I1255,0)</f>
        <v>0</v>
      </c>
      <c r="AL1255" s="38">
        <f aca="true" t="shared" si="108" ref="AL1255:AL1263">IF(AN1255=21,I1255,0)</f>
        <v>0</v>
      </c>
      <c r="AN1255" s="38">
        <v>21</v>
      </c>
      <c r="AO1255" s="38">
        <f aca="true" t="shared" si="109" ref="AO1255:AO1263">H1255*0</f>
        <v>0</v>
      </c>
      <c r="AP1255" s="38">
        <f aca="true" t="shared" si="110" ref="AP1255:AP1263">H1255*(1-0)</f>
        <v>0</v>
      </c>
      <c r="AQ1255" s="72" t="s">
        <v>169</v>
      </c>
      <c r="AV1255" s="38">
        <f aca="true" t="shared" si="111" ref="AV1255:AV1263">AW1255+AX1255</f>
        <v>0</v>
      </c>
      <c r="AW1255" s="38">
        <f aca="true" t="shared" si="112" ref="AW1255:AW1263">G1255*AO1255</f>
        <v>0</v>
      </c>
      <c r="AX1255" s="38">
        <f aca="true" t="shared" si="113" ref="AX1255:AX1263">G1255*AP1255</f>
        <v>0</v>
      </c>
      <c r="AY1255" s="72" t="s">
        <v>2350</v>
      </c>
      <c r="AZ1255" s="72" t="s">
        <v>2317</v>
      </c>
      <c r="BA1255" s="50" t="s">
        <v>2301</v>
      </c>
      <c r="BC1255" s="38">
        <f aca="true" t="shared" si="114" ref="BC1255:BC1263">AW1255+AX1255</f>
        <v>0</v>
      </c>
      <c r="BD1255" s="38">
        <f aca="true" t="shared" si="115" ref="BD1255:BD1263">H1255/(100-BE1255)*100</f>
        <v>0</v>
      </c>
      <c r="BE1255" s="38">
        <v>0</v>
      </c>
      <c r="BF1255" s="38">
        <f aca="true" t="shared" si="116" ref="BF1255:BF1263">K1255</f>
        <v>0</v>
      </c>
      <c r="BH1255" s="38">
        <f aca="true" t="shared" si="117" ref="BH1255:BH1263">G1255*AO1255</f>
        <v>0</v>
      </c>
      <c r="BI1255" s="38">
        <f aca="true" t="shared" si="118" ref="BI1255:BI1263">G1255*AP1255</f>
        <v>0</v>
      </c>
      <c r="BJ1255" s="38">
        <f aca="true" t="shared" si="119" ref="BJ1255:BJ1263">G1255*H1255</f>
        <v>0</v>
      </c>
      <c r="BK1255" s="38"/>
      <c r="BL1255" s="38">
        <v>734</v>
      </c>
      <c r="BW1255" s="38">
        <v>21</v>
      </c>
    </row>
    <row r="1256" spans="1:75" ht="27" customHeight="1">
      <c r="A1256" s="1" t="s">
        <v>2351</v>
      </c>
      <c r="B1256" s="2" t="s">
        <v>89</v>
      </c>
      <c r="C1256" s="2" t="s">
        <v>2352</v>
      </c>
      <c r="D1256" s="108" t="s">
        <v>2353</v>
      </c>
      <c r="E1256" s="103"/>
      <c r="F1256" s="2" t="s">
        <v>199</v>
      </c>
      <c r="G1256" s="38">
        <v>7</v>
      </c>
      <c r="H1256" s="70">
        <v>0</v>
      </c>
      <c r="I1256" s="38">
        <f t="shared" si="96"/>
        <v>0</v>
      </c>
      <c r="J1256" s="38">
        <v>0</v>
      </c>
      <c r="K1256" s="38">
        <f t="shared" si="97"/>
        <v>0</v>
      </c>
      <c r="L1256" s="71" t="s">
        <v>207</v>
      </c>
      <c r="Z1256" s="38">
        <f t="shared" si="98"/>
        <v>0</v>
      </c>
      <c r="AB1256" s="38">
        <f t="shared" si="99"/>
        <v>0</v>
      </c>
      <c r="AC1256" s="38">
        <f t="shared" si="100"/>
        <v>0</v>
      </c>
      <c r="AD1256" s="38">
        <f t="shared" si="101"/>
        <v>0</v>
      </c>
      <c r="AE1256" s="38">
        <f t="shared" si="102"/>
        <v>0</v>
      </c>
      <c r="AF1256" s="38">
        <f t="shared" si="103"/>
        <v>0</v>
      </c>
      <c r="AG1256" s="38">
        <f t="shared" si="104"/>
        <v>0</v>
      </c>
      <c r="AH1256" s="38">
        <f t="shared" si="105"/>
        <v>0</v>
      </c>
      <c r="AI1256" s="50" t="s">
        <v>89</v>
      </c>
      <c r="AJ1256" s="38">
        <f t="shared" si="106"/>
        <v>0</v>
      </c>
      <c r="AK1256" s="38">
        <f t="shared" si="107"/>
        <v>0</v>
      </c>
      <c r="AL1256" s="38">
        <f t="shared" si="108"/>
        <v>0</v>
      </c>
      <c r="AN1256" s="38">
        <v>21</v>
      </c>
      <c r="AO1256" s="38">
        <f t="shared" si="109"/>
        <v>0</v>
      </c>
      <c r="AP1256" s="38">
        <f t="shared" si="110"/>
        <v>0</v>
      </c>
      <c r="AQ1256" s="72" t="s">
        <v>169</v>
      </c>
      <c r="AV1256" s="38">
        <f t="shared" si="111"/>
        <v>0</v>
      </c>
      <c r="AW1256" s="38">
        <f t="shared" si="112"/>
        <v>0</v>
      </c>
      <c r="AX1256" s="38">
        <f t="shared" si="113"/>
        <v>0</v>
      </c>
      <c r="AY1256" s="72" t="s">
        <v>2350</v>
      </c>
      <c r="AZ1256" s="72" t="s">
        <v>2317</v>
      </c>
      <c r="BA1256" s="50" t="s">
        <v>2301</v>
      </c>
      <c r="BC1256" s="38">
        <f t="shared" si="114"/>
        <v>0</v>
      </c>
      <c r="BD1256" s="38">
        <f t="shared" si="115"/>
        <v>0</v>
      </c>
      <c r="BE1256" s="38">
        <v>0</v>
      </c>
      <c r="BF1256" s="38">
        <f t="shared" si="116"/>
        <v>0</v>
      </c>
      <c r="BH1256" s="38">
        <f t="shared" si="117"/>
        <v>0</v>
      </c>
      <c r="BI1256" s="38">
        <f t="shared" si="118"/>
        <v>0</v>
      </c>
      <c r="BJ1256" s="38">
        <f t="shared" si="119"/>
        <v>0</v>
      </c>
      <c r="BK1256" s="38"/>
      <c r="BL1256" s="38">
        <v>734</v>
      </c>
      <c r="BW1256" s="38">
        <v>21</v>
      </c>
    </row>
    <row r="1257" spans="1:75" ht="27" customHeight="1">
      <c r="A1257" s="1" t="s">
        <v>2354</v>
      </c>
      <c r="B1257" s="2" t="s">
        <v>89</v>
      </c>
      <c r="C1257" s="2" t="s">
        <v>2355</v>
      </c>
      <c r="D1257" s="108" t="s">
        <v>2356</v>
      </c>
      <c r="E1257" s="103"/>
      <c r="F1257" s="2" t="s">
        <v>199</v>
      </c>
      <c r="G1257" s="38">
        <v>7</v>
      </c>
      <c r="H1257" s="70">
        <v>0</v>
      </c>
      <c r="I1257" s="38">
        <f t="shared" si="96"/>
        <v>0</v>
      </c>
      <c r="J1257" s="38">
        <v>0</v>
      </c>
      <c r="K1257" s="38">
        <f t="shared" si="97"/>
        <v>0</v>
      </c>
      <c r="L1257" s="71" t="s">
        <v>207</v>
      </c>
      <c r="Z1257" s="38">
        <f t="shared" si="98"/>
        <v>0</v>
      </c>
      <c r="AB1257" s="38">
        <f t="shared" si="99"/>
        <v>0</v>
      </c>
      <c r="AC1257" s="38">
        <f t="shared" si="100"/>
        <v>0</v>
      </c>
      <c r="AD1257" s="38">
        <f t="shared" si="101"/>
        <v>0</v>
      </c>
      <c r="AE1257" s="38">
        <f t="shared" si="102"/>
        <v>0</v>
      </c>
      <c r="AF1257" s="38">
        <f t="shared" si="103"/>
        <v>0</v>
      </c>
      <c r="AG1257" s="38">
        <f t="shared" si="104"/>
        <v>0</v>
      </c>
      <c r="AH1257" s="38">
        <f t="shared" si="105"/>
        <v>0</v>
      </c>
      <c r="AI1257" s="50" t="s">
        <v>89</v>
      </c>
      <c r="AJ1257" s="38">
        <f t="shared" si="106"/>
        <v>0</v>
      </c>
      <c r="AK1257" s="38">
        <f t="shared" si="107"/>
        <v>0</v>
      </c>
      <c r="AL1257" s="38">
        <f t="shared" si="108"/>
        <v>0</v>
      </c>
      <c r="AN1257" s="38">
        <v>21</v>
      </c>
      <c r="AO1257" s="38">
        <f t="shared" si="109"/>
        <v>0</v>
      </c>
      <c r="AP1257" s="38">
        <f t="shared" si="110"/>
        <v>0</v>
      </c>
      <c r="AQ1257" s="72" t="s">
        <v>169</v>
      </c>
      <c r="AV1257" s="38">
        <f t="shared" si="111"/>
        <v>0</v>
      </c>
      <c r="AW1257" s="38">
        <f t="shared" si="112"/>
        <v>0</v>
      </c>
      <c r="AX1257" s="38">
        <f t="shared" si="113"/>
        <v>0</v>
      </c>
      <c r="AY1257" s="72" t="s">
        <v>2350</v>
      </c>
      <c r="AZ1257" s="72" t="s">
        <v>2317</v>
      </c>
      <c r="BA1257" s="50" t="s">
        <v>2301</v>
      </c>
      <c r="BC1257" s="38">
        <f t="shared" si="114"/>
        <v>0</v>
      </c>
      <c r="BD1257" s="38">
        <f t="shared" si="115"/>
        <v>0</v>
      </c>
      <c r="BE1257" s="38">
        <v>0</v>
      </c>
      <c r="BF1257" s="38">
        <f t="shared" si="116"/>
        <v>0</v>
      </c>
      <c r="BH1257" s="38">
        <f t="shared" si="117"/>
        <v>0</v>
      </c>
      <c r="BI1257" s="38">
        <f t="shared" si="118"/>
        <v>0</v>
      </c>
      <c r="BJ1257" s="38">
        <f t="shared" si="119"/>
        <v>0</v>
      </c>
      <c r="BK1257" s="38"/>
      <c r="BL1257" s="38">
        <v>734</v>
      </c>
      <c r="BW1257" s="38">
        <v>21</v>
      </c>
    </row>
    <row r="1258" spans="1:75" ht="13.5" customHeight="1">
      <c r="A1258" s="1" t="s">
        <v>2357</v>
      </c>
      <c r="B1258" s="2" t="s">
        <v>89</v>
      </c>
      <c r="C1258" s="2" t="s">
        <v>2358</v>
      </c>
      <c r="D1258" s="108" t="s">
        <v>2359</v>
      </c>
      <c r="E1258" s="103"/>
      <c r="F1258" s="2" t="s">
        <v>199</v>
      </c>
      <c r="G1258" s="38">
        <v>7</v>
      </c>
      <c r="H1258" s="70">
        <v>0</v>
      </c>
      <c r="I1258" s="38">
        <f t="shared" si="96"/>
        <v>0</v>
      </c>
      <c r="J1258" s="38">
        <v>0</v>
      </c>
      <c r="K1258" s="38">
        <f t="shared" si="97"/>
        <v>0</v>
      </c>
      <c r="L1258" s="71" t="s">
        <v>207</v>
      </c>
      <c r="Z1258" s="38">
        <f t="shared" si="98"/>
        <v>0</v>
      </c>
      <c r="AB1258" s="38">
        <f t="shared" si="99"/>
        <v>0</v>
      </c>
      <c r="AC1258" s="38">
        <f t="shared" si="100"/>
        <v>0</v>
      </c>
      <c r="AD1258" s="38">
        <f t="shared" si="101"/>
        <v>0</v>
      </c>
      <c r="AE1258" s="38">
        <f t="shared" si="102"/>
        <v>0</v>
      </c>
      <c r="AF1258" s="38">
        <f t="shared" si="103"/>
        <v>0</v>
      </c>
      <c r="AG1258" s="38">
        <f t="shared" si="104"/>
        <v>0</v>
      </c>
      <c r="AH1258" s="38">
        <f t="shared" si="105"/>
        <v>0</v>
      </c>
      <c r="AI1258" s="50" t="s">
        <v>89</v>
      </c>
      <c r="AJ1258" s="38">
        <f t="shared" si="106"/>
        <v>0</v>
      </c>
      <c r="AK1258" s="38">
        <f t="shared" si="107"/>
        <v>0</v>
      </c>
      <c r="AL1258" s="38">
        <f t="shared" si="108"/>
        <v>0</v>
      </c>
      <c r="AN1258" s="38">
        <v>21</v>
      </c>
      <c r="AO1258" s="38">
        <f t="shared" si="109"/>
        <v>0</v>
      </c>
      <c r="AP1258" s="38">
        <f t="shared" si="110"/>
        <v>0</v>
      </c>
      <c r="AQ1258" s="72" t="s">
        <v>169</v>
      </c>
      <c r="AV1258" s="38">
        <f t="shared" si="111"/>
        <v>0</v>
      </c>
      <c r="AW1258" s="38">
        <f t="shared" si="112"/>
        <v>0</v>
      </c>
      <c r="AX1258" s="38">
        <f t="shared" si="113"/>
        <v>0</v>
      </c>
      <c r="AY1258" s="72" t="s">
        <v>2350</v>
      </c>
      <c r="AZ1258" s="72" t="s">
        <v>2317</v>
      </c>
      <c r="BA1258" s="50" t="s">
        <v>2301</v>
      </c>
      <c r="BC1258" s="38">
        <f t="shared" si="114"/>
        <v>0</v>
      </c>
      <c r="BD1258" s="38">
        <f t="shared" si="115"/>
        <v>0</v>
      </c>
      <c r="BE1258" s="38">
        <v>0</v>
      </c>
      <c r="BF1258" s="38">
        <f t="shared" si="116"/>
        <v>0</v>
      </c>
      <c r="BH1258" s="38">
        <f t="shared" si="117"/>
        <v>0</v>
      </c>
      <c r="BI1258" s="38">
        <f t="shared" si="118"/>
        <v>0</v>
      </c>
      <c r="BJ1258" s="38">
        <f t="shared" si="119"/>
        <v>0</v>
      </c>
      <c r="BK1258" s="38"/>
      <c r="BL1258" s="38">
        <v>734</v>
      </c>
      <c r="BW1258" s="38">
        <v>21</v>
      </c>
    </row>
    <row r="1259" spans="1:75" ht="13.5" customHeight="1">
      <c r="A1259" s="1" t="s">
        <v>2360</v>
      </c>
      <c r="B1259" s="2" t="s">
        <v>89</v>
      </c>
      <c r="C1259" s="2" t="s">
        <v>2361</v>
      </c>
      <c r="D1259" s="108" t="s">
        <v>2362</v>
      </c>
      <c r="E1259" s="103"/>
      <c r="F1259" s="2" t="s">
        <v>199</v>
      </c>
      <c r="G1259" s="38">
        <v>7</v>
      </c>
      <c r="H1259" s="70">
        <v>0</v>
      </c>
      <c r="I1259" s="38">
        <f t="shared" si="96"/>
        <v>0</v>
      </c>
      <c r="J1259" s="38">
        <v>0</v>
      </c>
      <c r="K1259" s="38">
        <f t="shared" si="97"/>
        <v>0</v>
      </c>
      <c r="L1259" s="71" t="s">
        <v>207</v>
      </c>
      <c r="Z1259" s="38">
        <f t="shared" si="98"/>
        <v>0</v>
      </c>
      <c r="AB1259" s="38">
        <f t="shared" si="99"/>
        <v>0</v>
      </c>
      <c r="AC1259" s="38">
        <f t="shared" si="100"/>
        <v>0</v>
      </c>
      <c r="AD1259" s="38">
        <f t="shared" si="101"/>
        <v>0</v>
      </c>
      <c r="AE1259" s="38">
        <f t="shared" si="102"/>
        <v>0</v>
      </c>
      <c r="AF1259" s="38">
        <f t="shared" si="103"/>
        <v>0</v>
      </c>
      <c r="AG1259" s="38">
        <f t="shared" si="104"/>
        <v>0</v>
      </c>
      <c r="AH1259" s="38">
        <f t="shared" si="105"/>
        <v>0</v>
      </c>
      <c r="AI1259" s="50" t="s">
        <v>89</v>
      </c>
      <c r="AJ1259" s="38">
        <f t="shared" si="106"/>
        <v>0</v>
      </c>
      <c r="AK1259" s="38">
        <f t="shared" si="107"/>
        <v>0</v>
      </c>
      <c r="AL1259" s="38">
        <f t="shared" si="108"/>
        <v>0</v>
      </c>
      <c r="AN1259" s="38">
        <v>21</v>
      </c>
      <c r="AO1259" s="38">
        <f t="shared" si="109"/>
        <v>0</v>
      </c>
      <c r="AP1259" s="38">
        <f t="shared" si="110"/>
        <v>0</v>
      </c>
      <c r="AQ1259" s="72" t="s">
        <v>169</v>
      </c>
      <c r="AV1259" s="38">
        <f t="shared" si="111"/>
        <v>0</v>
      </c>
      <c r="AW1259" s="38">
        <f t="shared" si="112"/>
        <v>0</v>
      </c>
      <c r="AX1259" s="38">
        <f t="shared" si="113"/>
        <v>0</v>
      </c>
      <c r="AY1259" s="72" t="s">
        <v>2350</v>
      </c>
      <c r="AZ1259" s="72" t="s">
        <v>2317</v>
      </c>
      <c r="BA1259" s="50" t="s">
        <v>2301</v>
      </c>
      <c r="BC1259" s="38">
        <f t="shared" si="114"/>
        <v>0</v>
      </c>
      <c r="BD1259" s="38">
        <f t="shared" si="115"/>
        <v>0</v>
      </c>
      <c r="BE1259" s="38">
        <v>0</v>
      </c>
      <c r="BF1259" s="38">
        <f t="shared" si="116"/>
        <v>0</v>
      </c>
      <c r="BH1259" s="38">
        <f t="shared" si="117"/>
        <v>0</v>
      </c>
      <c r="BI1259" s="38">
        <f t="shared" si="118"/>
        <v>0</v>
      </c>
      <c r="BJ1259" s="38">
        <f t="shared" si="119"/>
        <v>0</v>
      </c>
      <c r="BK1259" s="38"/>
      <c r="BL1259" s="38">
        <v>734</v>
      </c>
      <c r="BW1259" s="38">
        <v>21</v>
      </c>
    </row>
    <row r="1260" spans="1:75" ht="13.5" customHeight="1">
      <c r="A1260" s="1" t="s">
        <v>2363</v>
      </c>
      <c r="B1260" s="2" t="s">
        <v>89</v>
      </c>
      <c r="C1260" s="2" t="s">
        <v>2364</v>
      </c>
      <c r="D1260" s="108" t="s">
        <v>2365</v>
      </c>
      <c r="E1260" s="103"/>
      <c r="F1260" s="2" t="s">
        <v>199</v>
      </c>
      <c r="G1260" s="38">
        <v>12</v>
      </c>
      <c r="H1260" s="70">
        <v>0</v>
      </c>
      <c r="I1260" s="38">
        <f t="shared" si="96"/>
        <v>0</v>
      </c>
      <c r="J1260" s="38">
        <v>0</v>
      </c>
      <c r="K1260" s="38">
        <f t="shared" si="97"/>
        <v>0</v>
      </c>
      <c r="L1260" s="71" t="s">
        <v>207</v>
      </c>
      <c r="Z1260" s="38">
        <f t="shared" si="98"/>
        <v>0</v>
      </c>
      <c r="AB1260" s="38">
        <f t="shared" si="99"/>
        <v>0</v>
      </c>
      <c r="AC1260" s="38">
        <f t="shared" si="100"/>
        <v>0</v>
      </c>
      <c r="AD1260" s="38">
        <f t="shared" si="101"/>
        <v>0</v>
      </c>
      <c r="AE1260" s="38">
        <f t="shared" si="102"/>
        <v>0</v>
      </c>
      <c r="AF1260" s="38">
        <f t="shared" si="103"/>
        <v>0</v>
      </c>
      <c r="AG1260" s="38">
        <f t="shared" si="104"/>
        <v>0</v>
      </c>
      <c r="AH1260" s="38">
        <f t="shared" si="105"/>
        <v>0</v>
      </c>
      <c r="AI1260" s="50" t="s">
        <v>89</v>
      </c>
      <c r="AJ1260" s="38">
        <f t="shared" si="106"/>
        <v>0</v>
      </c>
      <c r="AK1260" s="38">
        <f t="shared" si="107"/>
        <v>0</v>
      </c>
      <c r="AL1260" s="38">
        <f t="shared" si="108"/>
        <v>0</v>
      </c>
      <c r="AN1260" s="38">
        <v>21</v>
      </c>
      <c r="AO1260" s="38">
        <f t="shared" si="109"/>
        <v>0</v>
      </c>
      <c r="AP1260" s="38">
        <f t="shared" si="110"/>
        <v>0</v>
      </c>
      <c r="AQ1260" s="72" t="s">
        <v>169</v>
      </c>
      <c r="AV1260" s="38">
        <f t="shared" si="111"/>
        <v>0</v>
      </c>
      <c r="AW1260" s="38">
        <f t="shared" si="112"/>
        <v>0</v>
      </c>
      <c r="AX1260" s="38">
        <f t="shared" si="113"/>
        <v>0</v>
      </c>
      <c r="AY1260" s="72" t="s">
        <v>2350</v>
      </c>
      <c r="AZ1260" s="72" t="s">
        <v>2317</v>
      </c>
      <c r="BA1260" s="50" t="s">
        <v>2301</v>
      </c>
      <c r="BC1260" s="38">
        <f t="shared" si="114"/>
        <v>0</v>
      </c>
      <c r="BD1260" s="38">
        <f t="shared" si="115"/>
        <v>0</v>
      </c>
      <c r="BE1260" s="38">
        <v>0</v>
      </c>
      <c r="BF1260" s="38">
        <f t="shared" si="116"/>
        <v>0</v>
      </c>
      <c r="BH1260" s="38">
        <f t="shared" si="117"/>
        <v>0</v>
      </c>
      <c r="BI1260" s="38">
        <f t="shared" si="118"/>
        <v>0</v>
      </c>
      <c r="BJ1260" s="38">
        <f t="shared" si="119"/>
        <v>0</v>
      </c>
      <c r="BK1260" s="38"/>
      <c r="BL1260" s="38">
        <v>734</v>
      </c>
      <c r="BW1260" s="38">
        <v>21</v>
      </c>
    </row>
    <row r="1261" spans="1:75" ht="13.5" customHeight="1">
      <c r="A1261" s="1" t="s">
        <v>2366</v>
      </c>
      <c r="B1261" s="2" t="s">
        <v>89</v>
      </c>
      <c r="C1261" s="2" t="s">
        <v>2367</v>
      </c>
      <c r="D1261" s="108" t="s">
        <v>2368</v>
      </c>
      <c r="E1261" s="103"/>
      <c r="F1261" s="2" t="s">
        <v>199</v>
      </c>
      <c r="G1261" s="38">
        <v>4</v>
      </c>
      <c r="H1261" s="70">
        <v>0</v>
      </c>
      <c r="I1261" s="38">
        <f t="shared" si="96"/>
        <v>0</v>
      </c>
      <c r="J1261" s="38">
        <v>0</v>
      </c>
      <c r="K1261" s="38">
        <f t="shared" si="97"/>
        <v>0</v>
      </c>
      <c r="L1261" s="71" t="s">
        <v>207</v>
      </c>
      <c r="Z1261" s="38">
        <f t="shared" si="98"/>
        <v>0</v>
      </c>
      <c r="AB1261" s="38">
        <f t="shared" si="99"/>
        <v>0</v>
      </c>
      <c r="AC1261" s="38">
        <f t="shared" si="100"/>
        <v>0</v>
      </c>
      <c r="AD1261" s="38">
        <f t="shared" si="101"/>
        <v>0</v>
      </c>
      <c r="AE1261" s="38">
        <f t="shared" si="102"/>
        <v>0</v>
      </c>
      <c r="AF1261" s="38">
        <f t="shared" si="103"/>
        <v>0</v>
      </c>
      <c r="AG1261" s="38">
        <f t="shared" si="104"/>
        <v>0</v>
      </c>
      <c r="AH1261" s="38">
        <f t="shared" si="105"/>
        <v>0</v>
      </c>
      <c r="AI1261" s="50" t="s">
        <v>89</v>
      </c>
      <c r="AJ1261" s="38">
        <f t="shared" si="106"/>
        <v>0</v>
      </c>
      <c r="AK1261" s="38">
        <f t="shared" si="107"/>
        <v>0</v>
      </c>
      <c r="AL1261" s="38">
        <f t="shared" si="108"/>
        <v>0</v>
      </c>
      <c r="AN1261" s="38">
        <v>21</v>
      </c>
      <c r="AO1261" s="38">
        <f t="shared" si="109"/>
        <v>0</v>
      </c>
      <c r="AP1261" s="38">
        <f t="shared" si="110"/>
        <v>0</v>
      </c>
      <c r="AQ1261" s="72" t="s">
        <v>169</v>
      </c>
      <c r="AV1261" s="38">
        <f t="shared" si="111"/>
        <v>0</v>
      </c>
      <c r="AW1261" s="38">
        <f t="shared" si="112"/>
        <v>0</v>
      </c>
      <c r="AX1261" s="38">
        <f t="shared" si="113"/>
        <v>0</v>
      </c>
      <c r="AY1261" s="72" t="s">
        <v>2350</v>
      </c>
      <c r="AZ1261" s="72" t="s">
        <v>2317</v>
      </c>
      <c r="BA1261" s="50" t="s">
        <v>2301</v>
      </c>
      <c r="BC1261" s="38">
        <f t="shared" si="114"/>
        <v>0</v>
      </c>
      <c r="BD1261" s="38">
        <f t="shared" si="115"/>
        <v>0</v>
      </c>
      <c r="BE1261" s="38">
        <v>0</v>
      </c>
      <c r="BF1261" s="38">
        <f t="shared" si="116"/>
        <v>0</v>
      </c>
      <c r="BH1261" s="38">
        <f t="shared" si="117"/>
        <v>0</v>
      </c>
      <c r="BI1261" s="38">
        <f t="shared" si="118"/>
        <v>0</v>
      </c>
      <c r="BJ1261" s="38">
        <f t="shared" si="119"/>
        <v>0</v>
      </c>
      <c r="BK1261" s="38"/>
      <c r="BL1261" s="38">
        <v>734</v>
      </c>
      <c r="BW1261" s="38">
        <v>21</v>
      </c>
    </row>
    <row r="1262" spans="1:75" ht="13.5" customHeight="1">
      <c r="A1262" s="1" t="s">
        <v>2369</v>
      </c>
      <c r="B1262" s="2" t="s">
        <v>89</v>
      </c>
      <c r="C1262" s="2" t="s">
        <v>2370</v>
      </c>
      <c r="D1262" s="108" t="s">
        <v>2371</v>
      </c>
      <c r="E1262" s="103"/>
      <c r="F1262" s="2" t="s">
        <v>199</v>
      </c>
      <c r="G1262" s="38">
        <v>6</v>
      </c>
      <c r="H1262" s="70">
        <v>0</v>
      </c>
      <c r="I1262" s="38">
        <f t="shared" si="96"/>
        <v>0</v>
      </c>
      <c r="J1262" s="38">
        <v>0</v>
      </c>
      <c r="K1262" s="38">
        <f t="shared" si="97"/>
        <v>0</v>
      </c>
      <c r="L1262" s="71" t="s">
        <v>207</v>
      </c>
      <c r="Z1262" s="38">
        <f t="shared" si="98"/>
        <v>0</v>
      </c>
      <c r="AB1262" s="38">
        <f t="shared" si="99"/>
        <v>0</v>
      </c>
      <c r="AC1262" s="38">
        <f t="shared" si="100"/>
        <v>0</v>
      </c>
      <c r="AD1262" s="38">
        <f t="shared" si="101"/>
        <v>0</v>
      </c>
      <c r="AE1262" s="38">
        <f t="shared" si="102"/>
        <v>0</v>
      </c>
      <c r="AF1262" s="38">
        <f t="shared" si="103"/>
        <v>0</v>
      </c>
      <c r="AG1262" s="38">
        <f t="shared" si="104"/>
        <v>0</v>
      </c>
      <c r="AH1262" s="38">
        <f t="shared" si="105"/>
        <v>0</v>
      </c>
      <c r="AI1262" s="50" t="s">
        <v>89</v>
      </c>
      <c r="AJ1262" s="38">
        <f t="shared" si="106"/>
        <v>0</v>
      </c>
      <c r="AK1262" s="38">
        <f t="shared" si="107"/>
        <v>0</v>
      </c>
      <c r="AL1262" s="38">
        <f t="shared" si="108"/>
        <v>0</v>
      </c>
      <c r="AN1262" s="38">
        <v>21</v>
      </c>
      <c r="AO1262" s="38">
        <f t="shared" si="109"/>
        <v>0</v>
      </c>
      <c r="AP1262" s="38">
        <f t="shared" si="110"/>
        <v>0</v>
      </c>
      <c r="AQ1262" s="72" t="s">
        <v>169</v>
      </c>
      <c r="AV1262" s="38">
        <f t="shared" si="111"/>
        <v>0</v>
      </c>
      <c r="AW1262" s="38">
        <f t="shared" si="112"/>
        <v>0</v>
      </c>
      <c r="AX1262" s="38">
        <f t="shared" si="113"/>
        <v>0</v>
      </c>
      <c r="AY1262" s="72" t="s">
        <v>2350</v>
      </c>
      <c r="AZ1262" s="72" t="s">
        <v>2317</v>
      </c>
      <c r="BA1262" s="50" t="s">
        <v>2301</v>
      </c>
      <c r="BC1262" s="38">
        <f t="shared" si="114"/>
        <v>0</v>
      </c>
      <c r="BD1262" s="38">
        <f t="shared" si="115"/>
        <v>0</v>
      </c>
      <c r="BE1262" s="38">
        <v>0</v>
      </c>
      <c r="BF1262" s="38">
        <f t="shared" si="116"/>
        <v>0</v>
      </c>
      <c r="BH1262" s="38">
        <f t="shared" si="117"/>
        <v>0</v>
      </c>
      <c r="BI1262" s="38">
        <f t="shared" si="118"/>
        <v>0</v>
      </c>
      <c r="BJ1262" s="38">
        <f t="shared" si="119"/>
        <v>0</v>
      </c>
      <c r="BK1262" s="38"/>
      <c r="BL1262" s="38">
        <v>734</v>
      </c>
      <c r="BW1262" s="38">
        <v>21</v>
      </c>
    </row>
    <row r="1263" spans="1:75" ht="13.5" customHeight="1">
      <c r="A1263" s="1" t="s">
        <v>2372</v>
      </c>
      <c r="B1263" s="2" t="s">
        <v>89</v>
      </c>
      <c r="C1263" s="2" t="s">
        <v>2373</v>
      </c>
      <c r="D1263" s="108" t="s">
        <v>2374</v>
      </c>
      <c r="E1263" s="103"/>
      <c r="F1263" s="2" t="s">
        <v>199</v>
      </c>
      <c r="G1263" s="38">
        <v>2</v>
      </c>
      <c r="H1263" s="70">
        <v>0</v>
      </c>
      <c r="I1263" s="38">
        <f t="shared" si="96"/>
        <v>0</v>
      </c>
      <c r="J1263" s="38">
        <v>0</v>
      </c>
      <c r="K1263" s="38">
        <f t="shared" si="97"/>
        <v>0</v>
      </c>
      <c r="L1263" s="71" t="s">
        <v>207</v>
      </c>
      <c r="Z1263" s="38">
        <f t="shared" si="98"/>
        <v>0</v>
      </c>
      <c r="AB1263" s="38">
        <f t="shared" si="99"/>
        <v>0</v>
      </c>
      <c r="AC1263" s="38">
        <f t="shared" si="100"/>
        <v>0</v>
      </c>
      <c r="AD1263" s="38">
        <f t="shared" si="101"/>
        <v>0</v>
      </c>
      <c r="AE1263" s="38">
        <f t="shared" si="102"/>
        <v>0</v>
      </c>
      <c r="AF1263" s="38">
        <f t="shared" si="103"/>
        <v>0</v>
      </c>
      <c r="AG1263" s="38">
        <f t="shared" si="104"/>
        <v>0</v>
      </c>
      <c r="AH1263" s="38">
        <f t="shared" si="105"/>
        <v>0</v>
      </c>
      <c r="AI1263" s="50" t="s">
        <v>89</v>
      </c>
      <c r="AJ1263" s="38">
        <f t="shared" si="106"/>
        <v>0</v>
      </c>
      <c r="AK1263" s="38">
        <f t="shared" si="107"/>
        <v>0</v>
      </c>
      <c r="AL1263" s="38">
        <f t="shared" si="108"/>
        <v>0</v>
      </c>
      <c r="AN1263" s="38">
        <v>21</v>
      </c>
      <c r="AO1263" s="38">
        <f t="shared" si="109"/>
        <v>0</v>
      </c>
      <c r="AP1263" s="38">
        <f t="shared" si="110"/>
        <v>0</v>
      </c>
      <c r="AQ1263" s="72" t="s">
        <v>169</v>
      </c>
      <c r="AV1263" s="38">
        <f t="shared" si="111"/>
        <v>0</v>
      </c>
      <c r="AW1263" s="38">
        <f t="shared" si="112"/>
        <v>0</v>
      </c>
      <c r="AX1263" s="38">
        <f t="shared" si="113"/>
        <v>0</v>
      </c>
      <c r="AY1263" s="72" t="s">
        <v>2350</v>
      </c>
      <c r="AZ1263" s="72" t="s">
        <v>2317</v>
      </c>
      <c r="BA1263" s="50" t="s">
        <v>2301</v>
      </c>
      <c r="BC1263" s="38">
        <f t="shared" si="114"/>
        <v>0</v>
      </c>
      <c r="BD1263" s="38">
        <f t="shared" si="115"/>
        <v>0</v>
      </c>
      <c r="BE1263" s="38">
        <v>0</v>
      </c>
      <c r="BF1263" s="38">
        <f t="shared" si="116"/>
        <v>0</v>
      </c>
      <c r="BH1263" s="38">
        <f t="shared" si="117"/>
        <v>0</v>
      </c>
      <c r="BI1263" s="38">
        <f t="shared" si="118"/>
        <v>0</v>
      </c>
      <c r="BJ1263" s="38">
        <f t="shared" si="119"/>
        <v>0</v>
      </c>
      <c r="BK1263" s="38"/>
      <c r="BL1263" s="38">
        <v>734</v>
      </c>
      <c r="BW1263" s="38">
        <v>21</v>
      </c>
    </row>
    <row r="1264" spans="1:47" ht="15">
      <c r="A1264" s="65" t="s">
        <v>4</v>
      </c>
      <c r="B1264" s="66" t="s">
        <v>89</v>
      </c>
      <c r="C1264" s="66" t="s">
        <v>2375</v>
      </c>
      <c r="D1264" s="192" t="s">
        <v>2376</v>
      </c>
      <c r="E1264" s="193"/>
      <c r="F1264" s="67" t="s">
        <v>78</v>
      </c>
      <c r="G1264" s="67" t="s">
        <v>78</v>
      </c>
      <c r="H1264" s="68" t="s">
        <v>78</v>
      </c>
      <c r="I1264" s="44">
        <f>SUM(I1265:I1272)</f>
        <v>0</v>
      </c>
      <c r="J1264" s="50" t="s">
        <v>4</v>
      </c>
      <c r="K1264" s="44">
        <f>SUM(K1265:K1272)</f>
        <v>0</v>
      </c>
      <c r="L1264" s="69" t="s">
        <v>4</v>
      </c>
      <c r="AI1264" s="50" t="s">
        <v>89</v>
      </c>
      <c r="AS1264" s="44">
        <f>SUM(AJ1265:AJ1272)</f>
        <v>0</v>
      </c>
      <c r="AT1264" s="44">
        <f>SUM(AK1265:AK1272)</f>
        <v>0</v>
      </c>
      <c r="AU1264" s="44">
        <f>SUM(AL1265:AL1272)</f>
        <v>0</v>
      </c>
    </row>
    <row r="1265" spans="1:75" ht="13.5" customHeight="1">
      <c r="A1265" s="1" t="s">
        <v>2377</v>
      </c>
      <c r="B1265" s="2" t="s">
        <v>89</v>
      </c>
      <c r="C1265" s="2" t="s">
        <v>2378</v>
      </c>
      <c r="D1265" s="108" t="s">
        <v>2379</v>
      </c>
      <c r="E1265" s="103"/>
      <c r="F1265" s="2" t="s">
        <v>263</v>
      </c>
      <c r="G1265" s="38">
        <v>60</v>
      </c>
      <c r="H1265" s="70">
        <v>0</v>
      </c>
      <c r="I1265" s="38">
        <f aca="true" t="shared" si="120" ref="I1265:I1272">G1265*H1265</f>
        <v>0</v>
      </c>
      <c r="J1265" s="38">
        <v>0</v>
      </c>
      <c r="K1265" s="38">
        <f aca="true" t="shared" si="121" ref="K1265:K1272">G1265*J1265</f>
        <v>0</v>
      </c>
      <c r="L1265" s="71" t="s">
        <v>207</v>
      </c>
      <c r="Z1265" s="38">
        <f aca="true" t="shared" si="122" ref="Z1265:Z1272">IF(AQ1265="5",BJ1265,0)</f>
        <v>0</v>
      </c>
      <c r="AB1265" s="38">
        <f aca="true" t="shared" si="123" ref="AB1265:AB1272">IF(AQ1265="1",BH1265,0)</f>
        <v>0</v>
      </c>
      <c r="AC1265" s="38">
        <f aca="true" t="shared" si="124" ref="AC1265:AC1272">IF(AQ1265="1",BI1265,0)</f>
        <v>0</v>
      </c>
      <c r="AD1265" s="38">
        <f aca="true" t="shared" si="125" ref="AD1265:AD1272">IF(AQ1265="7",BH1265,0)</f>
        <v>0</v>
      </c>
      <c r="AE1265" s="38">
        <f aca="true" t="shared" si="126" ref="AE1265:AE1272">IF(AQ1265="7",BI1265,0)</f>
        <v>0</v>
      </c>
      <c r="AF1265" s="38">
        <f aca="true" t="shared" si="127" ref="AF1265:AF1272">IF(AQ1265="2",BH1265,0)</f>
        <v>0</v>
      </c>
      <c r="AG1265" s="38">
        <f aca="true" t="shared" si="128" ref="AG1265:AG1272">IF(AQ1265="2",BI1265,0)</f>
        <v>0</v>
      </c>
      <c r="AH1265" s="38">
        <f aca="true" t="shared" si="129" ref="AH1265:AH1272">IF(AQ1265="0",BJ1265,0)</f>
        <v>0</v>
      </c>
      <c r="AI1265" s="50" t="s">
        <v>89</v>
      </c>
      <c r="AJ1265" s="38">
        <f aca="true" t="shared" si="130" ref="AJ1265:AJ1272">IF(AN1265=0,I1265,0)</f>
        <v>0</v>
      </c>
      <c r="AK1265" s="38">
        <f aca="true" t="shared" si="131" ref="AK1265:AK1272">IF(AN1265=12,I1265,0)</f>
        <v>0</v>
      </c>
      <c r="AL1265" s="38">
        <f aca="true" t="shared" si="132" ref="AL1265:AL1272">IF(AN1265=21,I1265,0)</f>
        <v>0</v>
      </c>
      <c r="AN1265" s="38">
        <v>21</v>
      </c>
      <c r="AO1265" s="38">
        <f aca="true" t="shared" si="133" ref="AO1265:AO1272">H1265*0</f>
        <v>0</v>
      </c>
      <c r="AP1265" s="38">
        <f aca="true" t="shared" si="134" ref="AP1265:AP1272">H1265*(1-0)</f>
        <v>0</v>
      </c>
      <c r="AQ1265" s="72" t="s">
        <v>169</v>
      </c>
      <c r="AV1265" s="38">
        <f aca="true" t="shared" si="135" ref="AV1265:AV1272">AW1265+AX1265</f>
        <v>0</v>
      </c>
      <c r="AW1265" s="38">
        <f aca="true" t="shared" si="136" ref="AW1265:AW1272">G1265*AO1265</f>
        <v>0</v>
      </c>
      <c r="AX1265" s="38">
        <f aca="true" t="shared" si="137" ref="AX1265:AX1272">G1265*AP1265</f>
        <v>0</v>
      </c>
      <c r="AY1265" s="72" t="s">
        <v>2380</v>
      </c>
      <c r="AZ1265" s="72" t="s">
        <v>2317</v>
      </c>
      <c r="BA1265" s="50" t="s">
        <v>2301</v>
      </c>
      <c r="BC1265" s="38">
        <f aca="true" t="shared" si="138" ref="BC1265:BC1272">AW1265+AX1265</f>
        <v>0</v>
      </c>
      <c r="BD1265" s="38">
        <f aca="true" t="shared" si="139" ref="BD1265:BD1272">H1265/(100-BE1265)*100</f>
        <v>0</v>
      </c>
      <c r="BE1265" s="38">
        <v>0</v>
      </c>
      <c r="BF1265" s="38">
        <f aca="true" t="shared" si="140" ref="BF1265:BF1272">K1265</f>
        <v>0</v>
      </c>
      <c r="BH1265" s="38">
        <f aca="true" t="shared" si="141" ref="BH1265:BH1272">G1265*AO1265</f>
        <v>0</v>
      </c>
      <c r="BI1265" s="38">
        <f aca="true" t="shared" si="142" ref="BI1265:BI1272">G1265*AP1265</f>
        <v>0</v>
      </c>
      <c r="BJ1265" s="38">
        <f aca="true" t="shared" si="143" ref="BJ1265:BJ1272">G1265*H1265</f>
        <v>0</v>
      </c>
      <c r="BK1265" s="38"/>
      <c r="BL1265" s="38">
        <v>735</v>
      </c>
      <c r="BW1265" s="38">
        <v>21</v>
      </c>
    </row>
    <row r="1266" spans="1:75" ht="13.5" customHeight="1">
      <c r="A1266" s="1" t="s">
        <v>2381</v>
      </c>
      <c r="B1266" s="2" t="s">
        <v>89</v>
      </c>
      <c r="C1266" s="2" t="s">
        <v>2382</v>
      </c>
      <c r="D1266" s="108" t="s">
        <v>2383</v>
      </c>
      <c r="E1266" s="103"/>
      <c r="F1266" s="2" t="s">
        <v>263</v>
      </c>
      <c r="G1266" s="38">
        <v>30</v>
      </c>
      <c r="H1266" s="70">
        <v>0</v>
      </c>
      <c r="I1266" s="38">
        <f t="shared" si="120"/>
        <v>0</v>
      </c>
      <c r="J1266" s="38">
        <v>0</v>
      </c>
      <c r="K1266" s="38">
        <f t="shared" si="121"/>
        <v>0</v>
      </c>
      <c r="L1266" s="71" t="s">
        <v>207</v>
      </c>
      <c r="Z1266" s="38">
        <f t="shared" si="122"/>
        <v>0</v>
      </c>
      <c r="AB1266" s="38">
        <f t="shared" si="123"/>
        <v>0</v>
      </c>
      <c r="AC1266" s="38">
        <f t="shared" si="124"/>
        <v>0</v>
      </c>
      <c r="AD1266" s="38">
        <f t="shared" si="125"/>
        <v>0</v>
      </c>
      <c r="AE1266" s="38">
        <f t="shared" si="126"/>
        <v>0</v>
      </c>
      <c r="AF1266" s="38">
        <f t="shared" si="127"/>
        <v>0</v>
      </c>
      <c r="AG1266" s="38">
        <f t="shared" si="128"/>
        <v>0</v>
      </c>
      <c r="AH1266" s="38">
        <f t="shared" si="129"/>
        <v>0</v>
      </c>
      <c r="AI1266" s="50" t="s">
        <v>89</v>
      </c>
      <c r="AJ1266" s="38">
        <f t="shared" si="130"/>
        <v>0</v>
      </c>
      <c r="AK1266" s="38">
        <f t="shared" si="131"/>
        <v>0</v>
      </c>
      <c r="AL1266" s="38">
        <f t="shared" si="132"/>
        <v>0</v>
      </c>
      <c r="AN1266" s="38">
        <v>21</v>
      </c>
      <c r="AO1266" s="38">
        <f t="shared" si="133"/>
        <v>0</v>
      </c>
      <c r="AP1266" s="38">
        <f t="shared" si="134"/>
        <v>0</v>
      </c>
      <c r="AQ1266" s="72" t="s">
        <v>169</v>
      </c>
      <c r="AV1266" s="38">
        <f t="shared" si="135"/>
        <v>0</v>
      </c>
      <c r="AW1266" s="38">
        <f t="shared" si="136"/>
        <v>0</v>
      </c>
      <c r="AX1266" s="38">
        <f t="shared" si="137"/>
        <v>0</v>
      </c>
      <c r="AY1266" s="72" t="s">
        <v>2380</v>
      </c>
      <c r="AZ1266" s="72" t="s">
        <v>2317</v>
      </c>
      <c r="BA1266" s="50" t="s">
        <v>2301</v>
      </c>
      <c r="BC1266" s="38">
        <f t="shared" si="138"/>
        <v>0</v>
      </c>
      <c r="BD1266" s="38">
        <f t="shared" si="139"/>
        <v>0</v>
      </c>
      <c r="BE1266" s="38">
        <v>0</v>
      </c>
      <c r="BF1266" s="38">
        <f t="shared" si="140"/>
        <v>0</v>
      </c>
      <c r="BH1266" s="38">
        <f t="shared" si="141"/>
        <v>0</v>
      </c>
      <c r="BI1266" s="38">
        <f t="shared" si="142"/>
        <v>0</v>
      </c>
      <c r="BJ1266" s="38">
        <f t="shared" si="143"/>
        <v>0</v>
      </c>
      <c r="BK1266" s="38"/>
      <c r="BL1266" s="38">
        <v>735</v>
      </c>
      <c r="BW1266" s="38">
        <v>21</v>
      </c>
    </row>
    <row r="1267" spans="1:75" ht="27" customHeight="1">
      <c r="A1267" s="1" t="s">
        <v>2384</v>
      </c>
      <c r="B1267" s="2" t="s">
        <v>89</v>
      </c>
      <c r="C1267" s="2" t="s">
        <v>2385</v>
      </c>
      <c r="D1267" s="108" t="s">
        <v>2386</v>
      </c>
      <c r="E1267" s="103"/>
      <c r="F1267" s="2" t="s">
        <v>199</v>
      </c>
      <c r="G1267" s="38">
        <v>1</v>
      </c>
      <c r="H1267" s="70">
        <v>0</v>
      </c>
      <c r="I1267" s="38">
        <f t="shared" si="120"/>
        <v>0</v>
      </c>
      <c r="J1267" s="38">
        <v>0</v>
      </c>
      <c r="K1267" s="38">
        <f t="shared" si="121"/>
        <v>0</v>
      </c>
      <c r="L1267" s="71" t="s">
        <v>207</v>
      </c>
      <c r="Z1267" s="38">
        <f t="shared" si="122"/>
        <v>0</v>
      </c>
      <c r="AB1267" s="38">
        <f t="shared" si="123"/>
        <v>0</v>
      </c>
      <c r="AC1267" s="38">
        <f t="shared" si="124"/>
        <v>0</v>
      </c>
      <c r="AD1267" s="38">
        <f t="shared" si="125"/>
        <v>0</v>
      </c>
      <c r="AE1267" s="38">
        <f t="shared" si="126"/>
        <v>0</v>
      </c>
      <c r="AF1267" s="38">
        <f t="shared" si="127"/>
        <v>0</v>
      </c>
      <c r="AG1267" s="38">
        <f t="shared" si="128"/>
        <v>0</v>
      </c>
      <c r="AH1267" s="38">
        <f t="shared" si="129"/>
        <v>0</v>
      </c>
      <c r="AI1267" s="50" t="s">
        <v>89</v>
      </c>
      <c r="AJ1267" s="38">
        <f t="shared" si="130"/>
        <v>0</v>
      </c>
      <c r="AK1267" s="38">
        <f t="shared" si="131"/>
        <v>0</v>
      </c>
      <c r="AL1267" s="38">
        <f t="shared" si="132"/>
        <v>0</v>
      </c>
      <c r="AN1267" s="38">
        <v>21</v>
      </c>
      <c r="AO1267" s="38">
        <f t="shared" si="133"/>
        <v>0</v>
      </c>
      <c r="AP1267" s="38">
        <f t="shared" si="134"/>
        <v>0</v>
      </c>
      <c r="AQ1267" s="72" t="s">
        <v>169</v>
      </c>
      <c r="AV1267" s="38">
        <f t="shared" si="135"/>
        <v>0</v>
      </c>
      <c r="AW1267" s="38">
        <f t="shared" si="136"/>
        <v>0</v>
      </c>
      <c r="AX1267" s="38">
        <f t="shared" si="137"/>
        <v>0</v>
      </c>
      <c r="AY1267" s="72" t="s">
        <v>2380</v>
      </c>
      <c r="AZ1267" s="72" t="s">
        <v>2317</v>
      </c>
      <c r="BA1267" s="50" t="s">
        <v>2301</v>
      </c>
      <c r="BC1267" s="38">
        <f t="shared" si="138"/>
        <v>0</v>
      </c>
      <c r="BD1267" s="38">
        <f t="shared" si="139"/>
        <v>0</v>
      </c>
      <c r="BE1267" s="38">
        <v>0</v>
      </c>
      <c r="BF1267" s="38">
        <f t="shared" si="140"/>
        <v>0</v>
      </c>
      <c r="BH1267" s="38">
        <f t="shared" si="141"/>
        <v>0</v>
      </c>
      <c r="BI1267" s="38">
        <f t="shared" si="142"/>
        <v>0</v>
      </c>
      <c r="BJ1267" s="38">
        <f t="shared" si="143"/>
        <v>0</v>
      </c>
      <c r="BK1267" s="38"/>
      <c r="BL1267" s="38">
        <v>735</v>
      </c>
      <c r="BW1267" s="38">
        <v>21</v>
      </c>
    </row>
    <row r="1268" spans="1:75" ht="27" customHeight="1">
      <c r="A1268" s="1" t="s">
        <v>2387</v>
      </c>
      <c r="B1268" s="2" t="s">
        <v>89</v>
      </c>
      <c r="C1268" s="2" t="s">
        <v>2388</v>
      </c>
      <c r="D1268" s="108" t="s">
        <v>2389</v>
      </c>
      <c r="E1268" s="103"/>
      <c r="F1268" s="2" t="s">
        <v>199</v>
      </c>
      <c r="G1268" s="38">
        <v>4</v>
      </c>
      <c r="H1268" s="70">
        <v>0</v>
      </c>
      <c r="I1268" s="38">
        <f t="shared" si="120"/>
        <v>0</v>
      </c>
      <c r="J1268" s="38">
        <v>0</v>
      </c>
      <c r="K1268" s="38">
        <f t="shared" si="121"/>
        <v>0</v>
      </c>
      <c r="L1268" s="71" t="s">
        <v>207</v>
      </c>
      <c r="Z1268" s="38">
        <f t="shared" si="122"/>
        <v>0</v>
      </c>
      <c r="AB1268" s="38">
        <f t="shared" si="123"/>
        <v>0</v>
      </c>
      <c r="AC1268" s="38">
        <f t="shared" si="124"/>
        <v>0</v>
      </c>
      <c r="AD1268" s="38">
        <f t="shared" si="125"/>
        <v>0</v>
      </c>
      <c r="AE1268" s="38">
        <f t="shared" si="126"/>
        <v>0</v>
      </c>
      <c r="AF1268" s="38">
        <f t="shared" si="127"/>
        <v>0</v>
      </c>
      <c r="AG1268" s="38">
        <f t="shared" si="128"/>
        <v>0</v>
      </c>
      <c r="AH1268" s="38">
        <f t="shared" si="129"/>
        <v>0</v>
      </c>
      <c r="AI1268" s="50" t="s">
        <v>89</v>
      </c>
      <c r="AJ1268" s="38">
        <f t="shared" si="130"/>
        <v>0</v>
      </c>
      <c r="AK1268" s="38">
        <f t="shared" si="131"/>
        <v>0</v>
      </c>
      <c r="AL1268" s="38">
        <f t="shared" si="132"/>
        <v>0</v>
      </c>
      <c r="AN1268" s="38">
        <v>21</v>
      </c>
      <c r="AO1268" s="38">
        <f t="shared" si="133"/>
        <v>0</v>
      </c>
      <c r="AP1268" s="38">
        <f t="shared" si="134"/>
        <v>0</v>
      </c>
      <c r="AQ1268" s="72" t="s">
        <v>169</v>
      </c>
      <c r="AV1268" s="38">
        <f t="shared" si="135"/>
        <v>0</v>
      </c>
      <c r="AW1268" s="38">
        <f t="shared" si="136"/>
        <v>0</v>
      </c>
      <c r="AX1268" s="38">
        <f t="shared" si="137"/>
        <v>0</v>
      </c>
      <c r="AY1268" s="72" t="s">
        <v>2380</v>
      </c>
      <c r="AZ1268" s="72" t="s">
        <v>2317</v>
      </c>
      <c r="BA1268" s="50" t="s">
        <v>2301</v>
      </c>
      <c r="BC1268" s="38">
        <f t="shared" si="138"/>
        <v>0</v>
      </c>
      <c r="BD1268" s="38">
        <f t="shared" si="139"/>
        <v>0</v>
      </c>
      <c r="BE1268" s="38">
        <v>0</v>
      </c>
      <c r="BF1268" s="38">
        <f t="shared" si="140"/>
        <v>0</v>
      </c>
      <c r="BH1268" s="38">
        <f t="shared" si="141"/>
        <v>0</v>
      </c>
      <c r="BI1268" s="38">
        <f t="shared" si="142"/>
        <v>0</v>
      </c>
      <c r="BJ1268" s="38">
        <f t="shared" si="143"/>
        <v>0</v>
      </c>
      <c r="BK1268" s="38"/>
      <c r="BL1268" s="38">
        <v>735</v>
      </c>
      <c r="BW1268" s="38">
        <v>21</v>
      </c>
    </row>
    <row r="1269" spans="1:75" ht="27" customHeight="1">
      <c r="A1269" s="1" t="s">
        <v>2390</v>
      </c>
      <c r="B1269" s="2" t="s">
        <v>89</v>
      </c>
      <c r="C1269" s="2" t="s">
        <v>2391</v>
      </c>
      <c r="D1269" s="108" t="s">
        <v>2392</v>
      </c>
      <c r="E1269" s="103"/>
      <c r="F1269" s="2" t="s">
        <v>199</v>
      </c>
      <c r="G1269" s="38">
        <v>1</v>
      </c>
      <c r="H1269" s="70">
        <v>0</v>
      </c>
      <c r="I1269" s="38">
        <f t="shared" si="120"/>
        <v>0</v>
      </c>
      <c r="J1269" s="38">
        <v>0</v>
      </c>
      <c r="K1269" s="38">
        <f t="shared" si="121"/>
        <v>0</v>
      </c>
      <c r="L1269" s="71" t="s">
        <v>207</v>
      </c>
      <c r="Z1269" s="38">
        <f t="shared" si="122"/>
        <v>0</v>
      </c>
      <c r="AB1269" s="38">
        <f t="shared" si="123"/>
        <v>0</v>
      </c>
      <c r="AC1269" s="38">
        <f t="shared" si="124"/>
        <v>0</v>
      </c>
      <c r="AD1269" s="38">
        <f t="shared" si="125"/>
        <v>0</v>
      </c>
      <c r="AE1269" s="38">
        <f t="shared" si="126"/>
        <v>0</v>
      </c>
      <c r="AF1269" s="38">
        <f t="shared" si="127"/>
        <v>0</v>
      </c>
      <c r="AG1269" s="38">
        <f t="shared" si="128"/>
        <v>0</v>
      </c>
      <c r="AH1269" s="38">
        <f t="shared" si="129"/>
        <v>0</v>
      </c>
      <c r="AI1269" s="50" t="s">
        <v>89</v>
      </c>
      <c r="AJ1269" s="38">
        <f t="shared" si="130"/>
        <v>0</v>
      </c>
      <c r="AK1269" s="38">
        <f t="shared" si="131"/>
        <v>0</v>
      </c>
      <c r="AL1269" s="38">
        <f t="shared" si="132"/>
        <v>0</v>
      </c>
      <c r="AN1269" s="38">
        <v>21</v>
      </c>
      <c r="AO1269" s="38">
        <f t="shared" si="133"/>
        <v>0</v>
      </c>
      <c r="AP1269" s="38">
        <f t="shared" si="134"/>
        <v>0</v>
      </c>
      <c r="AQ1269" s="72" t="s">
        <v>169</v>
      </c>
      <c r="AV1269" s="38">
        <f t="shared" si="135"/>
        <v>0</v>
      </c>
      <c r="AW1269" s="38">
        <f t="shared" si="136"/>
        <v>0</v>
      </c>
      <c r="AX1269" s="38">
        <f t="shared" si="137"/>
        <v>0</v>
      </c>
      <c r="AY1269" s="72" t="s">
        <v>2380</v>
      </c>
      <c r="AZ1269" s="72" t="s">
        <v>2317</v>
      </c>
      <c r="BA1269" s="50" t="s">
        <v>2301</v>
      </c>
      <c r="BC1269" s="38">
        <f t="shared" si="138"/>
        <v>0</v>
      </c>
      <c r="BD1269" s="38">
        <f t="shared" si="139"/>
        <v>0</v>
      </c>
      <c r="BE1269" s="38">
        <v>0</v>
      </c>
      <c r="BF1269" s="38">
        <f t="shared" si="140"/>
        <v>0</v>
      </c>
      <c r="BH1269" s="38">
        <f t="shared" si="141"/>
        <v>0</v>
      </c>
      <c r="BI1269" s="38">
        <f t="shared" si="142"/>
        <v>0</v>
      </c>
      <c r="BJ1269" s="38">
        <f t="shared" si="143"/>
        <v>0</v>
      </c>
      <c r="BK1269" s="38"/>
      <c r="BL1269" s="38">
        <v>735</v>
      </c>
      <c r="BW1269" s="38">
        <v>21</v>
      </c>
    </row>
    <row r="1270" spans="1:75" ht="27" customHeight="1">
      <c r="A1270" s="1" t="s">
        <v>2393</v>
      </c>
      <c r="B1270" s="2" t="s">
        <v>89</v>
      </c>
      <c r="C1270" s="2" t="s">
        <v>2394</v>
      </c>
      <c r="D1270" s="108" t="s">
        <v>2395</v>
      </c>
      <c r="E1270" s="103"/>
      <c r="F1270" s="2" t="s">
        <v>199</v>
      </c>
      <c r="G1270" s="38">
        <v>1</v>
      </c>
      <c r="H1270" s="70">
        <v>0</v>
      </c>
      <c r="I1270" s="38">
        <f t="shared" si="120"/>
        <v>0</v>
      </c>
      <c r="J1270" s="38">
        <v>0</v>
      </c>
      <c r="K1270" s="38">
        <f t="shared" si="121"/>
        <v>0</v>
      </c>
      <c r="L1270" s="71" t="s">
        <v>207</v>
      </c>
      <c r="Z1270" s="38">
        <f t="shared" si="122"/>
        <v>0</v>
      </c>
      <c r="AB1270" s="38">
        <f t="shared" si="123"/>
        <v>0</v>
      </c>
      <c r="AC1270" s="38">
        <f t="shared" si="124"/>
        <v>0</v>
      </c>
      <c r="AD1270" s="38">
        <f t="shared" si="125"/>
        <v>0</v>
      </c>
      <c r="AE1270" s="38">
        <f t="shared" si="126"/>
        <v>0</v>
      </c>
      <c r="AF1270" s="38">
        <f t="shared" si="127"/>
        <v>0</v>
      </c>
      <c r="AG1270" s="38">
        <f t="shared" si="128"/>
        <v>0</v>
      </c>
      <c r="AH1270" s="38">
        <f t="shared" si="129"/>
        <v>0</v>
      </c>
      <c r="AI1270" s="50" t="s">
        <v>89</v>
      </c>
      <c r="AJ1270" s="38">
        <f t="shared" si="130"/>
        <v>0</v>
      </c>
      <c r="AK1270" s="38">
        <f t="shared" si="131"/>
        <v>0</v>
      </c>
      <c r="AL1270" s="38">
        <f t="shared" si="132"/>
        <v>0</v>
      </c>
      <c r="AN1270" s="38">
        <v>21</v>
      </c>
      <c r="AO1270" s="38">
        <f t="shared" si="133"/>
        <v>0</v>
      </c>
      <c r="AP1270" s="38">
        <f t="shared" si="134"/>
        <v>0</v>
      </c>
      <c r="AQ1270" s="72" t="s">
        <v>169</v>
      </c>
      <c r="AV1270" s="38">
        <f t="shared" si="135"/>
        <v>0</v>
      </c>
      <c r="AW1270" s="38">
        <f t="shared" si="136"/>
        <v>0</v>
      </c>
      <c r="AX1270" s="38">
        <f t="shared" si="137"/>
        <v>0</v>
      </c>
      <c r="AY1270" s="72" t="s">
        <v>2380</v>
      </c>
      <c r="AZ1270" s="72" t="s">
        <v>2317</v>
      </c>
      <c r="BA1270" s="50" t="s">
        <v>2301</v>
      </c>
      <c r="BC1270" s="38">
        <f t="shared" si="138"/>
        <v>0</v>
      </c>
      <c r="BD1270" s="38">
        <f t="shared" si="139"/>
        <v>0</v>
      </c>
      <c r="BE1270" s="38">
        <v>0</v>
      </c>
      <c r="BF1270" s="38">
        <f t="shared" si="140"/>
        <v>0</v>
      </c>
      <c r="BH1270" s="38">
        <f t="shared" si="141"/>
        <v>0</v>
      </c>
      <c r="BI1270" s="38">
        <f t="shared" si="142"/>
        <v>0</v>
      </c>
      <c r="BJ1270" s="38">
        <f t="shared" si="143"/>
        <v>0</v>
      </c>
      <c r="BK1270" s="38"/>
      <c r="BL1270" s="38">
        <v>735</v>
      </c>
      <c r="BW1270" s="38">
        <v>21</v>
      </c>
    </row>
    <row r="1271" spans="1:75" ht="27" customHeight="1">
      <c r="A1271" s="1" t="s">
        <v>2396</v>
      </c>
      <c r="B1271" s="2" t="s">
        <v>89</v>
      </c>
      <c r="C1271" s="2" t="s">
        <v>2397</v>
      </c>
      <c r="D1271" s="108" t="s">
        <v>2398</v>
      </c>
      <c r="E1271" s="103"/>
      <c r="F1271" s="2" t="s">
        <v>199</v>
      </c>
      <c r="G1271" s="38">
        <v>2</v>
      </c>
      <c r="H1271" s="70">
        <v>0</v>
      </c>
      <c r="I1271" s="38">
        <f t="shared" si="120"/>
        <v>0</v>
      </c>
      <c r="J1271" s="38">
        <v>0</v>
      </c>
      <c r="K1271" s="38">
        <f t="shared" si="121"/>
        <v>0</v>
      </c>
      <c r="L1271" s="71" t="s">
        <v>207</v>
      </c>
      <c r="Z1271" s="38">
        <f t="shared" si="122"/>
        <v>0</v>
      </c>
      <c r="AB1271" s="38">
        <f t="shared" si="123"/>
        <v>0</v>
      </c>
      <c r="AC1271" s="38">
        <f t="shared" si="124"/>
        <v>0</v>
      </c>
      <c r="AD1271" s="38">
        <f t="shared" si="125"/>
        <v>0</v>
      </c>
      <c r="AE1271" s="38">
        <f t="shared" si="126"/>
        <v>0</v>
      </c>
      <c r="AF1271" s="38">
        <f t="shared" si="127"/>
        <v>0</v>
      </c>
      <c r="AG1271" s="38">
        <f t="shared" si="128"/>
        <v>0</v>
      </c>
      <c r="AH1271" s="38">
        <f t="shared" si="129"/>
        <v>0</v>
      </c>
      <c r="AI1271" s="50" t="s">
        <v>89</v>
      </c>
      <c r="AJ1271" s="38">
        <f t="shared" si="130"/>
        <v>0</v>
      </c>
      <c r="AK1271" s="38">
        <f t="shared" si="131"/>
        <v>0</v>
      </c>
      <c r="AL1271" s="38">
        <f t="shared" si="132"/>
        <v>0</v>
      </c>
      <c r="AN1271" s="38">
        <v>21</v>
      </c>
      <c r="AO1271" s="38">
        <f t="shared" si="133"/>
        <v>0</v>
      </c>
      <c r="AP1271" s="38">
        <f t="shared" si="134"/>
        <v>0</v>
      </c>
      <c r="AQ1271" s="72" t="s">
        <v>169</v>
      </c>
      <c r="AV1271" s="38">
        <f t="shared" si="135"/>
        <v>0</v>
      </c>
      <c r="AW1271" s="38">
        <f t="shared" si="136"/>
        <v>0</v>
      </c>
      <c r="AX1271" s="38">
        <f t="shared" si="137"/>
        <v>0</v>
      </c>
      <c r="AY1271" s="72" t="s">
        <v>2380</v>
      </c>
      <c r="AZ1271" s="72" t="s">
        <v>2317</v>
      </c>
      <c r="BA1271" s="50" t="s">
        <v>2301</v>
      </c>
      <c r="BC1271" s="38">
        <f t="shared" si="138"/>
        <v>0</v>
      </c>
      <c r="BD1271" s="38">
        <f t="shared" si="139"/>
        <v>0</v>
      </c>
      <c r="BE1271" s="38">
        <v>0</v>
      </c>
      <c r="BF1271" s="38">
        <f t="shared" si="140"/>
        <v>0</v>
      </c>
      <c r="BH1271" s="38">
        <f t="shared" si="141"/>
        <v>0</v>
      </c>
      <c r="BI1271" s="38">
        <f t="shared" si="142"/>
        <v>0</v>
      </c>
      <c r="BJ1271" s="38">
        <f t="shared" si="143"/>
        <v>0</v>
      </c>
      <c r="BK1271" s="38"/>
      <c r="BL1271" s="38">
        <v>735</v>
      </c>
      <c r="BW1271" s="38">
        <v>21</v>
      </c>
    </row>
    <row r="1272" spans="1:75" ht="27" customHeight="1">
      <c r="A1272" s="1" t="s">
        <v>2399</v>
      </c>
      <c r="B1272" s="2" t="s">
        <v>89</v>
      </c>
      <c r="C1272" s="2" t="s">
        <v>2400</v>
      </c>
      <c r="D1272" s="108" t="s">
        <v>2401</v>
      </c>
      <c r="E1272" s="103"/>
      <c r="F1272" s="2" t="s">
        <v>199</v>
      </c>
      <c r="G1272" s="38">
        <v>5</v>
      </c>
      <c r="H1272" s="70">
        <v>0</v>
      </c>
      <c r="I1272" s="38">
        <f t="shared" si="120"/>
        <v>0</v>
      </c>
      <c r="J1272" s="38">
        <v>0</v>
      </c>
      <c r="K1272" s="38">
        <f t="shared" si="121"/>
        <v>0</v>
      </c>
      <c r="L1272" s="71" t="s">
        <v>207</v>
      </c>
      <c r="Z1272" s="38">
        <f t="shared" si="122"/>
        <v>0</v>
      </c>
      <c r="AB1272" s="38">
        <f t="shared" si="123"/>
        <v>0</v>
      </c>
      <c r="AC1272" s="38">
        <f t="shared" si="124"/>
        <v>0</v>
      </c>
      <c r="AD1272" s="38">
        <f t="shared" si="125"/>
        <v>0</v>
      </c>
      <c r="AE1272" s="38">
        <f t="shared" si="126"/>
        <v>0</v>
      </c>
      <c r="AF1272" s="38">
        <f t="shared" si="127"/>
        <v>0</v>
      </c>
      <c r="AG1272" s="38">
        <f t="shared" si="128"/>
        <v>0</v>
      </c>
      <c r="AH1272" s="38">
        <f t="shared" si="129"/>
        <v>0</v>
      </c>
      <c r="AI1272" s="50" t="s">
        <v>89</v>
      </c>
      <c r="AJ1272" s="38">
        <f t="shared" si="130"/>
        <v>0</v>
      </c>
      <c r="AK1272" s="38">
        <f t="shared" si="131"/>
        <v>0</v>
      </c>
      <c r="AL1272" s="38">
        <f t="shared" si="132"/>
        <v>0</v>
      </c>
      <c r="AN1272" s="38">
        <v>21</v>
      </c>
      <c r="AO1272" s="38">
        <f t="shared" si="133"/>
        <v>0</v>
      </c>
      <c r="AP1272" s="38">
        <f t="shared" si="134"/>
        <v>0</v>
      </c>
      <c r="AQ1272" s="72" t="s">
        <v>169</v>
      </c>
      <c r="AV1272" s="38">
        <f t="shared" si="135"/>
        <v>0</v>
      </c>
      <c r="AW1272" s="38">
        <f t="shared" si="136"/>
        <v>0</v>
      </c>
      <c r="AX1272" s="38">
        <f t="shared" si="137"/>
        <v>0</v>
      </c>
      <c r="AY1272" s="72" t="s">
        <v>2380</v>
      </c>
      <c r="AZ1272" s="72" t="s">
        <v>2317</v>
      </c>
      <c r="BA1272" s="50" t="s">
        <v>2301</v>
      </c>
      <c r="BC1272" s="38">
        <f t="shared" si="138"/>
        <v>0</v>
      </c>
      <c r="BD1272" s="38">
        <f t="shared" si="139"/>
        <v>0</v>
      </c>
      <c r="BE1272" s="38">
        <v>0</v>
      </c>
      <c r="BF1272" s="38">
        <f t="shared" si="140"/>
        <v>0</v>
      </c>
      <c r="BH1272" s="38">
        <f t="shared" si="141"/>
        <v>0</v>
      </c>
      <c r="BI1272" s="38">
        <f t="shared" si="142"/>
        <v>0</v>
      </c>
      <c r="BJ1272" s="38">
        <f t="shared" si="143"/>
        <v>0</v>
      </c>
      <c r="BK1272" s="38"/>
      <c r="BL1272" s="38">
        <v>735</v>
      </c>
      <c r="BW1272" s="38">
        <v>21</v>
      </c>
    </row>
    <row r="1273" spans="1:47" ht="15">
      <c r="A1273" s="65" t="s">
        <v>4</v>
      </c>
      <c r="B1273" s="66" t="s">
        <v>89</v>
      </c>
      <c r="C1273" s="66" t="s">
        <v>1504</v>
      </c>
      <c r="D1273" s="192" t="s">
        <v>1505</v>
      </c>
      <c r="E1273" s="193"/>
      <c r="F1273" s="67" t="s">
        <v>78</v>
      </c>
      <c r="G1273" s="67" t="s">
        <v>78</v>
      </c>
      <c r="H1273" s="68" t="s">
        <v>78</v>
      </c>
      <c r="I1273" s="44">
        <f>SUM(I1274:I1285)</f>
        <v>0</v>
      </c>
      <c r="J1273" s="50" t="s">
        <v>4</v>
      </c>
      <c r="K1273" s="44">
        <f>SUM(K1274:K1285)</f>
        <v>0</v>
      </c>
      <c r="L1273" s="69" t="s">
        <v>4</v>
      </c>
      <c r="AI1273" s="50" t="s">
        <v>89</v>
      </c>
      <c r="AS1273" s="44">
        <f>SUM(AJ1274:AJ1285)</f>
        <v>0</v>
      </c>
      <c r="AT1273" s="44">
        <f>SUM(AK1274:AK1285)</f>
        <v>0</v>
      </c>
      <c r="AU1273" s="44">
        <f>SUM(AL1274:AL1285)</f>
        <v>0</v>
      </c>
    </row>
    <row r="1274" spans="1:75" ht="27" customHeight="1">
      <c r="A1274" s="1" t="s">
        <v>2402</v>
      </c>
      <c r="B1274" s="2" t="s">
        <v>89</v>
      </c>
      <c r="C1274" s="2" t="s">
        <v>2403</v>
      </c>
      <c r="D1274" s="108" t="s">
        <v>2404</v>
      </c>
      <c r="E1274" s="103"/>
      <c r="F1274" s="2" t="s">
        <v>263</v>
      </c>
      <c r="G1274" s="38">
        <v>3</v>
      </c>
      <c r="H1274" s="70">
        <v>0</v>
      </c>
      <c r="I1274" s="38">
        <f aca="true" t="shared" si="144" ref="I1274:I1285">G1274*H1274</f>
        <v>0</v>
      </c>
      <c r="J1274" s="38">
        <v>0</v>
      </c>
      <c r="K1274" s="38">
        <f aca="true" t="shared" si="145" ref="K1274:K1285">G1274*J1274</f>
        <v>0</v>
      </c>
      <c r="L1274" s="71" t="s">
        <v>207</v>
      </c>
      <c r="Z1274" s="38">
        <f aca="true" t="shared" si="146" ref="Z1274:Z1285">IF(AQ1274="5",BJ1274,0)</f>
        <v>0</v>
      </c>
      <c r="AB1274" s="38">
        <f aca="true" t="shared" si="147" ref="AB1274:AB1285">IF(AQ1274="1",BH1274,0)</f>
        <v>0</v>
      </c>
      <c r="AC1274" s="38">
        <f aca="true" t="shared" si="148" ref="AC1274:AC1285">IF(AQ1274="1",BI1274,0)</f>
        <v>0</v>
      </c>
      <c r="AD1274" s="38">
        <f aca="true" t="shared" si="149" ref="AD1274:AD1285">IF(AQ1274="7",BH1274,0)</f>
        <v>0</v>
      </c>
      <c r="AE1274" s="38">
        <f aca="true" t="shared" si="150" ref="AE1274:AE1285">IF(AQ1274="7",BI1274,0)</f>
        <v>0</v>
      </c>
      <c r="AF1274" s="38">
        <f aca="true" t="shared" si="151" ref="AF1274:AF1285">IF(AQ1274="2",BH1274,0)</f>
        <v>0</v>
      </c>
      <c r="AG1274" s="38">
        <f aca="true" t="shared" si="152" ref="AG1274:AG1285">IF(AQ1274="2",BI1274,0)</f>
        <v>0</v>
      </c>
      <c r="AH1274" s="38">
        <f aca="true" t="shared" si="153" ref="AH1274:AH1285">IF(AQ1274="0",BJ1274,0)</f>
        <v>0</v>
      </c>
      <c r="AI1274" s="50" t="s">
        <v>89</v>
      </c>
      <c r="AJ1274" s="38">
        <f aca="true" t="shared" si="154" ref="AJ1274:AJ1285">IF(AN1274=0,I1274,0)</f>
        <v>0</v>
      </c>
      <c r="AK1274" s="38">
        <f aca="true" t="shared" si="155" ref="AK1274:AK1285">IF(AN1274=12,I1274,0)</f>
        <v>0</v>
      </c>
      <c r="AL1274" s="38">
        <f aca="true" t="shared" si="156" ref="AL1274:AL1285">IF(AN1274=21,I1274,0)</f>
        <v>0</v>
      </c>
      <c r="AN1274" s="38">
        <v>21</v>
      </c>
      <c r="AO1274" s="38">
        <f aca="true" t="shared" si="157" ref="AO1274:AO1285">H1274*0</f>
        <v>0</v>
      </c>
      <c r="AP1274" s="38">
        <f aca="true" t="shared" si="158" ref="AP1274:AP1285">H1274*(1-0)</f>
        <v>0</v>
      </c>
      <c r="AQ1274" s="72" t="s">
        <v>169</v>
      </c>
      <c r="AV1274" s="38">
        <f aca="true" t="shared" si="159" ref="AV1274:AV1285">AW1274+AX1274</f>
        <v>0</v>
      </c>
      <c r="AW1274" s="38">
        <f aca="true" t="shared" si="160" ref="AW1274:AW1285">G1274*AO1274</f>
        <v>0</v>
      </c>
      <c r="AX1274" s="38">
        <f aca="true" t="shared" si="161" ref="AX1274:AX1285">G1274*AP1274</f>
        <v>0</v>
      </c>
      <c r="AY1274" s="72" t="s">
        <v>1509</v>
      </c>
      <c r="AZ1274" s="72" t="s">
        <v>2405</v>
      </c>
      <c r="BA1274" s="50" t="s">
        <v>2301</v>
      </c>
      <c r="BC1274" s="38">
        <f aca="true" t="shared" si="162" ref="BC1274:BC1285">AW1274+AX1274</f>
        <v>0</v>
      </c>
      <c r="BD1274" s="38">
        <f aca="true" t="shared" si="163" ref="BD1274:BD1285">H1274/(100-BE1274)*100</f>
        <v>0</v>
      </c>
      <c r="BE1274" s="38">
        <v>0</v>
      </c>
      <c r="BF1274" s="38">
        <f aca="true" t="shared" si="164" ref="BF1274:BF1285">K1274</f>
        <v>0</v>
      </c>
      <c r="BH1274" s="38">
        <f aca="true" t="shared" si="165" ref="BH1274:BH1285">G1274*AO1274</f>
        <v>0</v>
      </c>
      <c r="BI1274" s="38">
        <f aca="true" t="shared" si="166" ref="BI1274:BI1285">G1274*AP1274</f>
        <v>0</v>
      </c>
      <c r="BJ1274" s="38">
        <f aca="true" t="shared" si="167" ref="BJ1274:BJ1285">G1274*H1274</f>
        <v>0</v>
      </c>
      <c r="BK1274" s="38"/>
      <c r="BL1274" s="38">
        <v>783</v>
      </c>
      <c r="BW1274" s="38">
        <v>21</v>
      </c>
    </row>
    <row r="1275" spans="1:75" ht="13.5" customHeight="1">
      <c r="A1275" s="1" t="s">
        <v>2406</v>
      </c>
      <c r="B1275" s="2" t="s">
        <v>89</v>
      </c>
      <c r="C1275" s="2" t="s">
        <v>2407</v>
      </c>
      <c r="D1275" s="108" t="s">
        <v>2408</v>
      </c>
      <c r="E1275" s="103"/>
      <c r="F1275" s="2" t="s">
        <v>263</v>
      </c>
      <c r="G1275" s="38">
        <v>30</v>
      </c>
      <c r="H1275" s="70">
        <v>0</v>
      </c>
      <c r="I1275" s="38">
        <f t="shared" si="144"/>
        <v>0</v>
      </c>
      <c r="J1275" s="38">
        <v>0</v>
      </c>
      <c r="K1275" s="38">
        <f t="shared" si="145"/>
        <v>0</v>
      </c>
      <c r="L1275" s="71" t="s">
        <v>207</v>
      </c>
      <c r="Z1275" s="38">
        <f t="shared" si="146"/>
        <v>0</v>
      </c>
      <c r="AB1275" s="38">
        <f t="shared" si="147"/>
        <v>0</v>
      </c>
      <c r="AC1275" s="38">
        <f t="shared" si="148"/>
        <v>0</v>
      </c>
      <c r="AD1275" s="38">
        <f t="shared" si="149"/>
        <v>0</v>
      </c>
      <c r="AE1275" s="38">
        <f t="shared" si="150"/>
        <v>0</v>
      </c>
      <c r="AF1275" s="38">
        <f t="shared" si="151"/>
        <v>0</v>
      </c>
      <c r="AG1275" s="38">
        <f t="shared" si="152"/>
        <v>0</v>
      </c>
      <c r="AH1275" s="38">
        <f t="shared" si="153"/>
        <v>0</v>
      </c>
      <c r="AI1275" s="50" t="s">
        <v>89</v>
      </c>
      <c r="AJ1275" s="38">
        <f t="shared" si="154"/>
        <v>0</v>
      </c>
      <c r="AK1275" s="38">
        <f t="shared" si="155"/>
        <v>0</v>
      </c>
      <c r="AL1275" s="38">
        <f t="shared" si="156"/>
        <v>0</v>
      </c>
      <c r="AN1275" s="38">
        <v>21</v>
      </c>
      <c r="AO1275" s="38">
        <f t="shared" si="157"/>
        <v>0</v>
      </c>
      <c r="AP1275" s="38">
        <f t="shared" si="158"/>
        <v>0</v>
      </c>
      <c r="AQ1275" s="72" t="s">
        <v>169</v>
      </c>
      <c r="AV1275" s="38">
        <f t="shared" si="159"/>
        <v>0</v>
      </c>
      <c r="AW1275" s="38">
        <f t="shared" si="160"/>
        <v>0</v>
      </c>
      <c r="AX1275" s="38">
        <f t="shared" si="161"/>
        <v>0</v>
      </c>
      <c r="AY1275" s="72" t="s">
        <v>1509</v>
      </c>
      <c r="AZ1275" s="72" t="s">
        <v>2405</v>
      </c>
      <c r="BA1275" s="50" t="s">
        <v>2301</v>
      </c>
      <c r="BC1275" s="38">
        <f t="shared" si="162"/>
        <v>0</v>
      </c>
      <c r="BD1275" s="38">
        <f t="shared" si="163"/>
        <v>0</v>
      </c>
      <c r="BE1275" s="38">
        <v>0</v>
      </c>
      <c r="BF1275" s="38">
        <f t="shared" si="164"/>
        <v>0</v>
      </c>
      <c r="BH1275" s="38">
        <f t="shared" si="165"/>
        <v>0</v>
      </c>
      <c r="BI1275" s="38">
        <f t="shared" si="166"/>
        <v>0</v>
      </c>
      <c r="BJ1275" s="38">
        <f t="shared" si="167"/>
        <v>0</v>
      </c>
      <c r="BK1275" s="38"/>
      <c r="BL1275" s="38">
        <v>783</v>
      </c>
      <c r="BW1275" s="38">
        <v>21</v>
      </c>
    </row>
    <row r="1276" spans="1:75" ht="13.5" customHeight="1">
      <c r="A1276" s="1" t="s">
        <v>2409</v>
      </c>
      <c r="B1276" s="2" t="s">
        <v>89</v>
      </c>
      <c r="C1276" s="2" t="s">
        <v>2410</v>
      </c>
      <c r="D1276" s="108" t="s">
        <v>2411</v>
      </c>
      <c r="E1276" s="103"/>
      <c r="F1276" s="2" t="s">
        <v>263</v>
      </c>
      <c r="G1276" s="38">
        <v>3</v>
      </c>
      <c r="H1276" s="70">
        <v>0</v>
      </c>
      <c r="I1276" s="38">
        <f t="shared" si="144"/>
        <v>0</v>
      </c>
      <c r="J1276" s="38">
        <v>0</v>
      </c>
      <c r="K1276" s="38">
        <f t="shared" si="145"/>
        <v>0</v>
      </c>
      <c r="L1276" s="71" t="s">
        <v>207</v>
      </c>
      <c r="Z1276" s="38">
        <f t="shared" si="146"/>
        <v>0</v>
      </c>
      <c r="AB1276" s="38">
        <f t="shared" si="147"/>
        <v>0</v>
      </c>
      <c r="AC1276" s="38">
        <f t="shared" si="148"/>
        <v>0</v>
      </c>
      <c r="AD1276" s="38">
        <f t="shared" si="149"/>
        <v>0</v>
      </c>
      <c r="AE1276" s="38">
        <f t="shared" si="150"/>
        <v>0</v>
      </c>
      <c r="AF1276" s="38">
        <f t="shared" si="151"/>
        <v>0</v>
      </c>
      <c r="AG1276" s="38">
        <f t="shared" si="152"/>
        <v>0</v>
      </c>
      <c r="AH1276" s="38">
        <f t="shared" si="153"/>
        <v>0</v>
      </c>
      <c r="AI1276" s="50" t="s">
        <v>89</v>
      </c>
      <c r="AJ1276" s="38">
        <f t="shared" si="154"/>
        <v>0</v>
      </c>
      <c r="AK1276" s="38">
        <f t="shared" si="155"/>
        <v>0</v>
      </c>
      <c r="AL1276" s="38">
        <f t="shared" si="156"/>
        <v>0</v>
      </c>
      <c r="AN1276" s="38">
        <v>21</v>
      </c>
      <c r="AO1276" s="38">
        <f t="shared" si="157"/>
        <v>0</v>
      </c>
      <c r="AP1276" s="38">
        <f t="shared" si="158"/>
        <v>0</v>
      </c>
      <c r="AQ1276" s="72" t="s">
        <v>169</v>
      </c>
      <c r="AV1276" s="38">
        <f t="shared" si="159"/>
        <v>0</v>
      </c>
      <c r="AW1276" s="38">
        <f t="shared" si="160"/>
        <v>0</v>
      </c>
      <c r="AX1276" s="38">
        <f t="shared" si="161"/>
        <v>0</v>
      </c>
      <c r="AY1276" s="72" t="s">
        <v>1509</v>
      </c>
      <c r="AZ1276" s="72" t="s">
        <v>2405</v>
      </c>
      <c r="BA1276" s="50" t="s">
        <v>2301</v>
      </c>
      <c r="BC1276" s="38">
        <f t="shared" si="162"/>
        <v>0</v>
      </c>
      <c r="BD1276" s="38">
        <f t="shared" si="163"/>
        <v>0</v>
      </c>
      <c r="BE1276" s="38">
        <v>0</v>
      </c>
      <c r="BF1276" s="38">
        <f t="shared" si="164"/>
        <v>0</v>
      </c>
      <c r="BH1276" s="38">
        <f t="shared" si="165"/>
        <v>0</v>
      </c>
      <c r="BI1276" s="38">
        <f t="shared" si="166"/>
        <v>0</v>
      </c>
      <c r="BJ1276" s="38">
        <f t="shared" si="167"/>
        <v>0</v>
      </c>
      <c r="BK1276" s="38"/>
      <c r="BL1276" s="38">
        <v>783</v>
      </c>
      <c r="BW1276" s="38">
        <v>21</v>
      </c>
    </row>
    <row r="1277" spans="1:75" ht="13.5" customHeight="1">
      <c r="A1277" s="1" t="s">
        <v>2412</v>
      </c>
      <c r="B1277" s="2" t="s">
        <v>89</v>
      </c>
      <c r="C1277" s="2" t="s">
        <v>2246</v>
      </c>
      <c r="D1277" s="108" t="s">
        <v>2247</v>
      </c>
      <c r="E1277" s="103"/>
      <c r="F1277" s="2" t="s">
        <v>214</v>
      </c>
      <c r="G1277" s="38">
        <v>232</v>
      </c>
      <c r="H1277" s="70">
        <v>0</v>
      </c>
      <c r="I1277" s="38">
        <f t="shared" si="144"/>
        <v>0</v>
      </c>
      <c r="J1277" s="38">
        <v>0</v>
      </c>
      <c r="K1277" s="38">
        <f t="shared" si="145"/>
        <v>0</v>
      </c>
      <c r="L1277" s="71" t="s">
        <v>207</v>
      </c>
      <c r="Z1277" s="38">
        <f t="shared" si="146"/>
        <v>0</v>
      </c>
      <c r="AB1277" s="38">
        <f t="shared" si="147"/>
        <v>0</v>
      </c>
      <c r="AC1277" s="38">
        <f t="shared" si="148"/>
        <v>0</v>
      </c>
      <c r="AD1277" s="38">
        <f t="shared" si="149"/>
        <v>0</v>
      </c>
      <c r="AE1277" s="38">
        <f t="shared" si="150"/>
        <v>0</v>
      </c>
      <c r="AF1277" s="38">
        <f t="shared" si="151"/>
        <v>0</v>
      </c>
      <c r="AG1277" s="38">
        <f t="shared" si="152"/>
        <v>0</v>
      </c>
      <c r="AH1277" s="38">
        <f t="shared" si="153"/>
        <v>0</v>
      </c>
      <c r="AI1277" s="50" t="s">
        <v>89</v>
      </c>
      <c r="AJ1277" s="38">
        <f t="shared" si="154"/>
        <v>0</v>
      </c>
      <c r="AK1277" s="38">
        <f t="shared" si="155"/>
        <v>0</v>
      </c>
      <c r="AL1277" s="38">
        <f t="shared" si="156"/>
        <v>0</v>
      </c>
      <c r="AN1277" s="38">
        <v>21</v>
      </c>
      <c r="AO1277" s="38">
        <f t="shared" si="157"/>
        <v>0</v>
      </c>
      <c r="AP1277" s="38">
        <f t="shared" si="158"/>
        <v>0</v>
      </c>
      <c r="AQ1277" s="72" t="s">
        <v>169</v>
      </c>
      <c r="AV1277" s="38">
        <f t="shared" si="159"/>
        <v>0</v>
      </c>
      <c r="AW1277" s="38">
        <f t="shared" si="160"/>
        <v>0</v>
      </c>
      <c r="AX1277" s="38">
        <f t="shared" si="161"/>
        <v>0</v>
      </c>
      <c r="AY1277" s="72" t="s">
        <v>1509</v>
      </c>
      <c r="AZ1277" s="72" t="s">
        <v>2405</v>
      </c>
      <c r="BA1277" s="50" t="s">
        <v>2301</v>
      </c>
      <c r="BC1277" s="38">
        <f t="shared" si="162"/>
        <v>0</v>
      </c>
      <c r="BD1277" s="38">
        <f t="shared" si="163"/>
        <v>0</v>
      </c>
      <c r="BE1277" s="38">
        <v>0</v>
      </c>
      <c r="BF1277" s="38">
        <f t="shared" si="164"/>
        <v>0</v>
      </c>
      <c r="BH1277" s="38">
        <f t="shared" si="165"/>
        <v>0</v>
      </c>
      <c r="BI1277" s="38">
        <f t="shared" si="166"/>
        <v>0</v>
      </c>
      <c r="BJ1277" s="38">
        <f t="shared" si="167"/>
        <v>0</v>
      </c>
      <c r="BK1277" s="38"/>
      <c r="BL1277" s="38">
        <v>783</v>
      </c>
      <c r="BW1277" s="38">
        <v>21</v>
      </c>
    </row>
    <row r="1278" spans="1:75" ht="13.5" customHeight="1">
      <c r="A1278" s="1" t="s">
        <v>2413</v>
      </c>
      <c r="B1278" s="2" t="s">
        <v>89</v>
      </c>
      <c r="C1278" s="2" t="s">
        <v>2414</v>
      </c>
      <c r="D1278" s="108" t="s">
        <v>2415</v>
      </c>
      <c r="E1278" s="103"/>
      <c r="F1278" s="2" t="s">
        <v>263</v>
      </c>
      <c r="G1278" s="38">
        <v>3</v>
      </c>
      <c r="H1278" s="70">
        <v>0</v>
      </c>
      <c r="I1278" s="38">
        <f t="shared" si="144"/>
        <v>0</v>
      </c>
      <c r="J1278" s="38">
        <v>0</v>
      </c>
      <c r="K1278" s="38">
        <f t="shared" si="145"/>
        <v>0</v>
      </c>
      <c r="L1278" s="71" t="s">
        <v>207</v>
      </c>
      <c r="Z1278" s="38">
        <f t="shared" si="146"/>
        <v>0</v>
      </c>
      <c r="AB1278" s="38">
        <f t="shared" si="147"/>
        <v>0</v>
      </c>
      <c r="AC1278" s="38">
        <f t="shared" si="148"/>
        <v>0</v>
      </c>
      <c r="AD1278" s="38">
        <f t="shared" si="149"/>
        <v>0</v>
      </c>
      <c r="AE1278" s="38">
        <f t="shared" si="150"/>
        <v>0</v>
      </c>
      <c r="AF1278" s="38">
        <f t="shared" si="151"/>
        <v>0</v>
      </c>
      <c r="AG1278" s="38">
        <f t="shared" si="152"/>
        <v>0</v>
      </c>
      <c r="AH1278" s="38">
        <f t="shared" si="153"/>
        <v>0</v>
      </c>
      <c r="AI1278" s="50" t="s">
        <v>89</v>
      </c>
      <c r="AJ1278" s="38">
        <f t="shared" si="154"/>
        <v>0</v>
      </c>
      <c r="AK1278" s="38">
        <f t="shared" si="155"/>
        <v>0</v>
      </c>
      <c r="AL1278" s="38">
        <f t="shared" si="156"/>
        <v>0</v>
      </c>
      <c r="AN1278" s="38">
        <v>21</v>
      </c>
      <c r="AO1278" s="38">
        <f t="shared" si="157"/>
        <v>0</v>
      </c>
      <c r="AP1278" s="38">
        <f t="shared" si="158"/>
        <v>0</v>
      </c>
      <c r="AQ1278" s="72" t="s">
        <v>169</v>
      </c>
      <c r="AV1278" s="38">
        <f t="shared" si="159"/>
        <v>0</v>
      </c>
      <c r="AW1278" s="38">
        <f t="shared" si="160"/>
        <v>0</v>
      </c>
      <c r="AX1278" s="38">
        <f t="shared" si="161"/>
        <v>0</v>
      </c>
      <c r="AY1278" s="72" t="s">
        <v>1509</v>
      </c>
      <c r="AZ1278" s="72" t="s">
        <v>2405</v>
      </c>
      <c r="BA1278" s="50" t="s">
        <v>2301</v>
      </c>
      <c r="BC1278" s="38">
        <f t="shared" si="162"/>
        <v>0</v>
      </c>
      <c r="BD1278" s="38">
        <f t="shared" si="163"/>
        <v>0</v>
      </c>
      <c r="BE1278" s="38">
        <v>0</v>
      </c>
      <c r="BF1278" s="38">
        <f t="shared" si="164"/>
        <v>0</v>
      </c>
      <c r="BH1278" s="38">
        <f t="shared" si="165"/>
        <v>0</v>
      </c>
      <c r="BI1278" s="38">
        <f t="shared" si="166"/>
        <v>0</v>
      </c>
      <c r="BJ1278" s="38">
        <f t="shared" si="167"/>
        <v>0</v>
      </c>
      <c r="BK1278" s="38"/>
      <c r="BL1278" s="38">
        <v>783</v>
      </c>
      <c r="BW1278" s="38">
        <v>21</v>
      </c>
    </row>
    <row r="1279" spans="1:75" ht="13.5" customHeight="1">
      <c r="A1279" s="1" t="s">
        <v>2416</v>
      </c>
      <c r="B1279" s="2" t="s">
        <v>89</v>
      </c>
      <c r="C1279" s="2" t="s">
        <v>2250</v>
      </c>
      <c r="D1279" s="108" t="s">
        <v>2251</v>
      </c>
      <c r="E1279" s="103"/>
      <c r="F1279" s="2" t="s">
        <v>214</v>
      </c>
      <c r="G1279" s="38">
        <v>232</v>
      </c>
      <c r="H1279" s="70">
        <v>0</v>
      </c>
      <c r="I1279" s="38">
        <f t="shared" si="144"/>
        <v>0</v>
      </c>
      <c r="J1279" s="38">
        <v>0</v>
      </c>
      <c r="K1279" s="38">
        <f t="shared" si="145"/>
        <v>0</v>
      </c>
      <c r="L1279" s="71" t="s">
        <v>207</v>
      </c>
      <c r="Z1279" s="38">
        <f t="shared" si="146"/>
        <v>0</v>
      </c>
      <c r="AB1279" s="38">
        <f t="shared" si="147"/>
        <v>0</v>
      </c>
      <c r="AC1279" s="38">
        <f t="shared" si="148"/>
        <v>0</v>
      </c>
      <c r="AD1279" s="38">
        <f t="shared" si="149"/>
        <v>0</v>
      </c>
      <c r="AE1279" s="38">
        <f t="shared" si="150"/>
        <v>0</v>
      </c>
      <c r="AF1279" s="38">
        <f t="shared" si="151"/>
        <v>0</v>
      </c>
      <c r="AG1279" s="38">
        <f t="shared" si="152"/>
        <v>0</v>
      </c>
      <c r="AH1279" s="38">
        <f t="shared" si="153"/>
        <v>0</v>
      </c>
      <c r="AI1279" s="50" t="s">
        <v>89</v>
      </c>
      <c r="AJ1279" s="38">
        <f t="shared" si="154"/>
        <v>0</v>
      </c>
      <c r="AK1279" s="38">
        <f t="shared" si="155"/>
        <v>0</v>
      </c>
      <c r="AL1279" s="38">
        <f t="shared" si="156"/>
        <v>0</v>
      </c>
      <c r="AN1279" s="38">
        <v>21</v>
      </c>
      <c r="AO1279" s="38">
        <f t="shared" si="157"/>
        <v>0</v>
      </c>
      <c r="AP1279" s="38">
        <f t="shared" si="158"/>
        <v>0</v>
      </c>
      <c r="AQ1279" s="72" t="s">
        <v>169</v>
      </c>
      <c r="AV1279" s="38">
        <f t="shared" si="159"/>
        <v>0</v>
      </c>
      <c r="AW1279" s="38">
        <f t="shared" si="160"/>
        <v>0</v>
      </c>
      <c r="AX1279" s="38">
        <f t="shared" si="161"/>
        <v>0</v>
      </c>
      <c r="AY1279" s="72" t="s">
        <v>1509</v>
      </c>
      <c r="AZ1279" s="72" t="s">
        <v>2405</v>
      </c>
      <c r="BA1279" s="50" t="s">
        <v>2301</v>
      </c>
      <c r="BC1279" s="38">
        <f t="shared" si="162"/>
        <v>0</v>
      </c>
      <c r="BD1279" s="38">
        <f t="shared" si="163"/>
        <v>0</v>
      </c>
      <c r="BE1279" s="38">
        <v>0</v>
      </c>
      <c r="BF1279" s="38">
        <f t="shared" si="164"/>
        <v>0</v>
      </c>
      <c r="BH1279" s="38">
        <f t="shared" si="165"/>
        <v>0</v>
      </c>
      <c r="BI1279" s="38">
        <f t="shared" si="166"/>
        <v>0</v>
      </c>
      <c r="BJ1279" s="38">
        <f t="shared" si="167"/>
        <v>0</v>
      </c>
      <c r="BK1279" s="38"/>
      <c r="BL1279" s="38">
        <v>783</v>
      </c>
      <c r="BW1279" s="38">
        <v>21</v>
      </c>
    </row>
    <row r="1280" spans="1:75" ht="13.5" customHeight="1">
      <c r="A1280" s="1" t="s">
        <v>2417</v>
      </c>
      <c r="B1280" s="2" t="s">
        <v>89</v>
      </c>
      <c r="C1280" s="2" t="s">
        <v>2253</v>
      </c>
      <c r="D1280" s="108" t="s">
        <v>2254</v>
      </c>
      <c r="E1280" s="103"/>
      <c r="F1280" s="2" t="s">
        <v>214</v>
      </c>
      <c r="G1280" s="38">
        <v>232</v>
      </c>
      <c r="H1280" s="70">
        <v>0</v>
      </c>
      <c r="I1280" s="38">
        <f t="shared" si="144"/>
        <v>0</v>
      </c>
      <c r="J1280" s="38">
        <v>0</v>
      </c>
      <c r="K1280" s="38">
        <f t="shared" si="145"/>
        <v>0</v>
      </c>
      <c r="L1280" s="71" t="s">
        <v>207</v>
      </c>
      <c r="Z1280" s="38">
        <f t="shared" si="146"/>
        <v>0</v>
      </c>
      <c r="AB1280" s="38">
        <f t="shared" si="147"/>
        <v>0</v>
      </c>
      <c r="AC1280" s="38">
        <f t="shared" si="148"/>
        <v>0</v>
      </c>
      <c r="AD1280" s="38">
        <f t="shared" si="149"/>
        <v>0</v>
      </c>
      <c r="AE1280" s="38">
        <f t="shared" si="150"/>
        <v>0</v>
      </c>
      <c r="AF1280" s="38">
        <f t="shared" si="151"/>
        <v>0</v>
      </c>
      <c r="AG1280" s="38">
        <f t="shared" si="152"/>
        <v>0</v>
      </c>
      <c r="AH1280" s="38">
        <f t="shared" si="153"/>
        <v>0</v>
      </c>
      <c r="AI1280" s="50" t="s">
        <v>89</v>
      </c>
      <c r="AJ1280" s="38">
        <f t="shared" si="154"/>
        <v>0</v>
      </c>
      <c r="AK1280" s="38">
        <f t="shared" si="155"/>
        <v>0</v>
      </c>
      <c r="AL1280" s="38">
        <f t="shared" si="156"/>
        <v>0</v>
      </c>
      <c r="AN1280" s="38">
        <v>21</v>
      </c>
      <c r="AO1280" s="38">
        <f t="shared" si="157"/>
        <v>0</v>
      </c>
      <c r="AP1280" s="38">
        <f t="shared" si="158"/>
        <v>0</v>
      </c>
      <c r="AQ1280" s="72" t="s">
        <v>169</v>
      </c>
      <c r="AV1280" s="38">
        <f t="shared" si="159"/>
        <v>0</v>
      </c>
      <c r="AW1280" s="38">
        <f t="shared" si="160"/>
        <v>0</v>
      </c>
      <c r="AX1280" s="38">
        <f t="shared" si="161"/>
        <v>0</v>
      </c>
      <c r="AY1280" s="72" t="s">
        <v>1509</v>
      </c>
      <c r="AZ1280" s="72" t="s">
        <v>2405</v>
      </c>
      <c r="BA1280" s="50" t="s">
        <v>2301</v>
      </c>
      <c r="BC1280" s="38">
        <f t="shared" si="162"/>
        <v>0</v>
      </c>
      <c r="BD1280" s="38">
        <f t="shared" si="163"/>
        <v>0</v>
      </c>
      <c r="BE1280" s="38">
        <v>0</v>
      </c>
      <c r="BF1280" s="38">
        <f t="shared" si="164"/>
        <v>0</v>
      </c>
      <c r="BH1280" s="38">
        <f t="shared" si="165"/>
        <v>0</v>
      </c>
      <c r="BI1280" s="38">
        <f t="shared" si="166"/>
        <v>0</v>
      </c>
      <c r="BJ1280" s="38">
        <f t="shared" si="167"/>
        <v>0</v>
      </c>
      <c r="BK1280" s="38"/>
      <c r="BL1280" s="38">
        <v>783</v>
      </c>
      <c r="BW1280" s="38">
        <v>21</v>
      </c>
    </row>
    <row r="1281" spans="1:75" ht="13.5" customHeight="1">
      <c r="A1281" s="1" t="s">
        <v>2418</v>
      </c>
      <c r="B1281" s="2" t="s">
        <v>89</v>
      </c>
      <c r="C1281" s="2" t="s">
        <v>2419</v>
      </c>
      <c r="D1281" s="108" t="s">
        <v>2420</v>
      </c>
      <c r="E1281" s="103"/>
      <c r="F1281" s="2" t="s">
        <v>263</v>
      </c>
      <c r="G1281" s="38">
        <v>3</v>
      </c>
      <c r="H1281" s="70">
        <v>0</v>
      </c>
      <c r="I1281" s="38">
        <f t="shared" si="144"/>
        <v>0</v>
      </c>
      <c r="J1281" s="38">
        <v>0</v>
      </c>
      <c r="K1281" s="38">
        <f t="shared" si="145"/>
        <v>0</v>
      </c>
      <c r="L1281" s="71" t="s">
        <v>207</v>
      </c>
      <c r="Z1281" s="38">
        <f t="shared" si="146"/>
        <v>0</v>
      </c>
      <c r="AB1281" s="38">
        <f t="shared" si="147"/>
        <v>0</v>
      </c>
      <c r="AC1281" s="38">
        <f t="shared" si="148"/>
        <v>0</v>
      </c>
      <c r="AD1281" s="38">
        <f t="shared" si="149"/>
        <v>0</v>
      </c>
      <c r="AE1281" s="38">
        <f t="shared" si="150"/>
        <v>0</v>
      </c>
      <c r="AF1281" s="38">
        <f t="shared" si="151"/>
        <v>0</v>
      </c>
      <c r="AG1281" s="38">
        <f t="shared" si="152"/>
        <v>0</v>
      </c>
      <c r="AH1281" s="38">
        <f t="shared" si="153"/>
        <v>0</v>
      </c>
      <c r="AI1281" s="50" t="s">
        <v>89</v>
      </c>
      <c r="AJ1281" s="38">
        <f t="shared" si="154"/>
        <v>0</v>
      </c>
      <c r="AK1281" s="38">
        <f t="shared" si="155"/>
        <v>0</v>
      </c>
      <c r="AL1281" s="38">
        <f t="shared" si="156"/>
        <v>0</v>
      </c>
      <c r="AN1281" s="38">
        <v>21</v>
      </c>
      <c r="AO1281" s="38">
        <f t="shared" si="157"/>
        <v>0</v>
      </c>
      <c r="AP1281" s="38">
        <f t="shared" si="158"/>
        <v>0</v>
      </c>
      <c r="AQ1281" s="72" t="s">
        <v>169</v>
      </c>
      <c r="AV1281" s="38">
        <f t="shared" si="159"/>
        <v>0</v>
      </c>
      <c r="AW1281" s="38">
        <f t="shared" si="160"/>
        <v>0</v>
      </c>
      <c r="AX1281" s="38">
        <f t="shared" si="161"/>
        <v>0</v>
      </c>
      <c r="AY1281" s="72" t="s">
        <v>1509</v>
      </c>
      <c r="AZ1281" s="72" t="s">
        <v>2405</v>
      </c>
      <c r="BA1281" s="50" t="s">
        <v>2301</v>
      </c>
      <c r="BC1281" s="38">
        <f t="shared" si="162"/>
        <v>0</v>
      </c>
      <c r="BD1281" s="38">
        <f t="shared" si="163"/>
        <v>0</v>
      </c>
      <c r="BE1281" s="38">
        <v>0</v>
      </c>
      <c r="BF1281" s="38">
        <f t="shared" si="164"/>
        <v>0</v>
      </c>
      <c r="BH1281" s="38">
        <f t="shared" si="165"/>
        <v>0</v>
      </c>
      <c r="BI1281" s="38">
        <f t="shared" si="166"/>
        <v>0</v>
      </c>
      <c r="BJ1281" s="38">
        <f t="shared" si="167"/>
        <v>0</v>
      </c>
      <c r="BK1281" s="38"/>
      <c r="BL1281" s="38">
        <v>783</v>
      </c>
      <c r="BW1281" s="38">
        <v>21</v>
      </c>
    </row>
    <row r="1282" spans="1:75" ht="13.5" customHeight="1">
      <c r="A1282" s="1" t="s">
        <v>2421</v>
      </c>
      <c r="B1282" s="2" t="s">
        <v>89</v>
      </c>
      <c r="C1282" s="2" t="s">
        <v>2256</v>
      </c>
      <c r="D1282" s="108" t="s">
        <v>2257</v>
      </c>
      <c r="E1282" s="103"/>
      <c r="F1282" s="2" t="s">
        <v>214</v>
      </c>
      <c r="G1282" s="38">
        <v>232</v>
      </c>
      <c r="H1282" s="70">
        <v>0</v>
      </c>
      <c r="I1282" s="38">
        <f t="shared" si="144"/>
        <v>0</v>
      </c>
      <c r="J1282" s="38">
        <v>0</v>
      </c>
      <c r="K1282" s="38">
        <f t="shared" si="145"/>
        <v>0</v>
      </c>
      <c r="L1282" s="71" t="s">
        <v>207</v>
      </c>
      <c r="Z1282" s="38">
        <f t="shared" si="146"/>
        <v>0</v>
      </c>
      <c r="AB1282" s="38">
        <f t="shared" si="147"/>
        <v>0</v>
      </c>
      <c r="AC1282" s="38">
        <f t="shared" si="148"/>
        <v>0</v>
      </c>
      <c r="AD1282" s="38">
        <f t="shared" si="149"/>
        <v>0</v>
      </c>
      <c r="AE1282" s="38">
        <f t="shared" si="150"/>
        <v>0</v>
      </c>
      <c r="AF1282" s="38">
        <f t="shared" si="151"/>
        <v>0</v>
      </c>
      <c r="AG1282" s="38">
        <f t="shared" si="152"/>
        <v>0</v>
      </c>
      <c r="AH1282" s="38">
        <f t="shared" si="153"/>
        <v>0</v>
      </c>
      <c r="AI1282" s="50" t="s">
        <v>89</v>
      </c>
      <c r="AJ1282" s="38">
        <f t="shared" si="154"/>
        <v>0</v>
      </c>
      <c r="AK1282" s="38">
        <f t="shared" si="155"/>
        <v>0</v>
      </c>
      <c r="AL1282" s="38">
        <f t="shared" si="156"/>
        <v>0</v>
      </c>
      <c r="AN1282" s="38">
        <v>21</v>
      </c>
      <c r="AO1282" s="38">
        <f t="shared" si="157"/>
        <v>0</v>
      </c>
      <c r="AP1282" s="38">
        <f t="shared" si="158"/>
        <v>0</v>
      </c>
      <c r="AQ1282" s="72" t="s">
        <v>169</v>
      </c>
      <c r="AV1282" s="38">
        <f t="shared" si="159"/>
        <v>0</v>
      </c>
      <c r="AW1282" s="38">
        <f t="shared" si="160"/>
        <v>0</v>
      </c>
      <c r="AX1282" s="38">
        <f t="shared" si="161"/>
        <v>0</v>
      </c>
      <c r="AY1282" s="72" t="s">
        <v>1509</v>
      </c>
      <c r="AZ1282" s="72" t="s">
        <v>2405</v>
      </c>
      <c r="BA1282" s="50" t="s">
        <v>2301</v>
      </c>
      <c r="BC1282" s="38">
        <f t="shared" si="162"/>
        <v>0</v>
      </c>
      <c r="BD1282" s="38">
        <f t="shared" si="163"/>
        <v>0</v>
      </c>
      <c r="BE1282" s="38">
        <v>0</v>
      </c>
      <c r="BF1282" s="38">
        <f t="shared" si="164"/>
        <v>0</v>
      </c>
      <c r="BH1282" s="38">
        <f t="shared" si="165"/>
        <v>0</v>
      </c>
      <c r="BI1282" s="38">
        <f t="shared" si="166"/>
        <v>0</v>
      </c>
      <c r="BJ1282" s="38">
        <f t="shared" si="167"/>
        <v>0</v>
      </c>
      <c r="BK1282" s="38"/>
      <c r="BL1282" s="38">
        <v>783</v>
      </c>
      <c r="BW1282" s="38">
        <v>21</v>
      </c>
    </row>
    <row r="1283" spans="1:75" ht="13.5" customHeight="1">
      <c r="A1283" s="1" t="s">
        <v>2422</v>
      </c>
      <c r="B1283" s="2" t="s">
        <v>89</v>
      </c>
      <c r="C1283" s="2" t="s">
        <v>2423</v>
      </c>
      <c r="D1283" s="108" t="s">
        <v>2424</v>
      </c>
      <c r="E1283" s="103"/>
      <c r="F1283" s="2" t="s">
        <v>263</v>
      </c>
      <c r="G1283" s="38">
        <v>30</v>
      </c>
      <c r="H1283" s="70">
        <v>0</v>
      </c>
      <c r="I1283" s="38">
        <f t="shared" si="144"/>
        <v>0</v>
      </c>
      <c r="J1283" s="38">
        <v>0</v>
      </c>
      <c r="K1283" s="38">
        <f t="shared" si="145"/>
        <v>0</v>
      </c>
      <c r="L1283" s="71" t="s">
        <v>207</v>
      </c>
      <c r="Z1283" s="38">
        <f t="shared" si="146"/>
        <v>0</v>
      </c>
      <c r="AB1283" s="38">
        <f t="shared" si="147"/>
        <v>0</v>
      </c>
      <c r="AC1283" s="38">
        <f t="shared" si="148"/>
        <v>0</v>
      </c>
      <c r="AD1283" s="38">
        <f t="shared" si="149"/>
        <v>0</v>
      </c>
      <c r="AE1283" s="38">
        <f t="shared" si="150"/>
        <v>0</v>
      </c>
      <c r="AF1283" s="38">
        <f t="shared" si="151"/>
        <v>0</v>
      </c>
      <c r="AG1283" s="38">
        <f t="shared" si="152"/>
        <v>0</v>
      </c>
      <c r="AH1283" s="38">
        <f t="shared" si="153"/>
        <v>0</v>
      </c>
      <c r="AI1283" s="50" t="s">
        <v>89</v>
      </c>
      <c r="AJ1283" s="38">
        <f t="shared" si="154"/>
        <v>0</v>
      </c>
      <c r="AK1283" s="38">
        <f t="shared" si="155"/>
        <v>0</v>
      </c>
      <c r="AL1283" s="38">
        <f t="shared" si="156"/>
        <v>0</v>
      </c>
      <c r="AN1283" s="38">
        <v>21</v>
      </c>
      <c r="AO1283" s="38">
        <f t="shared" si="157"/>
        <v>0</v>
      </c>
      <c r="AP1283" s="38">
        <f t="shared" si="158"/>
        <v>0</v>
      </c>
      <c r="AQ1283" s="72" t="s">
        <v>169</v>
      </c>
      <c r="AV1283" s="38">
        <f t="shared" si="159"/>
        <v>0</v>
      </c>
      <c r="AW1283" s="38">
        <f t="shared" si="160"/>
        <v>0</v>
      </c>
      <c r="AX1283" s="38">
        <f t="shared" si="161"/>
        <v>0</v>
      </c>
      <c r="AY1283" s="72" t="s">
        <v>1509</v>
      </c>
      <c r="AZ1283" s="72" t="s">
        <v>2405</v>
      </c>
      <c r="BA1283" s="50" t="s">
        <v>2301</v>
      </c>
      <c r="BC1283" s="38">
        <f t="shared" si="162"/>
        <v>0</v>
      </c>
      <c r="BD1283" s="38">
        <f t="shared" si="163"/>
        <v>0</v>
      </c>
      <c r="BE1283" s="38">
        <v>0</v>
      </c>
      <c r="BF1283" s="38">
        <f t="shared" si="164"/>
        <v>0</v>
      </c>
      <c r="BH1283" s="38">
        <f t="shared" si="165"/>
        <v>0</v>
      </c>
      <c r="BI1283" s="38">
        <f t="shared" si="166"/>
        <v>0</v>
      </c>
      <c r="BJ1283" s="38">
        <f t="shared" si="167"/>
        <v>0</v>
      </c>
      <c r="BK1283" s="38"/>
      <c r="BL1283" s="38">
        <v>783</v>
      </c>
      <c r="BW1283" s="38">
        <v>21</v>
      </c>
    </row>
    <row r="1284" spans="1:75" ht="13.5" customHeight="1">
      <c r="A1284" s="1" t="s">
        <v>2425</v>
      </c>
      <c r="B1284" s="2" t="s">
        <v>89</v>
      </c>
      <c r="C1284" s="2" t="s">
        <v>2426</v>
      </c>
      <c r="D1284" s="108" t="s">
        <v>2427</v>
      </c>
      <c r="E1284" s="103"/>
      <c r="F1284" s="2" t="s">
        <v>263</v>
      </c>
      <c r="G1284" s="38">
        <v>30</v>
      </c>
      <c r="H1284" s="70">
        <v>0</v>
      </c>
      <c r="I1284" s="38">
        <f t="shared" si="144"/>
        <v>0</v>
      </c>
      <c r="J1284" s="38">
        <v>0</v>
      </c>
      <c r="K1284" s="38">
        <f t="shared" si="145"/>
        <v>0</v>
      </c>
      <c r="L1284" s="71" t="s">
        <v>207</v>
      </c>
      <c r="Z1284" s="38">
        <f t="shared" si="146"/>
        <v>0</v>
      </c>
      <c r="AB1284" s="38">
        <f t="shared" si="147"/>
        <v>0</v>
      </c>
      <c r="AC1284" s="38">
        <f t="shared" si="148"/>
        <v>0</v>
      </c>
      <c r="AD1284" s="38">
        <f t="shared" si="149"/>
        <v>0</v>
      </c>
      <c r="AE1284" s="38">
        <f t="shared" si="150"/>
        <v>0</v>
      </c>
      <c r="AF1284" s="38">
        <f t="shared" si="151"/>
        <v>0</v>
      </c>
      <c r="AG1284" s="38">
        <f t="shared" si="152"/>
        <v>0</v>
      </c>
      <c r="AH1284" s="38">
        <f t="shared" si="153"/>
        <v>0</v>
      </c>
      <c r="AI1284" s="50" t="s">
        <v>89</v>
      </c>
      <c r="AJ1284" s="38">
        <f t="shared" si="154"/>
        <v>0</v>
      </c>
      <c r="AK1284" s="38">
        <f t="shared" si="155"/>
        <v>0</v>
      </c>
      <c r="AL1284" s="38">
        <f t="shared" si="156"/>
        <v>0</v>
      </c>
      <c r="AN1284" s="38">
        <v>21</v>
      </c>
      <c r="AO1284" s="38">
        <f t="shared" si="157"/>
        <v>0</v>
      </c>
      <c r="AP1284" s="38">
        <f t="shared" si="158"/>
        <v>0</v>
      </c>
      <c r="AQ1284" s="72" t="s">
        <v>169</v>
      </c>
      <c r="AV1284" s="38">
        <f t="shared" si="159"/>
        <v>0</v>
      </c>
      <c r="AW1284" s="38">
        <f t="shared" si="160"/>
        <v>0</v>
      </c>
      <c r="AX1284" s="38">
        <f t="shared" si="161"/>
        <v>0</v>
      </c>
      <c r="AY1284" s="72" t="s">
        <v>1509</v>
      </c>
      <c r="AZ1284" s="72" t="s">
        <v>2405</v>
      </c>
      <c r="BA1284" s="50" t="s">
        <v>2301</v>
      </c>
      <c r="BC1284" s="38">
        <f t="shared" si="162"/>
        <v>0</v>
      </c>
      <c r="BD1284" s="38">
        <f t="shared" si="163"/>
        <v>0</v>
      </c>
      <c r="BE1284" s="38">
        <v>0</v>
      </c>
      <c r="BF1284" s="38">
        <f t="shared" si="164"/>
        <v>0</v>
      </c>
      <c r="BH1284" s="38">
        <f t="shared" si="165"/>
        <v>0</v>
      </c>
      <c r="BI1284" s="38">
        <f t="shared" si="166"/>
        <v>0</v>
      </c>
      <c r="BJ1284" s="38">
        <f t="shared" si="167"/>
        <v>0</v>
      </c>
      <c r="BK1284" s="38"/>
      <c r="BL1284" s="38">
        <v>783</v>
      </c>
      <c r="BW1284" s="38">
        <v>21</v>
      </c>
    </row>
    <row r="1285" spans="1:75" ht="13.5" customHeight="1">
      <c r="A1285" s="1" t="s">
        <v>2428</v>
      </c>
      <c r="B1285" s="2" t="s">
        <v>89</v>
      </c>
      <c r="C1285" s="2" t="s">
        <v>2429</v>
      </c>
      <c r="D1285" s="108" t="s">
        <v>2430</v>
      </c>
      <c r="E1285" s="103"/>
      <c r="F1285" s="2" t="s">
        <v>263</v>
      </c>
      <c r="G1285" s="38">
        <v>30</v>
      </c>
      <c r="H1285" s="70">
        <v>0</v>
      </c>
      <c r="I1285" s="38">
        <f t="shared" si="144"/>
        <v>0</v>
      </c>
      <c r="J1285" s="38">
        <v>0</v>
      </c>
      <c r="K1285" s="38">
        <f t="shared" si="145"/>
        <v>0</v>
      </c>
      <c r="L1285" s="71" t="s">
        <v>207</v>
      </c>
      <c r="Z1285" s="38">
        <f t="shared" si="146"/>
        <v>0</v>
      </c>
      <c r="AB1285" s="38">
        <f t="shared" si="147"/>
        <v>0</v>
      </c>
      <c r="AC1285" s="38">
        <f t="shared" si="148"/>
        <v>0</v>
      </c>
      <c r="AD1285" s="38">
        <f t="shared" si="149"/>
        <v>0</v>
      </c>
      <c r="AE1285" s="38">
        <f t="shared" si="150"/>
        <v>0</v>
      </c>
      <c r="AF1285" s="38">
        <f t="shared" si="151"/>
        <v>0</v>
      </c>
      <c r="AG1285" s="38">
        <f t="shared" si="152"/>
        <v>0</v>
      </c>
      <c r="AH1285" s="38">
        <f t="shared" si="153"/>
        <v>0</v>
      </c>
      <c r="AI1285" s="50" t="s">
        <v>89</v>
      </c>
      <c r="AJ1285" s="38">
        <f t="shared" si="154"/>
        <v>0</v>
      </c>
      <c r="AK1285" s="38">
        <f t="shared" si="155"/>
        <v>0</v>
      </c>
      <c r="AL1285" s="38">
        <f t="shared" si="156"/>
        <v>0</v>
      </c>
      <c r="AN1285" s="38">
        <v>21</v>
      </c>
      <c r="AO1285" s="38">
        <f t="shared" si="157"/>
        <v>0</v>
      </c>
      <c r="AP1285" s="38">
        <f t="shared" si="158"/>
        <v>0</v>
      </c>
      <c r="AQ1285" s="72" t="s">
        <v>169</v>
      </c>
      <c r="AV1285" s="38">
        <f t="shared" si="159"/>
        <v>0</v>
      </c>
      <c r="AW1285" s="38">
        <f t="shared" si="160"/>
        <v>0</v>
      </c>
      <c r="AX1285" s="38">
        <f t="shared" si="161"/>
        <v>0</v>
      </c>
      <c r="AY1285" s="72" t="s">
        <v>1509</v>
      </c>
      <c r="AZ1285" s="72" t="s">
        <v>2405</v>
      </c>
      <c r="BA1285" s="50" t="s">
        <v>2301</v>
      </c>
      <c r="BC1285" s="38">
        <f t="shared" si="162"/>
        <v>0</v>
      </c>
      <c r="BD1285" s="38">
        <f t="shared" si="163"/>
        <v>0</v>
      </c>
      <c r="BE1285" s="38">
        <v>0</v>
      </c>
      <c r="BF1285" s="38">
        <f t="shared" si="164"/>
        <v>0</v>
      </c>
      <c r="BH1285" s="38">
        <f t="shared" si="165"/>
        <v>0</v>
      </c>
      <c r="BI1285" s="38">
        <f t="shared" si="166"/>
        <v>0</v>
      </c>
      <c r="BJ1285" s="38">
        <f t="shared" si="167"/>
        <v>0</v>
      </c>
      <c r="BK1285" s="38"/>
      <c r="BL1285" s="38">
        <v>783</v>
      </c>
      <c r="BW1285" s="38">
        <v>21</v>
      </c>
    </row>
    <row r="1286" spans="1:47" ht="15">
      <c r="A1286" s="65" t="s">
        <v>4</v>
      </c>
      <c r="B1286" s="66" t="s">
        <v>89</v>
      </c>
      <c r="C1286" s="66" t="s">
        <v>2271</v>
      </c>
      <c r="D1286" s="192" t="s">
        <v>2272</v>
      </c>
      <c r="E1286" s="193"/>
      <c r="F1286" s="67" t="s">
        <v>78</v>
      </c>
      <c r="G1286" s="67" t="s">
        <v>78</v>
      </c>
      <c r="H1286" s="68" t="s">
        <v>78</v>
      </c>
      <c r="I1286" s="44">
        <f>SUM(I1287:I1288)</f>
        <v>0</v>
      </c>
      <c r="J1286" s="50" t="s">
        <v>4</v>
      </c>
      <c r="K1286" s="44">
        <f>SUM(K1287:K1288)</f>
        <v>0</v>
      </c>
      <c r="L1286" s="69" t="s">
        <v>4</v>
      </c>
      <c r="AI1286" s="50" t="s">
        <v>89</v>
      </c>
      <c r="AS1286" s="44">
        <f>SUM(AJ1287:AJ1288)</f>
        <v>0</v>
      </c>
      <c r="AT1286" s="44">
        <f>SUM(AK1287:AK1288)</f>
        <v>0</v>
      </c>
      <c r="AU1286" s="44">
        <f>SUM(AL1287:AL1288)</f>
        <v>0</v>
      </c>
    </row>
    <row r="1287" spans="1:75" ht="13.5" customHeight="1">
      <c r="A1287" s="1" t="s">
        <v>2431</v>
      </c>
      <c r="B1287" s="2" t="s">
        <v>89</v>
      </c>
      <c r="C1287" s="2" t="s">
        <v>2274</v>
      </c>
      <c r="D1287" s="108" t="s">
        <v>2275</v>
      </c>
      <c r="E1287" s="103"/>
      <c r="F1287" s="2" t="s">
        <v>1199</v>
      </c>
      <c r="G1287" s="38">
        <v>53.85</v>
      </c>
      <c r="H1287" s="70">
        <v>0</v>
      </c>
      <c r="I1287" s="38">
        <f>G1287*H1287</f>
        <v>0</v>
      </c>
      <c r="J1287" s="38">
        <v>0</v>
      </c>
      <c r="K1287" s="38">
        <f>G1287*J1287</f>
        <v>0</v>
      </c>
      <c r="L1287" s="71" t="s">
        <v>207</v>
      </c>
      <c r="Z1287" s="38">
        <f>IF(AQ1287="5",BJ1287,0)</f>
        <v>0</v>
      </c>
      <c r="AB1287" s="38">
        <f>IF(AQ1287="1",BH1287,0)</f>
        <v>0</v>
      </c>
      <c r="AC1287" s="38">
        <f>IF(AQ1287="1",BI1287,0)</f>
        <v>0</v>
      </c>
      <c r="AD1287" s="38">
        <f>IF(AQ1287="7",BH1287,0)</f>
        <v>0</v>
      </c>
      <c r="AE1287" s="38">
        <f>IF(AQ1287="7",BI1287,0)</f>
        <v>0</v>
      </c>
      <c r="AF1287" s="38">
        <f>IF(AQ1287="2",BH1287,0)</f>
        <v>0</v>
      </c>
      <c r="AG1287" s="38">
        <f>IF(AQ1287="2",BI1287,0)</f>
        <v>0</v>
      </c>
      <c r="AH1287" s="38">
        <f>IF(AQ1287="0",BJ1287,0)</f>
        <v>0</v>
      </c>
      <c r="AI1287" s="50" t="s">
        <v>89</v>
      </c>
      <c r="AJ1287" s="38">
        <f>IF(AN1287=0,I1287,0)</f>
        <v>0</v>
      </c>
      <c r="AK1287" s="38">
        <f>IF(AN1287=12,I1287,0)</f>
        <v>0</v>
      </c>
      <c r="AL1287" s="38">
        <f>IF(AN1287=21,I1287,0)</f>
        <v>0</v>
      </c>
      <c r="AN1287" s="38">
        <v>21</v>
      </c>
      <c r="AO1287" s="38">
        <f>H1287*0</f>
        <v>0</v>
      </c>
      <c r="AP1287" s="38">
        <f>H1287*(1-0)</f>
        <v>0</v>
      </c>
      <c r="AQ1287" s="72" t="s">
        <v>143</v>
      </c>
      <c r="AV1287" s="38">
        <f>AW1287+AX1287</f>
        <v>0</v>
      </c>
      <c r="AW1287" s="38">
        <f>G1287*AO1287</f>
        <v>0</v>
      </c>
      <c r="AX1287" s="38">
        <f>G1287*AP1287</f>
        <v>0</v>
      </c>
      <c r="AY1287" s="72" t="s">
        <v>2276</v>
      </c>
      <c r="AZ1287" s="72" t="s">
        <v>2432</v>
      </c>
      <c r="BA1287" s="50" t="s">
        <v>2301</v>
      </c>
      <c r="BC1287" s="38">
        <f>AW1287+AX1287</f>
        <v>0</v>
      </c>
      <c r="BD1287" s="38">
        <f>H1287/(100-BE1287)*100</f>
        <v>0</v>
      </c>
      <c r="BE1287" s="38">
        <v>0</v>
      </c>
      <c r="BF1287" s="38">
        <f>K1287</f>
        <v>0</v>
      </c>
      <c r="BH1287" s="38">
        <f>G1287*AO1287</f>
        <v>0</v>
      </c>
      <c r="BI1287" s="38">
        <f>G1287*AP1287</f>
        <v>0</v>
      </c>
      <c r="BJ1287" s="38">
        <f>G1287*H1287</f>
        <v>0</v>
      </c>
      <c r="BK1287" s="38"/>
      <c r="BL1287" s="38"/>
      <c r="BW1287" s="38">
        <v>21</v>
      </c>
    </row>
    <row r="1288" spans="1:75" ht="13.5" customHeight="1">
      <c r="A1288" s="78" t="s">
        <v>2433</v>
      </c>
      <c r="B1288" s="79" t="s">
        <v>89</v>
      </c>
      <c r="C1288" s="79" t="s">
        <v>2279</v>
      </c>
      <c r="D1288" s="198" t="s">
        <v>2280</v>
      </c>
      <c r="E1288" s="199"/>
      <c r="F1288" s="79" t="s">
        <v>199</v>
      </c>
      <c r="G1288" s="80">
        <v>20</v>
      </c>
      <c r="H1288" s="81">
        <v>0</v>
      </c>
      <c r="I1288" s="80">
        <f>G1288*H1288</f>
        <v>0</v>
      </c>
      <c r="J1288" s="80">
        <v>0</v>
      </c>
      <c r="K1288" s="80">
        <f>G1288*J1288</f>
        <v>0</v>
      </c>
      <c r="L1288" s="82" t="s">
        <v>207</v>
      </c>
      <c r="Z1288" s="38">
        <f>IF(AQ1288="5",BJ1288,0)</f>
        <v>0</v>
      </c>
      <c r="AB1288" s="38">
        <f>IF(AQ1288="1",BH1288,0)</f>
        <v>0</v>
      </c>
      <c r="AC1288" s="38">
        <f>IF(AQ1288="1",BI1288,0)</f>
        <v>0</v>
      </c>
      <c r="AD1288" s="38">
        <f>IF(AQ1288="7",BH1288,0)</f>
        <v>0</v>
      </c>
      <c r="AE1288" s="38">
        <f>IF(AQ1288="7",BI1288,0)</f>
        <v>0</v>
      </c>
      <c r="AF1288" s="38">
        <f>IF(AQ1288="2",BH1288,0)</f>
        <v>0</v>
      </c>
      <c r="AG1288" s="38">
        <f>IF(AQ1288="2",BI1288,0)</f>
        <v>0</v>
      </c>
      <c r="AH1288" s="38">
        <f>IF(AQ1288="0",BJ1288,0)</f>
        <v>0</v>
      </c>
      <c r="AI1288" s="50" t="s">
        <v>89</v>
      </c>
      <c r="AJ1288" s="80">
        <f>IF(AN1288=0,I1288,0)</f>
        <v>0</v>
      </c>
      <c r="AK1288" s="80">
        <f>IF(AN1288=12,I1288,0)</f>
        <v>0</v>
      </c>
      <c r="AL1288" s="80">
        <f>IF(AN1288=21,I1288,0)</f>
        <v>0</v>
      </c>
      <c r="AN1288" s="38">
        <v>21</v>
      </c>
      <c r="AO1288" s="38">
        <f>H1288*1</f>
        <v>0</v>
      </c>
      <c r="AP1288" s="38">
        <f>H1288*(1-1)</f>
        <v>0</v>
      </c>
      <c r="AQ1288" s="83" t="s">
        <v>132</v>
      </c>
      <c r="AV1288" s="38">
        <f>AW1288+AX1288</f>
        <v>0</v>
      </c>
      <c r="AW1288" s="38">
        <f>G1288*AO1288</f>
        <v>0</v>
      </c>
      <c r="AX1288" s="38">
        <f>G1288*AP1288</f>
        <v>0</v>
      </c>
      <c r="AY1288" s="72" t="s">
        <v>2276</v>
      </c>
      <c r="AZ1288" s="72" t="s">
        <v>2432</v>
      </c>
      <c r="BA1288" s="50" t="s">
        <v>2301</v>
      </c>
      <c r="BC1288" s="38">
        <f>AW1288+AX1288</f>
        <v>0</v>
      </c>
      <c r="BD1288" s="38">
        <f>H1288/(100-BE1288)*100</f>
        <v>0</v>
      </c>
      <c r="BE1288" s="38">
        <v>0</v>
      </c>
      <c r="BF1288" s="38">
        <f>K1288</f>
        <v>0</v>
      </c>
      <c r="BH1288" s="80">
        <f>G1288*AO1288</f>
        <v>0</v>
      </c>
      <c r="BI1288" s="80">
        <f>G1288*AP1288</f>
        <v>0</v>
      </c>
      <c r="BJ1288" s="80">
        <f>G1288*H1288</f>
        <v>0</v>
      </c>
      <c r="BK1288" s="80"/>
      <c r="BL1288" s="38"/>
      <c r="BW1288" s="38">
        <v>21</v>
      </c>
    </row>
    <row r="1289" spans="1:47" ht="15">
      <c r="A1289" s="65" t="s">
        <v>4</v>
      </c>
      <c r="B1289" s="66" t="s">
        <v>89</v>
      </c>
      <c r="C1289" s="66" t="s">
        <v>2281</v>
      </c>
      <c r="D1289" s="192" t="s">
        <v>2434</v>
      </c>
      <c r="E1289" s="193"/>
      <c r="F1289" s="67" t="s">
        <v>78</v>
      </c>
      <c r="G1289" s="67" t="s">
        <v>78</v>
      </c>
      <c r="H1289" s="68" t="s">
        <v>78</v>
      </c>
      <c r="I1289" s="44">
        <f>SUM(I1290:I1293)</f>
        <v>0</v>
      </c>
      <c r="J1289" s="50" t="s">
        <v>4</v>
      </c>
      <c r="K1289" s="44">
        <f>SUM(K1290:K1293)</f>
        <v>0</v>
      </c>
      <c r="L1289" s="69" t="s">
        <v>4</v>
      </c>
      <c r="AI1289" s="50" t="s">
        <v>89</v>
      </c>
      <c r="AS1289" s="44">
        <f>SUM(AJ1290:AJ1293)</f>
        <v>0</v>
      </c>
      <c r="AT1289" s="44">
        <f>SUM(AK1290:AK1293)</f>
        <v>0</v>
      </c>
      <c r="AU1289" s="44">
        <f>SUM(AL1290:AL1293)</f>
        <v>0</v>
      </c>
    </row>
    <row r="1290" spans="1:75" ht="27" customHeight="1">
      <c r="A1290" s="1" t="s">
        <v>2435</v>
      </c>
      <c r="B1290" s="2" t="s">
        <v>89</v>
      </c>
      <c r="C1290" s="2" t="s">
        <v>2436</v>
      </c>
      <c r="D1290" s="108" t="s">
        <v>2437</v>
      </c>
      <c r="E1290" s="103"/>
      <c r="F1290" s="2" t="s">
        <v>2286</v>
      </c>
      <c r="G1290" s="38">
        <v>32</v>
      </c>
      <c r="H1290" s="70">
        <v>0</v>
      </c>
      <c r="I1290" s="38">
        <f>G1290*H1290</f>
        <v>0</v>
      </c>
      <c r="J1290" s="38">
        <v>0</v>
      </c>
      <c r="K1290" s="38">
        <f>G1290*J1290</f>
        <v>0</v>
      </c>
      <c r="L1290" s="71" t="s">
        <v>207</v>
      </c>
      <c r="Z1290" s="38">
        <f>IF(AQ1290="5",BJ1290,0)</f>
        <v>0</v>
      </c>
      <c r="AB1290" s="38">
        <f>IF(AQ1290="1",BH1290,0)</f>
        <v>0</v>
      </c>
      <c r="AC1290" s="38">
        <f>IF(AQ1290="1",BI1290,0)</f>
        <v>0</v>
      </c>
      <c r="AD1290" s="38">
        <f>IF(AQ1290="7",BH1290,0)</f>
        <v>0</v>
      </c>
      <c r="AE1290" s="38">
        <f>IF(AQ1290="7",BI1290,0)</f>
        <v>0</v>
      </c>
      <c r="AF1290" s="38">
        <f>IF(AQ1290="2",BH1290,0)</f>
        <v>0</v>
      </c>
      <c r="AG1290" s="38">
        <f>IF(AQ1290="2",BI1290,0)</f>
        <v>0</v>
      </c>
      <c r="AH1290" s="38">
        <f>IF(AQ1290="0",BJ1290,0)</f>
        <v>0</v>
      </c>
      <c r="AI1290" s="50" t="s">
        <v>89</v>
      </c>
      <c r="AJ1290" s="38">
        <f>IF(AN1290=0,I1290,0)</f>
        <v>0</v>
      </c>
      <c r="AK1290" s="38">
        <f>IF(AN1290=12,I1290,0)</f>
        <v>0</v>
      </c>
      <c r="AL1290" s="38">
        <f>IF(AN1290=21,I1290,0)</f>
        <v>0</v>
      </c>
      <c r="AN1290" s="38">
        <v>21</v>
      </c>
      <c r="AO1290" s="38">
        <f>H1290*0</f>
        <v>0</v>
      </c>
      <c r="AP1290" s="38">
        <f>H1290*(1-0)</f>
        <v>0</v>
      </c>
      <c r="AQ1290" s="72" t="s">
        <v>132</v>
      </c>
      <c r="AV1290" s="38">
        <f>AW1290+AX1290</f>
        <v>0</v>
      </c>
      <c r="AW1290" s="38">
        <f>G1290*AO1290</f>
        <v>0</v>
      </c>
      <c r="AX1290" s="38">
        <f>G1290*AP1290</f>
        <v>0</v>
      </c>
      <c r="AY1290" s="72" t="s">
        <v>2287</v>
      </c>
      <c r="AZ1290" s="72" t="s">
        <v>2432</v>
      </c>
      <c r="BA1290" s="50" t="s">
        <v>2301</v>
      </c>
      <c r="BC1290" s="38">
        <f>AW1290+AX1290</f>
        <v>0</v>
      </c>
      <c r="BD1290" s="38">
        <f>H1290/(100-BE1290)*100</f>
        <v>0</v>
      </c>
      <c r="BE1290" s="38">
        <v>0</v>
      </c>
      <c r="BF1290" s="38">
        <f>K1290</f>
        <v>0</v>
      </c>
      <c r="BH1290" s="38">
        <f>G1290*AO1290</f>
        <v>0</v>
      </c>
      <c r="BI1290" s="38">
        <f>G1290*AP1290</f>
        <v>0</v>
      </c>
      <c r="BJ1290" s="38">
        <f>G1290*H1290</f>
        <v>0</v>
      </c>
      <c r="BK1290" s="38"/>
      <c r="BL1290" s="38"/>
      <c r="BW1290" s="38">
        <v>21</v>
      </c>
    </row>
    <row r="1291" spans="1:75" ht="13.5" customHeight="1">
      <c r="A1291" s="1" t="s">
        <v>2438</v>
      </c>
      <c r="B1291" s="2" t="s">
        <v>89</v>
      </c>
      <c r="C1291" s="2" t="s">
        <v>2439</v>
      </c>
      <c r="D1291" s="108" t="s">
        <v>2440</v>
      </c>
      <c r="E1291" s="103"/>
      <c r="F1291" s="2" t="s">
        <v>2286</v>
      </c>
      <c r="G1291" s="38">
        <v>64</v>
      </c>
      <c r="H1291" s="70">
        <v>0</v>
      </c>
      <c r="I1291" s="38">
        <f>G1291*H1291</f>
        <v>0</v>
      </c>
      <c r="J1291" s="38">
        <v>0</v>
      </c>
      <c r="K1291" s="38">
        <f>G1291*J1291</f>
        <v>0</v>
      </c>
      <c r="L1291" s="71" t="s">
        <v>207</v>
      </c>
      <c r="Z1291" s="38">
        <f>IF(AQ1291="5",BJ1291,0)</f>
        <v>0</v>
      </c>
      <c r="AB1291" s="38">
        <f>IF(AQ1291="1",BH1291,0)</f>
        <v>0</v>
      </c>
      <c r="AC1291" s="38">
        <f>IF(AQ1291="1",BI1291,0)</f>
        <v>0</v>
      </c>
      <c r="AD1291" s="38">
        <f>IF(AQ1291="7",BH1291,0)</f>
        <v>0</v>
      </c>
      <c r="AE1291" s="38">
        <f>IF(AQ1291="7",BI1291,0)</f>
        <v>0</v>
      </c>
      <c r="AF1291" s="38">
        <f>IF(AQ1291="2",BH1291,0)</f>
        <v>0</v>
      </c>
      <c r="AG1291" s="38">
        <f>IF(AQ1291="2",BI1291,0)</f>
        <v>0</v>
      </c>
      <c r="AH1291" s="38">
        <f>IF(AQ1291="0",BJ1291,0)</f>
        <v>0</v>
      </c>
      <c r="AI1291" s="50" t="s">
        <v>89</v>
      </c>
      <c r="AJ1291" s="38">
        <f>IF(AN1291=0,I1291,0)</f>
        <v>0</v>
      </c>
      <c r="AK1291" s="38">
        <f>IF(AN1291=12,I1291,0)</f>
        <v>0</v>
      </c>
      <c r="AL1291" s="38">
        <f>IF(AN1291=21,I1291,0)</f>
        <v>0</v>
      </c>
      <c r="AN1291" s="38">
        <v>21</v>
      </c>
      <c r="AO1291" s="38">
        <f>H1291*0</f>
        <v>0</v>
      </c>
      <c r="AP1291" s="38">
        <f>H1291*(1-0)</f>
        <v>0</v>
      </c>
      <c r="AQ1291" s="72" t="s">
        <v>132</v>
      </c>
      <c r="AV1291" s="38">
        <f>AW1291+AX1291</f>
        <v>0</v>
      </c>
      <c r="AW1291" s="38">
        <f>G1291*AO1291</f>
        <v>0</v>
      </c>
      <c r="AX1291" s="38">
        <f>G1291*AP1291</f>
        <v>0</v>
      </c>
      <c r="AY1291" s="72" t="s">
        <v>2287</v>
      </c>
      <c r="AZ1291" s="72" t="s">
        <v>2432</v>
      </c>
      <c r="BA1291" s="50" t="s">
        <v>2301</v>
      </c>
      <c r="BC1291" s="38">
        <f>AW1291+AX1291</f>
        <v>0</v>
      </c>
      <c r="BD1291" s="38">
        <f>H1291/(100-BE1291)*100</f>
        <v>0</v>
      </c>
      <c r="BE1291" s="38">
        <v>0</v>
      </c>
      <c r="BF1291" s="38">
        <f>K1291</f>
        <v>0</v>
      </c>
      <c r="BH1291" s="38">
        <f>G1291*AO1291</f>
        <v>0</v>
      </c>
      <c r="BI1291" s="38">
        <f>G1291*AP1291</f>
        <v>0</v>
      </c>
      <c r="BJ1291" s="38">
        <f>G1291*H1291</f>
        <v>0</v>
      </c>
      <c r="BK1291" s="38"/>
      <c r="BL1291" s="38"/>
      <c r="BW1291" s="38">
        <v>21</v>
      </c>
    </row>
    <row r="1292" spans="1:75" ht="27" customHeight="1">
      <c r="A1292" s="1" t="s">
        <v>2441</v>
      </c>
      <c r="B1292" s="2" t="s">
        <v>89</v>
      </c>
      <c r="C1292" s="2" t="s">
        <v>2442</v>
      </c>
      <c r="D1292" s="108" t="s">
        <v>2443</v>
      </c>
      <c r="E1292" s="103"/>
      <c r="F1292" s="2" t="s">
        <v>2286</v>
      </c>
      <c r="G1292" s="38">
        <v>108</v>
      </c>
      <c r="H1292" s="70">
        <v>0</v>
      </c>
      <c r="I1292" s="38">
        <f>G1292*H1292</f>
        <v>0</v>
      </c>
      <c r="J1292" s="38">
        <v>0</v>
      </c>
      <c r="K1292" s="38">
        <f>G1292*J1292</f>
        <v>0</v>
      </c>
      <c r="L1292" s="71" t="s">
        <v>207</v>
      </c>
      <c r="Z1292" s="38">
        <f>IF(AQ1292="5",BJ1292,0)</f>
        <v>0</v>
      </c>
      <c r="AB1292" s="38">
        <f>IF(AQ1292="1",BH1292,0)</f>
        <v>0</v>
      </c>
      <c r="AC1292" s="38">
        <f>IF(AQ1292="1",BI1292,0)</f>
        <v>0</v>
      </c>
      <c r="AD1292" s="38">
        <f>IF(AQ1292="7",BH1292,0)</f>
        <v>0</v>
      </c>
      <c r="AE1292" s="38">
        <f>IF(AQ1292="7",BI1292,0)</f>
        <v>0</v>
      </c>
      <c r="AF1292" s="38">
        <f>IF(AQ1292="2",BH1292,0)</f>
        <v>0</v>
      </c>
      <c r="AG1292" s="38">
        <f>IF(AQ1292="2",BI1292,0)</f>
        <v>0</v>
      </c>
      <c r="AH1292" s="38">
        <f>IF(AQ1292="0",BJ1292,0)</f>
        <v>0</v>
      </c>
      <c r="AI1292" s="50" t="s">
        <v>89</v>
      </c>
      <c r="AJ1292" s="38">
        <f>IF(AN1292=0,I1292,0)</f>
        <v>0</v>
      </c>
      <c r="AK1292" s="38">
        <f>IF(AN1292=12,I1292,0)</f>
        <v>0</v>
      </c>
      <c r="AL1292" s="38">
        <f>IF(AN1292=21,I1292,0)</f>
        <v>0</v>
      </c>
      <c r="AN1292" s="38">
        <v>21</v>
      </c>
      <c r="AO1292" s="38">
        <f>H1292*0</f>
        <v>0</v>
      </c>
      <c r="AP1292" s="38">
        <f>H1292*(1-0)</f>
        <v>0</v>
      </c>
      <c r="AQ1292" s="72" t="s">
        <v>132</v>
      </c>
      <c r="AV1292" s="38">
        <f>AW1292+AX1292</f>
        <v>0</v>
      </c>
      <c r="AW1292" s="38">
        <f>G1292*AO1292</f>
        <v>0</v>
      </c>
      <c r="AX1292" s="38">
        <f>G1292*AP1292</f>
        <v>0</v>
      </c>
      <c r="AY1292" s="72" t="s">
        <v>2287</v>
      </c>
      <c r="AZ1292" s="72" t="s">
        <v>2432</v>
      </c>
      <c r="BA1292" s="50" t="s">
        <v>2301</v>
      </c>
      <c r="BC1292" s="38">
        <f>AW1292+AX1292</f>
        <v>0</v>
      </c>
      <c r="BD1292" s="38">
        <f>H1292/(100-BE1292)*100</f>
        <v>0</v>
      </c>
      <c r="BE1292" s="38">
        <v>0</v>
      </c>
      <c r="BF1292" s="38">
        <f>K1292</f>
        <v>0</v>
      </c>
      <c r="BH1292" s="38">
        <f>G1292*AO1292</f>
        <v>0</v>
      </c>
      <c r="BI1292" s="38">
        <f>G1292*AP1292</f>
        <v>0</v>
      </c>
      <c r="BJ1292" s="38">
        <f>G1292*H1292</f>
        <v>0</v>
      </c>
      <c r="BK1292" s="38"/>
      <c r="BL1292" s="38"/>
      <c r="BW1292" s="38">
        <v>21</v>
      </c>
    </row>
    <row r="1293" spans="1:75" ht="13.5" customHeight="1">
      <c r="A1293" s="1" t="s">
        <v>2444</v>
      </c>
      <c r="B1293" s="2" t="s">
        <v>89</v>
      </c>
      <c r="C1293" s="2" t="s">
        <v>2445</v>
      </c>
      <c r="D1293" s="108" t="s">
        <v>2446</v>
      </c>
      <c r="E1293" s="103"/>
      <c r="F1293" s="2" t="s">
        <v>2286</v>
      </c>
      <c r="G1293" s="38">
        <v>24</v>
      </c>
      <c r="H1293" s="70">
        <v>0</v>
      </c>
      <c r="I1293" s="38">
        <f>G1293*H1293</f>
        <v>0</v>
      </c>
      <c r="J1293" s="38">
        <v>0</v>
      </c>
      <c r="K1293" s="38">
        <f>G1293*J1293</f>
        <v>0</v>
      </c>
      <c r="L1293" s="71" t="s">
        <v>207</v>
      </c>
      <c r="Z1293" s="38">
        <f>IF(AQ1293="5",BJ1293,0)</f>
        <v>0</v>
      </c>
      <c r="AB1293" s="38">
        <f>IF(AQ1293="1",BH1293,0)</f>
        <v>0</v>
      </c>
      <c r="AC1293" s="38">
        <f>IF(AQ1293="1",BI1293,0)</f>
        <v>0</v>
      </c>
      <c r="AD1293" s="38">
        <f>IF(AQ1293="7",BH1293,0)</f>
        <v>0</v>
      </c>
      <c r="AE1293" s="38">
        <f>IF(AQ1293="7",BI1293,0)</f>
        <v>0</v>
      </c>
      <c r="AF1293" s="38">
        <f>IF(AQ1293="2",BH1293,0)</f>
        <v>0</v>
      </c>
      <c r="AG1293" s="38">
        <f>IF(AQ1293="2",BI1293,0)</f>
        <v>0</v>
      </c>
      <c r="AH1293" s="38">
        <f>IF(AQ1293="0",BJ1293,0)</f>
        <v>0</v>
      </c>
      <c r="AI1293" s="50" t="s">
        <v>89</v>
      </c>
      <c r="AJ1293" s="38">
        <f>IF(AN1293=0,I1293,0)</f>
        <v>0</v>
      </c>
      <c r="AK1293" s="38">
        <f>IF(AN1293=12,I1293,0)</f>
        <v>0</v>
      </c>
      <c r="AL1293" s="38">
        <f>IF(AN1293=21,I1293,0)</f>
        <v>0</v>
      </c>
      <c r="AN1293" s="38">
        <v>21</v>
      </c>
      <c r="AO1293" s="38">
        <f>H1293*0</f>
        <v>0</v>
      </c>
      <c r="AP1293" s="38">
        <f>H1293*(1-0)</f>
        <v>0</v>
      </c>
      <c r="AQ1293" s="72" t="s">
        <v>132</v>
      </c>
      <c r="AV1293" s="38">
        <f>AW1293+AX1293</f>
        <v>0</v>
      </c>
      <c r="AW1293" s="38">
        <f>G1293*AO1293</f>
        <v>0</v>
      </c>
      <c r="AX1293" s="38">
        <f>G1293*AP1293</f>
        <v>0</v>
      </c>
      <c r="AY1293" s="72" t="s">
        <v>2287</v>
      </c>
      <c r="AZ1293" s="72" t="s">
        <v>2432</v>
      </c>
      <c r="BA1293" s="50" t="s">
        <v>2301</v>
      </c>
      <c r="BC1293" s="38">
        <f>AW1293+AX1293</f>
        <v>0</v>
      </c>
      <c r="BD1293" s="38">
        <f>H1293/(100-BE1293)*100</f>
        <v>0</v>
      </c>
      <c r="BE1293" s="38">
        <v>0</v>
      </c>
      <c r="BF1293" s="38">
        <f>K1293</f>
        <v>0</v>
      </c>
      <c r="BH1293" s="38">
        <f>G1293*AO1293</f>
        <v>0</v>
      </c>
      <c r="BI1293" s="38">
        <f>G1293*AP1293</f>
        <v>0</v>
      </c>
      <c r="BJ1293" s="38">
        <f>G1293*H1293</f>
        <v>0</v>
      </c>
      <c r="BK1293" s="38"/>
      <c r="BL1293" s="38"/>
      <c r="BW1293" s="38">
        <v>21</v>
      </c>
    </row>
    <row r="1294" spans="1:12" ht="15">
      <c r="A1294" s="65" t="s">
        <v>4</v>
      </c>
      <c r="B1294" s="66" t="s">
        <v>91</v>
      </c>
      <c r="C1294" s="66" t="s">
        <v>4</v>
      </c>
      <c r="D1294" s="192" t="s">
        <v>92</v>
      </c>
      <c r="E1294" s="193"/>
      <c r="F1294" s="67" t="s">
        <v>78</v>
      </c>
      <c r="G1294" s="67" t="s">
        <v>78</v>
      </c>
      <c r="H1294" s="68" t="s">
        <v>78</v>
      </c>
      <c r="I1294" s="44">
        <f>I1295+I1330</f>
        <v>0</v>
      </c>
      <c r="J1294" s="50" t="s">
        <v>4</v>
      </c>
      <c r="K1294" s="44">
        <f>K1295+K1330</f>
        <v>0</v>
      </c>
      <c r="L1294" s="69" t="s">
        <v>4</v>
      </c>
    </row>
    <row r="1295" spans="1:47" ht="15">
      <c r="A1295" s="65" t="s">
        <v>4</v>
      </c>
      <c r="B1295" s="66" t="s">
        <v>91</v>
      </c>
      <c r="C1295" s="66" t="s">
        <v>811</v>
      </c>
      <c r="D1295" s="192" t="s">
        <v>812</v>
      </c>
      <c r="E1295" s="193"/>
      <c r="F1295" s="67" t="s">
        <v>78</v>
      </c>
      <c r="G1295" s="67" t="s">
        <v>78</v>
      </c>
      <c r="H1295" s="68" t="s">
        <v>78</v>
      </c>
      <c r="I1295" s="44">
        <f>SUM(I1296:I1329)</f>
        <v>0</v>
      </c>
      <c r="J1295" s="50" t="s">
        <v>4</v>
      </c>
      <c r="K1295" s="44">
        <f>SUM(K1296:K1329)</f>
        <v>0</v>
      </c>
      <c r="L1295" s="69" t="s">
        <v>4</v>
      </c>
      <c r="AI1295" s="50" t="s">
        <v>91</v>
      </c>
      <c r="AS1295" s="44">
        <f>SUM(AJ1296:AJ1329)</f>
        <v>0</v>
      </c>
      <c r="AT1295" s="44">
        <f>SUM(AK1296:AK1329)</f>
        <v>0</v>
      </c>
      <c r="AU1295" s="44">
        <f>SUM(AL1296:AL1329)</f>
        <v>0</v>
      </c>
    </row>
    <row r="1296" spans="1:75" ht="13.5" customHeight="1">
      <c r="A1296" s="1" t="s">
        <v>2447</v>
      </c>
      <c r="B1296" s="2" t="s">
        <v>91</v>
      </c>
      <c r="C1296" s="2" t="s">
        <v>2448</v>
      </c>
      <c r="D1296" s="108" t="s">
        <v>2449</v>
      </c>
      <c r="E1296" s="103"/>
      <c r="F1296" s="2" t="s">
        <v>199</v>
      </c>
      <c r="G1296" s="38">
        <v>1</v>
      </c>
      <c r="H1296" s="70">
        <v>0</v>
      </c>
      <c r="I1296" s="38">
        <f aca="true" t="shared" si="168" ref="I1296:I1329">G1296*H1296</f>
        <v>0</v>
      </c>
      <c r="J1296" s="38">
        <v>0</v>
      </c>
      <c r="K1296" s="38">
        <f aca="true" t="shared" si="169" ref="K1296:K1329">G1296*J1296</f>
        <v>0</v>
      </c>
      <c r="L1296" s="71" t="s">
        <v>207</v>
      </c>
      <c r="Z1296" s="38">
        <f aca="true" t="shared" si="170" ref="Z1296:Z1329">IF(AQ1296="5",BJ1296,0)</f>
        <v>0</v>
      </c>
      <c r="AB1296" s="38">
        <f aca="true" t="shared" si="171" ref="AB1296:AB1329">IF(AQ1296="1",BH1296,0)</f>
        <v>0</v>
      </c>
      <c r="AC1296" s="38">
        <f aca="true" t="shared" si="172" ref="AC1296:AC1329">IF(AQ1296="1",BI1296,0)</f>
        <v>0</v>
      </c>
      <c r="AD1296" s="38">
        <f aca="true" t="shared" si="173" ref="AD1296:AD1329">IF(AQ1296="7",BH1296,0)</f>
        <v>0</v>
      </c>
      <c r="AE1296" s="38">
        <f aca="true" t="shared" si="174" ref="AE1296:AE1329">IF(AQ1296="7",BI1296,0)</f>
        <v>0</v>
      </c>
      <c r="AF1296" s="38">
        <f aca="true" t="shared" si="175" ref="AF1296:AF1329">IF(AQ1296="2",BH1296,0)</f>
        <v>0</v>
      </c>
      <c r="AG1296" s="38">
        <f aca="true" t="shared" si="176" ref="AG1296:AG1329">IF(AQ1296="2",BI1296,0)</f>
        <v>0</v>
      </c>
      <c r="AH1296" s="38">
        <f aca="true" t="shared" si="177" ref="AH1296:AH1329">IF(AQ1296="0",BJ1296,0)</f>
        <v>0</v>
      </c>
      <c r="AI1296" s="50" t="s">
        <v>91</v>
      </c>
      <c r="AJ1296" s="38">
        <f aca="true" t="shared" si="178" ref="AJ1296:AJ1329">IF(AN1296=0,I1296,0)</f>
        <v>0</v>
      </c>
      <c r="AK1296" s="38">
        <f aca="true" t="shared" si="179" ref="AK1296:AK1329">IF(AN1296=12,I1296,0)</f>
        <v>0</v>
      </c>
      <c r="AL1296" s="38">
        <f aca="true" t="shared" si="180" ref="AL1296:AL1329">IF(AN1296=21,I1296,0)</f>
        <v>0</v>
      </c>
      <c r="AN1296" s="38">
        <v>21</v>
      </c>
      <c r="AO1296" s="38">
        <f>H1296*0</f>
        <v>0</v>
      </c>
      <c r="AP1296" s="38">
        <f>H1296*(1-0)</f>
        <v>0</v>
      </c>
      <c r="AQ1296" s="72" t="s">
        <v>169</v>
      </c>
      <c r="AV1296" s="38">
        <f aca="true" t="shared" si="181" ref="AV1296:AV1329">AW1296+AX1296</f>
        <v>0</v>
      </c>
      <c r="AW1296" s="38">
        <f aca="true" t="shared" si="182" ref="AW1296:AW1329">G1296*AO1296</f>
        <v>0</v>
      </c>
      <c r="AX1296" s="38">
        <f aca="true" t="shared" si="183" ref="AX1296:AX1329">G1296*AP1296</f>
        <v>0</v>
      </c>
      <c r="AY1296" s="72" t="s">
        <v>816</v>
      </c>
      <c r="AZ1296" s="72" t="s">
        <v>2450</v>
      </c>
      <c r="BA1296" s="50" t="s">
        <v>2451</v>
      </c>
      <c r="BC1296" s="38">
        <f aca="true" t="shared" si="184" ref="BC1296:BC1329">AW1296+AX1296</f>
        <v>0</v>
      </c>
      <c r="BD1296" s="38">
        <f aca="true" t="shared" si="185" ref="BD1296:BD1329">H1296/(100-BE1296)*100</f>
        <v>0</v>
      </c>
      <c r="BE1296" s="38">
        <v>0</v>
      </c>
      <c r="BF1296" s="38">
        <f aca="true" t="shared" si="186" ref="BF1296:BF1329">K1296</f>
        <v>0</v>
      </c>
      <c r="BH1296" s="38">
        <f aca="true" t="shared" si="187" ref="BH1296:BH1329">G1296*AO1296</f>
        <v>0</v>
      </c>
      <c r="BI1296" s="38">
        <f aca="true" t="shared" si="188" ref="BI1296:BI1329">G1296*AP1296</f>
        <v>0</v>
      </c>
      <c r="BJ1296" s="38">
        <f aca="true" t="shared" si="189" ref="BJ1296:BJ1329">G1296*H1296</f>
        <v>0</v>
      </c>
      <c r="BK1296" s="38"/>
      <c r="BL1296" s="38">
        <v>751</v>
      </c>
      <c r="BW1296" s="38">
        <v>21</v>
      </c>
    </row>
    <row r="1297" spans="1:75" ht="13.5" customHeight="1">
      <c r="A1297" s="78" t="s">
        <v>2452</v>
      </c>
      <c r="B1297" s="79" t="s">
        <v>91</v>
      </c>
      <c r="C1297" s="79" t="s">
        <v>2453</v>
      </c>
      <c r="D1297" s="198" t="s">
        <v>2454</v>
      </c>
      <c r="E1297" s="199"/>
      <c r="F1297" s="79" t="s">
        <v>199</v>
      </c>
      <c r="G1297" s="80">
        <v>1</v>
      </c>
      <c r="H1297" s="81">
        <v>0</v>
      </c>
      <c r="I1297" s="80">
        <f t="shared" si="168"/>
        <v>0</v>
      </c>
      <c r="J1297" s="80">
        <v>0</v>
      </c>
      <c r="K1297" s="80">
        <f t="shared" si="169"/>
        <v>0</v>
      </c>
      <c r="L1297" s="82" t="s">
        <v>207</v>
      </c>
      <c r="Z1297" s="38">
        <f t="shared" si="170"/>
        <v>0</v>
      </c>
      <c r="AB1297" s="38">
        <f t="shared" si="171"/>
        <v>0</v>
      </c>
      <c r="AC1297" s="38">
        <f t="shared" si="172"/>
        <v>0</v>
      </c>
      <c r="AD1297" s="38">
        <f t="shared" si="173"/>
        <v>0</v>
      </c>
      <c r="AE1297" s="38">
        <f t="shared" si="174"/>
        <v>0</v>
      </c>
      <c r="AF1297" s="38">
        <f t="shared" si="175"/>
        <v>0</v>
      </c>
      <c r="AG1297" s="38">
        <f t="shared" si="176"/>
        <v>0</v>
      </c>
      <c r="AH1297" s="38">
        <f t="shared" si="177"/>
        <v>0</v>
      </c>
      <c r="AI1297" s="50" t="s">
        <v>91</v>
      </c>
      <c r="AJ1297" s="80">
        <f t="shared" si="178"/>
        <v>0</v>
      </c>
      <c r="AK1297" s="80">
        <f t="shared" si="179"/>
        <v>0</v>
      </c>
      <c r="AL1297" s="80">
        <f t="shared" si="180"/>
        <v>0</v>
      </c>
      <c r="AN1297" s="38">
        <v>21</v>
      </c>
      <c r="AO1297" s="38">
        <f>H1297*1</f>
        <v>0</v>
      </c>
      <c r="AP1297" s="38">
        <f>H1297*(1-1)</f>
        <v>0</v>
      </c>
      <c r="AQ1297" s="83" t="s">
        <v>169</v>
      </c>
      <c r="AV1297" s="38">
        <f t="shared" si="181"/>
        <v>0</v>
      </c>
      <c r="AW1297" s="38">
        <f t="shared" si="182"/>
        <v>0</v>
      </c>
      <c r="AX1297" s="38">
        <f t="shared" si="183"/>
        <v>0</v>
      </c>
      <c r="AY1297" s="72" t="s">
        <v>816</v>
      </c>
      <c r="AZ1297" s="72" t="s">
        <v>2450</v>
      </c>
      <c r="BA1297" s="50" t="s">
        <v>2451</v>
      </c>
      <c r="BC1297" s="38">
        <f t="shared" si="184"/>
        <v>0</v>
      </c>
      <c r="BD1297" s="38">
        <f t="shared" si="185"/>
        <v>0</v>
      </c>
      <c r="BE1297" s="38">
        <v>0</v>
      </c>
      <c r="BF1297" s="38">
        <f t="shared" si="186"/>
        <v>0</v>
      </c>
      <c r="BH1297" s="80">
        <f t="shared" si="187"/>
        <v>0</v>
      </c>
      <c r="BI1297" s="80">
        <f t="shared" si="188"/>
        <v>0</v>
      </c>
      <c r="BJ1297" s="80">
        <f t="shared" si="189"/>
        <v>0</v>
      </c>
      <c r="BK1297" s="80"/>
      <c r="BL1297" s="38">
        <v>751</v>
      </c>
      <c r="BW1297" s="38">
        <v>21</v>
      </c>
    </row>
    <row r="1298" spans="1:75" ht="27" customHeight="1">
      <c r="A1298" s="1" t="s">
        <v>2455</v>
      </c>
      <c r="B1298" s="2" t="s">
        <v>91</v>
      </c>
      <c r="C1298" s="2" t="s">
        <v>2456</v>
      </c>
      <c r="D1298" s="108" t="s">
        <v>2457</v>
      </c>
      <c r="E1298" s="103"/>
      <c r="F1298" s="2" t="s">
        <v>199</v>
      </c>
      <c r="G1298" s="38">
        <v>1</v>
      </c>
      <c r="H1298" s="70">
        <v>0</v>
      </c>
      <c r="I1298" s="38">
        <f t="shared" si="168"/>
        <v>0</v>
      </c>
      <c r="J1298" s="38">
        <v>0</v>
      </c>
      <c r="K1298" s="38">
        <f t="shared" si="169"/>
        <v>0</v>
      </c>
      <c r="L1298" s="71" t="s">
        <v>207</v>
      </c>
      <c r="Z1298" s="38">
        <f t="shared" si="170"/>
        <v>0</v>
      </c>
      <c r="AB1298" s="38">
        <f t="shared" si="171"/>
        <v>0</v>
      </c>
      <c r="AC1298" s="38">
        <f t="shared" si="172"/>
        <v>0</v>
      </c>
      <c r="AD1298" s="38">
        <f t="shared" si="173"/>
        <v>0</v>
      </c>
      <c r="AE1298" s="38">
        <f t="shared" si="174"/>
        <v>0</v>
      </c>
      <c r="AF1298" s="38">
        <f t="shared" si="175"/>
        <v>0</v>
      </c>
      <c r="AG1298" s="38">
        <f t="shared" si="176"/>
        <v>0</v>
      </c>
      <c r="AH1298" s="38">
        <f t="shared" si="177"/>
        <v>0</v>
      </c>
      <c r="AI1298" s="50" t="s">
        <v>91</v>
      </c>
      <c r="AJ1298" s="38">
        <f t="shared" si="178"/>
        <v>0</v>
      </c>
      <c r="AK1298" s="38">
        <f t="shared" si="179"/>
        <v>0</v>
      </c>
      <c r="AL1298" s="38">
        <f t="shared" si="180"/>
        <v>0</v>
      </c>
      <c r="AN1298" s="38">
        <v>21</v>
      </c>
      <c r="AO1298" s="38">
        <f>H1298*0</f>
        <v>0</v>
      </c>
      <c r="AP1298" s="38">
        <f>H1298*(1-0)</f>
        <v>0</v>
      </c>
      <c r="AQ1298" s="72" t="s">
        <v>169</v>
      </c>
      <c r="AV1298" s="38">
        <f t="shared" si="181"/>
        <v>0</v>
      </c>
      <c r="AW1298" s="38">
        <f t="shared" si="182"/>
        <v>0</v>
      </c>
      <c r="AX1298" s="38">
        <f t="shared" si="183"/>
        <v>0</v>
      </c>
      <c r="AY1298" s="72" t="s">
        <v>816</v>
      </c>
      <c r="AZ1298" s="72" t="s">
        <v>2450</v>
      </c>
      <c r="BA1298" s="50" t="s">
        <v>2451</v>
      </c>
      <c r="BC1298" s="38">
        <f t="shared" si="184"/>
        <v>0</v>
      </c>
      <c r="BD1298" s="38">
        <f t="shared" si="185"/>
        <v>0</v>
      </c>
      <c r="BE1298" s="38">
        <v>0</v>
      </c>
      <c r="BF1298" s="38">
        <f t="shared" si="186"/>
        <v>0</v>
      </c>
      <c r="BH1298" s="38">
        <f t="shared" si="187"/>
        <v>0</v>
      </c>
      <c r="BI1298" s="38">
        <f t="shared" si="188"/>
        <v>0</v>
      </c>
      <c r="BJ1298" s="38">
        <f t="shared" si="189"/>
        <v>0</v>
      </c>
      <c r="BK1298" s="38"/>
      <c r="BL1298" s="38">
        <v>751</v>
      </c>
      <c r="BW1298" s="38">
        <v>21</v>
      </c>
    </row>
    <row r="1299" spans="1:75" ht="13.5" customHeight="1">
      <c r="A1299" s="78" t="s">
        <v>2458</v>
      </c>
      <c r="B1299" s="79" t="s">
        <v>91</v>
      </c>
      <c r="C1299" s="79" t="s">
        <v>2459</v>
      </c>
      <c r="D1299" s="198" t="s">
        <v>2460</v>
      </c>
      <c r="E1299" s="199"/>
      <c r="F1299" s="79" t="s">
        <v>199</v>
      </c>
      <c r="G1299" s="80">
        <v>1</v>
      </c>
      <c r="H1299" s="81">
        <v>0</v>
      </c>
      <c r="I1299" s="80">
        <f t="shared" si="168"/>
        <v>0</v>
      </c>
      <c r="J1299" s="80">
        <v>0</v>
      </c>
      <c r="K1299" s="80">
        <f t="shared" si="169"/>
        <v>0</v>
      </c>
      <c r="L1299" s="82" t="s">
        <v>207</v>
      </c>
      <c r="Z1299" s="38">
        <f t="shared" si="170"/>
        <v>0</v>
      </c>
      <c r="AB1299" s="38">
        <f t="shared" si="171"/>
        <v>0</v>
      </c>
      <c r="AC1299" s="38">
        <f t="shared" si="172"/>
        <v>0</v>
      </c>
      <c r="AD1299" s="38">
        <f t="shared" si="173"/>
        <v>0</v>
      </c>
      <c r="AE1299" s="38">
        <f t="shared" si="174"/>
        <v>0</v>
      </c>
      <c r="AF1299" s="38">
        <f t="shared" si="175"/>
        <v>0</v>
      </c>
      <c r="AG1299" s="38">
        <f t="shared" si="176"/>
        <v>0</v>
      </c>
      <c r="AH1299" s="38">
        <f t="shared" si="177"/>
        <v>0</v>
      </c>
      <c r="AI1299" s="50" t="s">
        <v>91</v>
      </c>
      <c r="AJ1299" s="80">
        <f t="shared" si="178"/>
        <v>0</v>
      </c>
      <c r="AK1299" s="80">
        <f t="shared" si="179"/>
        <v>0</v>
      </c>
      <c r="AL1299" s="80">
        <f t="shared" si="180"/>
        <v>0</v>
      </c>
      <c r="AN1299" s="38">
        <v>21</v>
      </c>
      <c r="AO1299" s="38">
        <f>H1299*1</f>
        <v>0</v>
      </c>
      <c r="AP1299" s="38">
        <f>H1299*(1-1)</f>
        <v>0</v>
      </c>
      <c r="AQ1299" s="83" t="s">
        <v>169</v>
      </c>
      <c r="AV1299" s="38">
        <f t="shared" si="181"/>
        <v>0</v>
      </c>
      <c r="AW1299" s="38">
        <f t="shared" si="182"/>
        <v>0</v>
      </c>
      <c r="AX1299" s="38">
        <f t="shared" si="183"/>
        <v>0</v>
      </c>
      <c r="AY1299" s="72" t="s">
        <v>816</v>
      </c>
      <c r="AZ1299" s="72" t="s">
        <v>2450</v>
      </c>
      <c r="BA1299" s="50" t="s">
        <v>2451</v>
      </c>
      <c r="BC1299" s="38">
        <f t="shared" si="184"/>
        <v>0</v>
      </c>
      <c r="BD1299" s="38">
        <f t="shared" si="185"/>
        <v>0</v>
      </c>
      <c r="BE1299" s="38">
        <v>0</v>
      </c>
      <c r="BF1299" s="38">
        <f t="shared" si="186"/>
        <v>0</v>
      </c>
      <c r="BH1299" s="80">
        <f t="shared" si="187"/>
        <v>0</v>
      </c>
      <c r="BI1299" s="80">
        <f t="shared" si="188"/>
        <v>0</v>
      </c>
      <c r="BJ1299" s="80">
        <f t="shared" si="189"/>
        <v>0</v>
      </c>
      <c r="BK1299" s="80"/>
      <c r="BL1299" s="38">
        <v>751</v>
      </c>
      <c r="BW1299" s="38">
        <v>21</v>
      </c>
    </row>
    <row r="1300" spans="1:75" ht="27" customHeight="1">
      <c r="A1300" s="1" t="s">
        <v>2461</v>
      </c>
      <c r="B1300" s="2" t="s">
        <v>91</v>
      </c>
      <c r="C1300" s="2" t="s">
        <v>2462</v>
      </c>
      <c r="D1300" s="108" t="s">
        <v>2463</v>
      </c>
      <c r="E1300" s="103"/>
      <c r="F1300" s="2" t="s">
        <v>199</v>
      </c>
      <c r="G1300" s="38">
        <v>1</v>
      </c>
      <c r="H1300" s="70">
        <v>0</v>
      </c>
      <c r="I1300" s="38">
        <f t="shared" si="168"/>
        <v>0</v>
      </c>
      <c r="J1300" s="38">
        <v>0</v>
      </c>
      <c r="K1300" s="38">
        <f t="shared" si="169"/>
        <v>0</v>
      </c>
      <c r="L1300" s="71" t="s">
        <v>207</v>
      </c>
      <c r="Z1300" s="38">
        <f t="shared" si="170"/>
        <v>0</v>
      </c>
      <c r="AB1300" s="38">
        <f t="shared" si="171"/>
        <v>0</v>
      </c>
      <c r="AC1300" s="38">
        <f t="shared" si="172"/>
        <v>0</v>
      </c>
      <c r="AD1300" s="38">
        <f t="shared" si="173"/>
        <v>0</v>
      </c>
      <c r="AE1300" s="38">
        <f t="shared" si="174"/>
        <v>0</v>
      </c>
      <c r="AF1300" s="38">
        <f t="shared" si="175"/>
        <v>0</v>
      </c>
      <c r="AG1300" s="38">
        <f t="shared" si="176"/>
        <v>0</v>
      </c>
      <c r="AH1300" s="38">
        <f t="shared" si="177"/>
        <v>0</v>
      </c>
      <c r="AI1300" s="50" t="s">
        <v>91</v>
      </c>
      <c r="AJ1300" s="38">
        <f t="shared" si="178"/>
        <v>0</v>
      </c>
      <c r="AK1300" s="38">
        <f t="shared" si="179"/>
        <v>0</v>
      </c>
      <c r="AL1300" s="38">
        <f t="shared" si="180"/>
        <v>0</v>
      </c>
      <c r="AN1300" s="38">
        <v>21</v>
      </c>
      <c r="AO1300" s="38">
        <f>H1300*0</f>
        <v>0</v>
      </c>
      <c r="AP1300" s="38">
        <f>H1300*(1-0)</f>
        <v>0</v>
      </c>
      <c r="AQ1300" s="72" t="s">
        <v>169</v>
      </c>
      <c r="AV1300" s="38">
        <f t="shared" si="181"/>
        <v>0</v>
      </c>
      <c r="AW1300" s="38">
        <f t="shared" si="182"/>
        <v>0</v>
      </c>
      <c r="AX1300" s="38">
        <f t="shared" si="183"/>
        <v>0</v>
      </c>
      <c r="AY1300" s="72" t="s">
        <v>816</v>
      </c>
      <c r="AZ1300" s="72" t="s">
        <v>2450</v>
      </c>
      <c r="BA1300" s="50" t="s">
        <v>2451</v>
      </c>
      <c r="BC1300" s="38">
        <f t="shared" si="184"/>
        <v>0</v>
      </c>
      <c r="BD1300" s="38">
        <f t="shared" si="185"/>
        <v>0</v>
      </c>
      <c r="BE1300" s="38">
        <v>0</v>
      </c>
      <c r="BF1300" s="38">
        <f t="shared" si="186"/>
        <v>0</v>
      </c>
      <c r="BH1300" s="38">
        <f t="shared" si="187"/>
        <v>0</v>
      </c>
      <c r="BI1300" s="38">
        <f t="shared" si="188"/>
        <v>0</v>
      </c>
      <c r="BJ1300" s="38">
        <f t="shared" si="189"/>
        <v>0</v>
      </c>
      <c r="BK1300" s="38"/>
      <c r="BL1300" s="38">
        <v>751</v>
      </c>
      <c r="BW1300" s="38">
        <v>21</v>
      </c>
    </row>
    <row r="1301" spans="1:75" ht="13.5" customHeight="1">
      <c r="A1301" s="78" t="s">
        <v>2464</v>
      </c>
      <c r="B1301" s="79" t="s">
        <v>91</v>
      </c>
      <c r="C1301" s="79" t="s">
        <v>2465</v>
      </c>
      <c r="D1301" s="198" t="s">
        <v>2466</v>
      </c>
      <c r="E1301" s="199"/>
      <c r="F1301" s="79" t="s">
        <v>199</v>
      </c>
      <c r="G1301" s="80">
        <v>1</v>
      </c>
      <c r="H1301" s="81">
        <v>0</v>
      </c>
      <c r="I1301" s="80">
        <f t="shared" si="168"/>
        <v>0</v>
      </c>
      <c r="J1301" s="80">
        <v>0</v>
      </c>
      <c r="K1301" s="80">
        <f t="shared" si="169"/>
        <v>0</v>
      </c>
      <c r="L1301" s="82" t="s">
        <v>207</v>
      </c>
      <c r="Z1301" s="38">
        <f t="shared" si="170"/>
        <v>0</v>
      </c>
      <c r="AB1301" s="38">
        <f t="shared" si="171"/>
        <v>0</v>
      </c>
      <c r="AC1301" s="38">
        <f t="shared" si="172"/>
        <v>0</v>
      </c>
      <c r="AD1301" s="38">
        <f t="shared" si="173"/>
        <v>0</v>
      </c>
      <c r="AE1301" s="38">
        <f t="shared" si="174"/>
        <v>0</v>
      </c>
      <c r="AF1301" s="38">
        <f t="shared" si="175"/>
        <v>0</v>
      </c>
      <c r="AG1301" s="38">
        <f t="shared" si="176"/>
        <v>0</v>
      </c>
      <c r="AH1301" s="38">
        <f t="shared" si="177"/>
        <v>0</v>
      </c>
      <c r="AI1301" s="50" t="s">
        <v>91</v>
      </c>
      <c r="AJ1301" s="80">
        <f t="shared" si="178"/>
        <v>0</v>
      </c>
      <c r="AK1301" s="80">
        <f t="shared" si="179"/>
        <v>0</v>
      </c>
      <c r="AL1301" s="80">
        <f t="shared" si="180"/>
        <v>0</v>
      </c>
      <c r="AN1301" s="38">
        <v>21</v>
      </c>
      <c r="AO1301" s="38">
        <f>H1301*1</f>
        <v>0</v>
      </c>
      <c r="AP1301" s="38">
        <f>H1301*(1-1)</f>
        <v>0</v>
      </c>
      <c r="AQ1301" s="83" t="s">
        <v>169</v>
      </c>
      <c r="AV1301" s="38">
        <f t="shared" si="181"/>
        <v>0</v>
      </c>
      <c r="AW1301" s="38">
        <f t="shared" si="182"/>
        <v>0</v>
      </c>
      <c r="AX1301" s="38">
        <f t="shared" si="183"/>
        <v>0</v>
      </c>
      <c r="AY1301" s="72" t="s">
        <v>816</v>
      </c>
      <c r="AZ1301" s="72" t="s">
        <v>2450</v>
      </c>
      <c r="BA1301" s="50" t="s">
        <v>2451</v>
      </c>
      <c r="BC1301" s="38">
        <f t="shared" si="184"/>
        <v>0</v>
      </c>
      <c r="BD1301" s="38">
        <f t="shared" si="185"/>
        <v>0</v>
      </c>
      <c r="BE1301" s="38">
        <v>0</v>
      </c>
      <c r="BF1301" s="38">
        <f t="shared" si="186"/>
        <v>0</v>
      </c>
      <c r="BH1301" s="80">
        <f t="shared" si="187"/>
        <v>0</v>
      </c>
      <c r="BI1301" s="80">
        <f t="shared" si="188"/>
        <v>0</v>
      </c>
      <c r="BJ1301" s="80">
        <f t="shared" si="189"/>
        <v>0</v>
      </c>
      <c r="BK1301" s="80"/>
      <c r="BL1301" s="38">
        <v>751</v>
      </c>
      <c r="BW1301" s="38">
        <v>21</v>
      </c>
    </row>
    <row r="1302" spans="1:75" ht="13.5" customHeight="1">
      <c r="A1302" s="78" t="s">
        <v>2467</v>
      </c>
      <c r="B1302" s="79" t="s">
        <v>91</v>
      </c>
      <c r="C1302" s="79" t="s">
        <v>2468</v>
      </c>
      <c r="D1302" s="198" t="s">
        <v>2469</v>
      </c>
      <c r="E1302" s="199"/>
      <c r="F1302" s="79" t="s">
        <v>471</v>
      </c>
      <c r="G1302" s="80">
        <v>1</v>
      </c>
      <c r="H1302" s="81">
        <v>0</v>
      </c>
      <c r="I1302" s="80">
        <f t="shared" si="168"/>
        <v>0</v>
      </c>
      <c r="J1302" s="80">
        <v>0</v>
      </c>
      <c r="K1302" s="80">
        <f t="shared" si="169"/>
        <v>0</v>
      </c>
      <c r="L1302" s="82" t="s">
        <v>207</v>
      </c>
      <c r="Z1302" s="38">
        <f t="shared" si="170"/>
        <v>0</v>
      </c>
      <c r="AB1302" s="38">
        <f t="shared" si="171"/>
        <v>0</v>
      </c>
      <c r="AC1302" s="38">
        <f t="shared" si="172"/>
        <v>0</v>
      </c>
      <c r="AD1302" s="38">
        <f t="shared" si="173"/>
        <v>0</v>
      </c>
      <c r="AE1302" s="38">
        <f t="shared" si="174"/>
        <v>0</v>
      </c>
      <c r="AF1302" s="38">
        <f t="shared" si="175"/>
        <v>0</v>
      </c>
      <c r="AG1302" s="38">
        <f t="shared" si="176"/>
        <v>0</v>
      </c>
      <c r="AH1302" s="38">
        <f t="shared" si="177"/>
        <v>0</v>
      </c>
      <c r="AI1302" s="50" t="s">
        <v>91</v>
      </c>
      <c r="AJ1302" s="80">
        <f t="shared" si="178"/>
        <v>0</v>
      </c>
      <c r="AK1302" s="80">
        <f t="shared" si="179"/>
        <v>0</v>
      </c>
      <c r="AL1302" s="80">
        <f t="shared" si="180"/>
        <v>0</v>
      </c>
      <c r="AN1302" s="38">
        <v>21</v>
      </c>
      <c r="AO1302" s="38">
        <f>H1302*1</f>
        <v>0</v>
      </c>
      <c r="AP1302" s="38">
        <f>H1302*(1-1)</f>
        <v>0</v>
      </c>
      <c r="AQ1302" s="83" t="s">
        <v>169</v>
      </c>
      <c r="AV1302" s="38">
        <f t="shared" si="181"/>
        <v>0</v>
      </c>
      <c r="AW1302" s="38">
        <f t="shared" si="182"/>
        <v>0</v>
      </c>
      <c r="AX1302" s="38">
        <f t="shared" si="183"/>
        <v>0</v>
      </c>
      <c r="AY1302" s="72" t="s">
        <v>816</v>
      </c>
      <c r="AZ1302" s="72" t="s">
        <v>2450</v>
      </c>
      <c r="BA1302" s="50" t="s">
        <v>2451</v>
      </c>
      <c r="BC1302" s="38">
        <f t="shared" si="184"/>
        <v>0</v>
      </c>
      <c r="BD1302" s="38">
        <f t="shared" si="185"/>
        <v>0</v>
      </c>
      <c r="BE1302" s="38">
        <v>0</v>
      </c>
      <c r="BF1302" s="38">
        <f t="shared" si="186"/>
        <v>0</v>
      </c>
      <c r="BH1302" s="80">
        <f t="shared" si="187"/>
        <v>0</v>
      </c>
      <c r="BI1302" s="80">
        <f t="shared" si="188"/>
        <v>0</v>
      </c>
      <c r="BJ1302" s="80">
        <f t="shared" si="189"/>
        <v>0</v>
      </c>
      <c r="BK1302" s="80"/>
      <c r="BL1302" s="38">
        <v>751</v>
      </c>
      <c r="BW1302" s="38">
        <v>21</v>
      </c>
    </row>
    <row r="1303" spans="1:75" ht="13.5" customHeight="1">
      <c r="A1303" s="1" t="s">
        <v>2470</v>
      </c>
      <c r="B1303" s="2" t="s">
        <v>91</v>
      </c>
      <c r="C1303" s="2" t="s">
        <v>2471</v>
      </c>
      <c r="D1303" s="108" t="s">
        <v>2472</v>
      </c>
      <c r="E1303" s="103"/>
      <c r="F1303" s="2" t="s">
        <v>199</v>
      </c>
      <c r="G1303" s="38">
        <v>4</v>
      </c>
      <c r="H1303" s="70">
        <v>0</v>
      </c>
      <c r="I1303" s="38">
        <f t="shared" si="168"/>
        <v>0</v>
      </c>
      <c r="J1303" s="38">
        <v>0</v>
      </c>
      <c r="K1303" s="38">
        <f t="shared" si="169"/>
        <v>0</v>
      </c>
      <c r="L1303" s="71" t="s">
        <v>207</v>
      </c>
      <c r="Z1303" s="38">
        <f t="shared" si="170"/>
        <v>0</v>
      </c>
      <c r="AB1303" s="38">
        <f t="shared" si="171"/>
        <v>0</v>
      </c>
      <c r="AC1303" s="38">
        <f t="shared" si="172"/>
        <v>0</v>
      </c>
      <c r="AD1303" s="38">
        <f t="shared" si="173"/>
        <v>0</v>
      </c>
      <c r="AE1303" s="38">
        <f t="shared" si="174"/>
        <v>0</v>
      </c>
      <c r="AF1303" s="38">
        <f t="shared" si="175"/>
        <v>0</v>
      </c>
      <c r="AG1303" s="38">
        <f t="shared" si="176"/>
        <v>0</v>
      </c>
      <c r="AH1303" s="38">
        <f t="shared" si="177"/>
        <v>0</v>
      </c>
      <c r="AI1303" s="50" t="s">
        <v>91</v>
      </c>
      <c r="AJ1303" s="38">
        <f t="shared" si="178"/>
        <v>0</v>
      </c>
      <c r="AK1303" s="38">
        <f t="shared" si="179"/>
        <v>0</v>
      </c>
      <c r="AL1303" s="38">
        <f t="shared" si="180"/>
        <v>0</v>
      </c>
      <c r="AN1303" s="38">
        <v>21</v>
      </c>
      <c r="AO1303" s="38">
        <f>H1303*0</f>
        <v>0</v>
      </c>
      <c r="AP1303" s="38">
        <f>H1303*(1-0)</f>
        <v>0</v>
      </c>
      <c r="AQ1303" s="72" t="s">
        <v>169</v>
      </c>
      <c r="AV1303" s="38">
        <f t="shared" si="181"/>
        <v>0</v>
      </c>
      <c r="AW1303" s="38">
        <f t="shared" si="182"/>
        <v>0</v>
      </c>
      <c r="AX1303" s="38">
        <f t="shared" si="183"/>
        <v>0</v>
      </c>
      <c r="AY1303" s="72" t="s">
        <v>816</v>
      </c>
      <c r="AZ1303" s="72" t="s">
        <v>2450</v>
      </c>
      <c r="BA1303" s="50" t="s">
        <v>2451</v>
      </c>
      <c r="BC1303" s="38">
        <f t="shared" si="184"/>
        <v>0</v>
      </c>
      <c r="BD1303" s="38">
        <f t="shared" si="185"/>
        <v>0</v>
      </c>
      <c r="BE1303" s="38">
        <v>0</v>
      </c>
      <c r="BF1303" s="38">
        <f t="shared" si="186"/>
        <v>0</v>
      </c>
      <c r="BH1303" s="38">
        <f t="shared" si="187"/>
        <v>0</v>
      </c>
      <c r="BI1303" s="38">
        <f t="shared" si="188"/>
        <v>0</v>
      </c>
      <c r="BJ1303" s="38">
        <f t="shared" si="189"/>
        <v>0</v>
      </c>
      <c r="BK1303" s="38"/>
      <c r="BL1303" s="38">
        <v>751</v>
      </c>
      <c r="BW1303" s="38">
        <v>21</v>
      </c>
    </row>
    <row r="1304" spans="1:75" ht="13.5" customHeight="1">
      <c r="A1304" s="78" t="s">
        <v>2473</v>
      </c>
      <c r="B1304" s="79" t="s">
        <v>91</v>
      </c>
      <c r="C1304" s="79" t="s">
        <v>2474</v>
      </c>
      <c r="D1304" s="198" t="s">
        <v>2475</v>
      </c>
      <c r="E1304" s="199"/>
      <c r="F1304" s="79" t="s">
        <v>199</v>
      </c>
      <c r="G1304" s="80">
        <v>4</v>
      </c>
      <c r="H1304" s="81">
        <v>0</v>
      </c>
      <c r="I1304" s="80">
        <f t="shared" si="168"/>
        <v>0</v>
      </c>
      <c r="J1304" s="80">
        <v>0</v>
      </c>
      <c r="K1304" s="80">
        <f t="shared" si="169"/>
        <v>0</v>
      </c>
      <c r="L1304" s="82" t="s">
        <v>207</v>
      </c>
      <c r="Z1304" s="38">
        <f t="shared" si="170"/>
        <v>0</v>
      </c>
      <c r="AB1304" s="38">
        <f t="shared" si="171"/>
        <v>0</v>
      </c>
      <c r="AC1304" s="38">
        <f t="shared" si="172"/>
        <v>0</v>
      </c>
      <c r="AD1304" s="38">
        <f t="shared" si="173"/>
        <v>0</v>
      </c>
      <c r="AE1304" s="38">
        <f t="shared" si="174"/>
        <v>0</v>
      </c>
      <c r="AF1304" s="38">
        <f t="shared" si="175"/>
        <v>0</v>
      </c>
      <c r="AG1304" s="38">
        <f t="shared" si="176"/>
        <v>0</v>
      </c>
      <c r="AH1304" s="38">
        <f t="shared" si="177"/>
        <v>0</v>
      </c>
      <c r="AI1304" s="50" t="s">
        <v>91</v>
      </c>
      <c r="AJ1304" s="80">
        <f t="shared" si="178"/>
        <v>0</v>
      </c>
      <c r="AK1304" s="80">
        <f t="shared" si="179"/>
        <v>0</v>
      </c>
      <c r="AL1304" s="80">
        <f t="shared" si="180"/>
        <v>0</v>
      </c>
      <c r="AN1304" s="38">
        <v>21</v>
      </c>
      <c r="AO1304" s="38">
        <f>H1304*1</f>
        <v>0</v>
      </c>
      <c r="AP1304" s="38">
        <f>H1304*(1-1)</f>
        <v>0</v>
      </c>
      <c r="AQ1304" s="83" t="s">
        <v>169</v>
      </c>
      <c r="AV1304" s="38">
        <f t="shared" si="181"/>
        <v>0</v>
      </c>
      <c r="AW1304" s="38">
        <f t="shared" si="182"/>
        <v>0</v>
      </c>
      <c r="AX1304" s="38">
        <f t="shared" si="183"/>
        <v>0</v>
      </c>
      <c r="AY1304" s="72" t="s">
        <v>816</v>
      </c>
      <c r="AZ1304" s="72" t="s">
        <v>2450</v>
      </c>
      <c r="BA1304" s="50" t="s">
        <v>2451</v>
      </c>
      <c r="BC1304" s="38">
        <f t="shared" si="184"/>
        <v>0</v>
      </c>
      <c r="BD1304" s="38">
        <f t="shared" si="185"/>
        <v>0</v>
      </c>
      <c r="BE1304" s="38">
        <v>0</v>
      </c>
      <c r="BF1304" s="38">
        <f t="shared" si="186"/>
        <v>0</v>
      </c>
      <c r="BH1304" s="80">
        <f t="shared" si="187"/>
        <v>0</v>
      </c>
      <c r="BI1304" s="80">
        <f t="shared" si="188"/>
        <v>0</v>
      </c>
      <c r="BJ1304" s="80">
        <f t="shared" si="189"/>
        <v>0</v>
      </c>
      <c r="BK1304" s="80"/>
      <c r="BL1304" s="38">
        <v>751</v>
      </c>
      <c r="BW1304" s="38">
        <v>21</v>
      </c>
    </row>
    <row r="1305" spans="1:75" ht="13.5" customHeight="1">
      <c r="A1305" s="1" t="s">
        <v>2476</v>
      </c>
      <c r="B1305" s="2" t="s">
        <v>91</v>
      </c>
      <c r="C1305" s="2" t="s">
        <v>2477</v>
      </c>
      <c r="D1305" s="108" t="s">
        <v>2478</v>
      </c>
      <c r="E1305" s="103"/>
      <c r="F1305" s="2" t="s">
        <v>199</v>
      </c>
      <c r="G1305" s="38">
        <v>6</v>
      </c>
      <c r="H1305" s="70">
        <v>0</v>
      </c>
      <c r="I1305" s="38">
        <f t="shared" si="168"/>
        <v>0</v>
      </c>
      <c r="J1305" s="38">
        <v>0</v>
      </c>
      <c r="K1305" s="38">
        <f t="shared" si="169"/>
        <v>0</v>
      </c>
      <c r="L1305" s="71" t="s">
        <v>207</v>
      </c>
      <c r="Z1305" s="38">
        <f t="shared" si="170"/>
        <v>0</v>
      </c>
      <c r="AB1305" s="38">
        <f t="shared" si="171"/>
        <v>0</v>
      </c>
      <c r="AC1305" s="38">
        <f t="shared" si="172"/>
        <v>0</v>
      </c>
      <c r="AD1305" s="38">
        <f t="shared" si="173"/>
        <v>0</v>
      </c>
      <c r="AE1305" s="38">
        <f t="shared" si="174"/>
        <v>0</v>
      </c>
      <c r="AF1305" s="38">
        <f t="shared" si="175"/>
        <v>0</v>
      </c>
      <c r="AG1305" s="38">
        <f t="shared" si="176"/>
        <v>0</v>
      </c>
      <c r="AH1305" s="38">
        <f t="shared" si="177"/>
        <v>0</v>
      </c>
      <c r="AI1305" s="50" t="s">
        <v>91</v>
      </c>
      <c r="AJ1305" s="38">
        <f t="shared" si="178"/>
        <v>0</v>
      </c>
      <c r="AK1305" s="38">
        <f t="shared" si="179"/>
        <v>0</v>
      </c>
      <c r="AL1305" s="38">
        <f t="shared" si="180"/>
        <v>0</v>
      </c>
      <c r="AN1305" s="38">
        <v>21</v>
      </c>
      <c r="AO1305" s="38">
        <f>H1305*0</f>
        <v>0</v>
      </c>
      <c r="AP1305" s="38">
        <f>H1305*(1-0)</f>
        <v>0</v>
      </c>
      <c r="AQ1305" s="72" t="s">
        <v>169</v>
      </c>
      <c r="AV1305" s="38">
        <f t="shared" si="181"/>
        <v>0</v>
      </c>
      <c r="AW1305" s="38">
        <f t="shared" si="182"/>
        <v>0</v>
      </c>
      <c r="AX1305" s="38">
        <f t="shared" si="183"/>
        <v>0</v>
      </c>
      <c r="AY1305" s="72" t="s">
        <v>816</v>
      </c>
      <c r="AZ1305" s="72" t="s">
        <v>2450</v>
      </c>
      <c r="BA1305" s="50" t="s">
        <v>2451</v>
      </c>
      <c r="BC1305" s="38">
        <f t="shared" si="184"/>
        <v>0</v>
      </c>
      <c r="BD1305" s="38">
        <f t="shared" si="185"/>
        <v>0</v>
      </c>
      <c r="BE1305" s="38">
        <v>0</v>
      </c>
      <c r="BF1305" s="38">
        <f t="shared" si="186"/>
        <v>0</v>
      </c>
      <c r="BH1305" s="38">
        <f t="shared" si="187"/>
        <v>0</v>
      </c>
      <c r="BI1305" s="38">
        <f t="shared" si="188"/>
        <v>0</v>
      </c>
      <c r="BJ1305" s="38">
        <f t="shared" si="189"/>
        <v>0</v>
      </c>
      <c r="BK1305" s="38"/>
      <c r="BL1305" s="38">
        <v>751</v>
      </c>
      <c r="BW1305" s="38">
        <v>21</v>
      </c>
    </row>
    <row r="1306" spans="1:75" ht="13.5" customHeight="1">
      <c r="A1306" s="78" t="s">
        <v>2479</v>
      </c>
      <c r="B1306" s="79" t="s">
        <v>91</v>
      </c>
      <c r="C1306" s="79" t="s">
        <v>2480</v>
      </c>
      <c r="D1306" s="198" t="s">
        <v>2481</v>
      </c>
      <c r="E1306" s="199"/>
      <c r="F1306" s="79" t="s">
        <v>199</v>
      </c>
      <c r="G1306" s="80">
        <v>6</v>
      </c>
      <c r="H1306" s="81">
        <v>0</v>
      </c>
      <c r="I1306" s="80">
        <f t="shared" si="168"/>
        <v>0</v>
      </c>
      <c r="J1306" s="80">
        <v>0</v>
      </c>
      <c r="K1306" s="80">
        <f t="shared" si="169"/>
        <v>0</v>
      </c>
      <c r="L1306" s="82" t="s">
        <v>207</v>
      </c>
      <c r="Z1306" s="38">
        <f t="shared" si="170"/>
        <v>0</v>
      </c>
      <c r="AB1306" s="38">
        <f t="shared" si="171"/>
        <v>0</v>
      </c>
      <c r="AC1306" s="38">
        <f t="shared" si="172"/>
        <v>0</v>
      </c>
      <c r="AD1306" s="38">
        <f t="shared" si="173"/>
        <v>0</v>
      </c>
      <c r="AE1306" s="38">
        <f t="shared" si="174"/>
        <v>0</v>
      </c>
      <c r="AF1306" s="38">
        <f t="shared" si="175"/>
        <v>0</v>
      </c>
      <c r="AG1306" s="38">
        <f t="shared" si="176"/>
        <v>0</v>
      </c>
      <c r="AH1306" s="38">
        <f t="shared" si="177"/>
        <v>0</v>
      </c>
      <c r="AI1306" s="50" t="s">
        <v>91</v>
      </c>
      <c r="AJ1306" s="80">
        <f t="shared" si="178"/>
        <v>0</v>
      </c>
      <c r="AK1306" s="80">
        <f t="shared" si="179"/>
        <v>0</v>
      </c>
      <c r="AL1306" s="80">
        <f t="shared" si="180"/>
        <v>0</v>
      </c>
      <c r="AN1306" s="38">
        <v>21</v>
      </c>
      <c r="AO1306" s="38">
        <f>H1306*1</f>
        <v>0</v>
      </c>
      <c r="AP1306" s="38">
        <f>H1306*(1-1)</f>
        <v>0</v>
      </c>
      <c r="AQ1306" s="83" t="s">
        <v>169</v>
      </c>
      <c r="AV1306" s="38">
        <f t="shared" si="181"/>
        <v>0</v>
      </c>
      <c r="AW1306" s="38">
        <f t="shared" si="182"/>
        <v>0</v>
      </c>
      <c r="AX1306" s="38">
        <f t="shared" si="183"/>
        <v>0</v>
      </c>
      <c r="AY1306" s="72" t="s">
        <v>816</v>
      </c>
      <c r="AZ1306" s="72" t="s">
        <v>2450</v>
      </c>
      <c r="BA1306" s="50" t="s">
        <v>2451</v>
      </c>
      <c r="BC1306" s="38">
        <f t="shared" si="184"/>
        <v>0</v>
      </c>
      <c r="BD1306" s="38">
        <f t="shared" si="185"/>
        <v>0</v>
      </c>
      <c r="BE1306" s="38">
        <v>0</v>
      </c>
      <c r="BF1306" s="38">
        <f t="shared" si="186"/>
        <v>0</v>
      </c>
      <c r="BH1306" s="80">
        <f t="shared" si="187"/>
        <v>0</v>
      </c>
      <c r="BI1306" s="80">
        <f t="shared" si="188"/>
        <v>0</v>
      </c>
      <c r="BJ1306" s="80">
        <f t="shared" si="189"/>
        <v>0</v>
      </c>
      <c r="BK1306" s="80"/>
      <c r="BL1306" s="38">
        <v>751</v>
      </c>
      <c r="BW1306" s="38">
        <v>21</v>
      </c>
    </row>
    <row r="1307" spans="1:75" ht="13.5" customHeight="1">
      <c r="A1307" s="1" t="s">
        <v>2482</v>
      </c>
      <c r="B1307" s="2" t="s">
        <v>91</v>
      </c>
      <c r="C1307" s="2" t="s">
        <v>2483</v>
      </c>
      <c r="D1307" s="108" t="s">
        <v>2484</v>
      </c>
      <c r="E1307" s="103"/>
      <c r="F1307" s="2" t="s">
        <v>199</v>
      </c>
      <c r="G1307" s="38">
        <v>1</v>
      </c>
      <c r="H1307" s="70">
        <v>0</v>
      </c>
      <c r="I1307" s="38">
        <f t="shared" si="168"/>
        <v>0</v>
      </c>
      <c r="J1307" s="38">
        <v>0</v>
      </c>
      <c r="K1307" s="38">
        <f t="shared" si="169"/>
        <v>0</v>
      </c>
      <c r="L1307" s="71" t="s">
        <v>207</v>
      </c>
      <c r="Z1307" s="38">
        <f t="shared" si="170"/>
        <v>0</v>
      </c>
      <c r="AB1307" s="38">
        <f t="shared" si="171"/>
        <v>0</v>
      </c>
      <c r="AC1307" s="38">
        <f t="shared" si="172"/>
        <v>0</v>
      </c>
      <c r="AD1307" s="38">
        <f t="shared" si="173"/>
        <v>0</v>
      </c>
      <c r="AE1307" s="38">
        <f t="shared" si="174"/>
        <v>0</v>
      </c>
      <c r="AF1307" s="38">
        <f t="shared" si="175"/>
        <v>0</v>
      </c>
      <c r="AG1307" s="38">
        <f t="shared" si="176"/>
        <v>0</v>
      </c>
      <c r="AH1307" s="38">
        <f t="shared" si="177"/>
        <v>0</v>
      </c>
      <c r="AI1307" s="50" t="s">
        <v>91</v>
      </c>
      <c r="AJ1307" s="38">
        <f t="shared" si="178"/>
        <v>0</v>
      </c>
      <c r="AK1307" s="38">
        <f t="shared" si="179"/>
        <v>0</v>
      </c>
      <c r="AL1307" s="38">
        <f t="shared" si="180"/>
        <v>0</v>
      </c>
      <c r="AN1307" s="38">
        <v>21</v>
      </c>
      <c r="AO1307" s="38">
        <f>H1307*0</f>
        <v>0</v>
      </c>
      <c r="AP1307" s="38">
        <f>H1307*(1-0)</f>
        <v>0</v>
      </c>
      <c r="AQ1307" s="72" t="s">
        <v>169</v>
      </c>
      <c r="AV1307" s="38">
        <f t="shared" si="181"/>
        <v>0</v>
      </c>
      <c r="AW1307" s="38">
        <f t="shared" si="182"/>
        <v>0</v>
      </c>
      <c r="AX1307" s="38">
        <f t="shared" si="183"/>
        <v>0</v>
      </c>
      <c r="AY1307" s="72" t="s">
        <v>816</v>
      </c>
      <c r="AZ1307" s="72" t="s">
        <v>2450</v>
      </c>
      <c r="BA1307" s="50" t="s">
        <v>2451</v>
      </c>
      <c r="BC1307" s="38">
        <f t="shared" si="184"/>
        <v>0</v>
      </c>
      <c r="BD1307" s="38">
        <f t="shared" si="185"/>
        <v>0</v>
      </c>
      <c r="BE1307" s="38">
        <v>0</v>
      </c>
      <c r="BF1307" s="38">
        <f t="shared" si="186"/>
        <v>0</v>
      </c>
      <c r="BH1307" s="38">
        <f t="shared" si="187"/>
        <v>0</v>
      </c>
      <c r="BI1307" s="38">
        <f t="shared" si="188"/>
        <v>0</v>
      </c>
      <c r="BJ1307" s="38">
        <f t="shared" si="189"/>
        <v>0</v>
      </c>
      <c r="BK1307" s="38"/>
      <c r="BL1307" s="38">
        <v>751</v>
      </c>
      <c r="BW1307" s="38">
        <v>21</v>
      </c>
    </row>
    <row r="1308" spans="1:75" ht="13.5" customHeight="1">
      <c r="A1308" s="78" t="s">
        <v>2485</v>
      </c>
      <c r="B1308" s="79" t="s">
        <v>91</v>
      </c>
      <c r="C1308" s="79" t="s">
        <v>2486</v>
      </c>
      <c r="D1308" s="198" t="s">
        <v>2487</v>
      </c>
      <c r="E1308" s="199"/>
      <c r="F1308" s="79" t="s">
        <v>199</v>
      </c>
      <c r="G1308" s="80">
        <v>1</v>
      </c>
      <c r="H1308" s="81">
        <v>0</v>
      </c>
      <c r="I1308" s="80">
        <f t="shared" si="168"/>
        <v>0</v>
      </c>
      <c r="J1308" s="80">
        <v>0</v>
      </c>
      <c r="K1308" s="80">
        <f t="shared" si="169"/>
        <v>0</v>
      </c>
      <c r="L1308" s="82" t="s">
        <v>207</v>
      </c>
      <c r="Z1308" s="38">
        <f t="shared" si="170"/>
        <v>0</v>
      </c>
      <c r="AB1308" s="38">
        <f t="shared" si="171"/>
        <v>0</v>
      </c>
      <c r="AC1308" s="38">
        <f t="shared" si="172"/>
        <v>0</v>
      </c>
      <c r="AD1308" s="38">
        <f t="shared" si="173"/>
        <v>0</v>
      </c>
      <c r="AE1308" s="38">
        <f t="shared" si="174"/>
        <v>0</v>
      </c>
      <c r="AF1308" s="38">
        <f t="shared" si="175"/>
        <v>0</v>
      </c>
      <c r="AG1308" s="38">
        <f t="shared" si="176"/>
        <v>0</v>
      </c>
      <c r="AH1308" s="38">
        <f t="shared" si="177"/>
        <v>0</v>
      </c>
      <c r="AI1308" s="50" t="s">
        <v>91</v>
      </c>
      <c r="AJ1308" s="80">
        <f t="shared" si="178"/>
        <v>0</v>
      </c>
      <c r="AK1308" s="80">
        <f t="shared" si="179"/>
        <v>0</v>
      </c>
      <c r="AL1308" s="80">
        <f t="shared" si="180"/>
        <v>0</v>
      </c>
      <c r="AN1308" s="38">
        <v>21</v>
      </c>
      <c r="AO1308" s="38">
        <f>H1308*1</f>
        <v>0</v>
      </c>
      <c r="AP1308" s="38">
        <f>H1308*(1-1)</f>
        <v>0</v>
      </c>
      <c r="AQ1308" s="83" t="s">
        <v>169</v>
      </c>
      <c r="AV1308" s="38">
        <f t="shared" si="181"/>
        <v>0</v>
      </c>
      <c r="AW1308" s="38">
        <f t="shared" si="182"/>
        <v>0</v>
      </c>
      <c r="AX1308" s="38">
        <f t="shared" si="183"/>
        <v>0</v>
      </c>
      <c r="AY1308" s="72" t="s">
        <v>816</v>
      </c>
      <c r="AZ1308" s="72" t="s">
        <v>2450</v>
      </c>
      <c r="BA1308" s="50" t="s">
        <v>2451</v>
      </c>
      <c r="BC1308" s="38">
        <f t="shared" si="184"/>
        <v>0</v>
      </c>
      <c r="BD1308" s="38">
        <f t="shared" si="185"/>
        <v>0</v>
      </c>
      <c r="BE1308" s="38">
        <v>0</v>
      </c>
      <c r="BF1308" s="38">
        <f t="shared" si="186"/>
        <v>0</v>
      </c>
      <c r="BH1308" s="80">
        <f t="shared" si="187"/>
        <v>0</v>
      </c>
      <c r="BI1308" s="80">
        <f t="shared" si="188"/>
        <v>0</v>
      </c>
      <c r="BJ1308" s="80">
        <f t="shared" si="189"/>
        <v>0</v>
      </c>
      <c r="BK1308" s="80"/>
      <c r="BL1308" s="38">
        <v>751</v>
      </c>
      <c r="BW1308" s="38">
        <v>21</v>
      </c>
    </row>
    <row r="1309" spans="1:75" ht="13.5" customHeight="1">
      <c r="A1309" s="1" t="s">
        <v>2488</v>
      </c>
      <c r="B1309" s="2" t="s">
        <v>91</v>
      </c>
      <c r="C1309" s="2" t="s">
        <v>2489</v>
      </c>
      <c r="D1309" s="108" t="s">
        <v>2490</v>
      </c>
      <c r="E1309" s="103"/>
      <c r="F1309" s="2" t="s">
        <v>199</v>
      </c>
      <c r="G1309" s="38">
        <v>1</v>
      </c>
      <c r="H1309" s="70">
        <v>0</v>
      </c>
      <c r="I1309" s="38">
        <f t="shared" si="168"/>
        <v>0</v>
      </c>
      <c r="J1309" s="38">
        <v>0</v>
      </c>
      <c r="K1309" s="38">
        <f t="shared" si="169"/>
        <v>0</v>
      </c>
      <c r="L1309" s="71" t="s">
        <v>207</v>
      </c>
      <c r="Z1309" s="38">
        <f t="shared" si="170"/>
        <v>0</v>
      </c>
      <c r="AB1309" s="38">
        <f t="shared" si="171"/>
        <v>0</v>
      </c>
      <c r="AC1309" s="38">
        <f t="shared" si="172"/>
        <v>0</v>
      </c>
      <c r="AD1309" s="38">
        <f t="shared" si="173"/>
        <v>0</v>
      </c>
      <c r="AE1309" s="38">
        <f t="shared" si="174"/>
        <v>0</v>
      </c>
      <c r="AF1309" s="38">
        <f t="shared" si="175"/>
        <v>0</v>
      </c>
      <c r="AG1309" s="38">
        <f t="shared" si="176"/>
        <v>0</v>
      </c>
      <c r="AH1309" s="38">
        <f t="shared" si="177"/>
        <v>0</v>
      </c>
      <c r="AI1309" s="50" t="s">
        <v>91</v>
      </c>
      <c r="AJ1309" s="38">
        <f t="shared" si="178"/>
        <v>0</v>
      </c>
      <c r="AK1309" s="38">
        <f t="shared" si="179"/>
        <v>0</v>
      </c>
      <c r="AL1309" s="38">
        <f t="shared" si="180"/>
        <v>0</v>
      </c>
      <c r="AN1309" s="38">
        <v>21</v>
      </c>
      <c r="AO1309" s="38">
        <f>H1309*0</f>
        <v>0</v>
      </c>
      <c r="AP1309" s="38">
        <f>H1309*(1-0)</f>
        <v>0</v>
      </c>
      <c r="AQ1309" s="72" t="s">
        <v>169</v>
      </c>
      <c r="AV1309" s="38">
        <f t="shared" si="181"/>
        <v>0</v>
      </c>
      <c r="AW1309" s="38">
        <f t="shared" si="182"/>
        <v>0</v>
      </c>
      <c r="AX1309" s="38">
        <f t="shared" si="183"/>
        <v>0</v>
      </c>
      <c r="AY1309" s="72" t="s">
        <v>816</v>
      </c>
      <c r="AZ1309" s="72" t="s">
        <v>2450</v>
      </c>
      <c r="BA1309" s="50" t="s">
        <v>2451</v>
      </c>
      <c r="BC1309" s="38">
        <f t="shared" si="184"/>
        <v>0</v>
      </c>
      <c r="BD1309" s="38">
        <f t="shared" si="185"/>
        <v>0</v>
      </c>
      <c r="BE1309" s="38">
        <v>0</v>
      </c>
      <c r="BF1309" s="38">
        <f t="shared" si="186"/>
        <v>0</v>
      </c>
      <c r="BH1309" s="38">
        <f t="shared" si="187"/>
        <v>0</v>
      </c>
      <c r="BI1309" s="38">
        <f t="shared" si="188"/>
        <v>0</v>
      </c>
      <c r="BJ1309" s="38">
        <f t="shared" si="189"/>
        <v>0</v>
      </c>
      <c r="BK1309" s="38"/>
      <c r="BL1309" s="38">
        <v>751</v>
      </c>
      <c r="BW1309" s="38">
        <v>21</v>
      </c>
    </row>
    <row r="1310" spans="1:75" ht="13.5" customHeight="1">
      <c r="A1310" s="78" t="s">
        <v>2491</v>
      </c>
      <c r="B1310" s="79" t="s">
        <v>91</v>
      </c>
      <c r="C1310" s="79" t="s">
        <v>2492</v>
      </c>
      <c r="D1310" s="198" t="s">
        <v>2493</v>
      </c>
      <c r="E1310" s="199"/>
      <c r="F1310" s="79" t="s">
        <v>199</v>
      </c>
      <c r="G1310" s="80">
        <v>1</v>
      </c>
      <c r="H1310" s="81">
        <v>0</v>
      </c>
      <c r="I1310" s="80">
        <f t="shared" si="168"/>
        <v>0</v>
      </c>
      <c r="J1310" s="80">
        <v>0</v>
      </c>
      <c r="K1310" s="80">
        <f t="shared" si="169"/>
        <v>0</v>
      </c>
      <c r="L1310" s="82" t="s">
        <v>207</v>
      </c>
      <c r="Z1310" s="38">
        <f t="shared" si="170"/>
        <v>0</v>
      </c>
      <c r="AB1310" s="38">
        <f t="shared" si="171"/>
        <v>0</v>
      </c>
      <c r="AC1310" s="38">
        <f t="shared" si="172"/>
        <v>0</v>
      </c>
      <c r="AD1310" s="38">
        <f t="shared" si="173"/>
        <v>0</v>
      </c>
      <c r="AE1310" s="38">
        <f t="shared" si="174"/>
        <v>0</v>
      </c>
      <c r="AF1310" s="38">
        <f t="shared" si="175"/>
        <v>0</v>
      </c>
      <c r="AG1310" s="38">
        <f t="shared" si="176"/>
        <v>0</v>
      </c>
      <c r="AH1310" s="38">
        <f t="shared" si="177"/>
        <v>0</v>
      </c>
      <c r="AI1310" s="50" t="s">
        <v>91</v>
      </c>
      <c r="AJ1310" s="80">
        <f t="shared" si="178"/>
        <v>0</v>
      </c>
      <c r="AK1310" s="80">
        <f t="shared" si="179"/>
        <v>0</v>
      </c>
      <c r="AL1310" s="80">
        <f t="shared" si="180"/>
        <v>0</v>
      </c>
      <c r="AN1310" s="38">
        <v>21</v>
      </c>
      <c r="AO1310" s="38">
        <f>H1310*1</f>
        <v>0</v>
      </c>
      <c r="AP1310" s="38">
        <f>H1310*(1-1)</f>
        <v>0</v>
      </c>
      <c r="AQ1310" s="83" t="s">
        <v>169</v>
      </c>
      <c r="AV1310" s="38">
        <f t="shared" si="181"/>
        <v>0</v>
      </c>
      <c r="AW1310" s="38">
        <f t="shared" si="182"/>
        <v>0</v>
      </c>
      <c r="AX1310" s="38">
        <f t="shared" si="183"/>
        <v>0</v>
      </c>
      <c r="AY1310" s="72" t="s">
        <v>816</v>
      </c>
      <c r="AZ1310" s="72" t="s">
        <v>2450</v>
      </c>
      <c r="BA1310" s="50" t="s">
        <v>2451</v>
      </c>
      <c r="BC1310" s="38">
        <f t="shared" si="184"/>
        <v>0</v>
      </c>
      <c r="BD1310" s="38">
        <f t="shared" si="185"/>
        <v>0</v>
      </c>
      <c r="BE1310" s="38">
        <v>0</v>
      </c>
      <c r="BF1310" s="38">
        <f t="shared" si="186"/>
        <v>0</v>
      </c>
      <c r="BH1310" s="80">
        <f t="shared" si="187"/>
        <v>0</v>
      </c>
      <c r="BI1310" s="80">
        <f t="shared" si="188"/>
        <v>0</v>
      </c>
      <c r="BJ1310" s="80">
        <f t="shared" si="189"/>
        <v>0</v>
      </c>
      <c r="BK1310" s="80"/>
      <c r="BL1310" s="38">
        <v>751</v>
      </c>
      <c r="BW1310" s="38">
        <v>21</v>
      </c>
    </row>
    <row r="1311" spans="1:75" ht="13.5" customHeight="1">
      <c r="A1311" s="1" t="s">
        <v>2494</v>
      </c>
      <c r="B1311" s="2" t="s">
        <v>91</v>
      </c>
      <c r="C1311" s="2" t="s">
        <v>2495</v>
      </c>
      <c r="D1311" s="108" t="s">
        <v>2496</v>
      </c>
      <c r="E1311" s="103"/>
      <c r="F1311" s="2" t="s">
        <v>199</v>
      </c>
      <c r="G1311" s="38">
        <v>5</v>
      </c>
      <c r="H1311" s="70">
        <v>0</v>
      </c>
      <c r="I1311" s="38">
        <f t="shared" si="168"/>
        <v>0</v>
      </c>
      <c r="J1311" s="38">
        <v>0</v>
      </c>
      <c r="K1311" s="38">
        <f t="shared" si="169"/>
        <v>0</v>
      </c>
      <c r="L1311" s="71" t="s">
        <v>207</v>
      </c>
      <c r="Z1311" s="38">
        <f t="shared" si="170"/>
        <v>0</v>
      </c>
      <c r="AB1311" s="38">
        <f t="shared" si="171"/>
        <v>0</v>
      </c>
      <c r="AC1311" s="38">
        <f t="shared" si="172"/>
        <v>0</v>
      </c>
      <c r="AD1311" s="38">
        <f t="shared" si="173"/>
        <v>0</v>
      </c>
      <c r="AE1311" s="38">
        <f t="shared" si="174"/>
        <v>0</v>
      </c>
      <c r="AF1311" s="38">
        <f t="shared" si="175"/>
        <v>0</v>
      </c>
      <c r="AG1311" s="38">
        <f t="shared" si="176"/>
        <v>0</v>
      </c>
      <c r="AH1311" s="38">
        <f t="shared" si="177"/>
        <v>0</v>
      </c>
      <c r="AI1311" s="50" t="s">
        <v>91</v>
      </c>
      <c r="AJ1311" s="38">
        <f t="shared" si="178"/>
        <v>0</v>
      </c>
      <c r="AK1311" s="38">
        <f t="shared" si="179"/>
        <v>0</v>
      </c>
      <c r="AL1311" s="38">
        <f t="shared" si="180"/>
        <v>0</v>
      </c>
      <c r="AN1311" s="38">
        <v>21</v>
      </c>
      <c r="AO1311" s="38">
        <f>H1311*0</f>
        <v>0</v>
      </c>
      <c r="AP1311" s="38">
        <f>H1311*(1-0)</f>
        <v>0</v>
      </c>
      <c r="AQ1311" s="72" t="s">
        <v>169</v>
      </c>
      <c r="AV1311" s="38">
        <f t="shared" si="181"/>
        <v>0</v>
      </c>
      <c r="AW1311" s="38">
        <f t="shared" si="182"/>
        <v>0</v>
      </c>
      <c r="AX1311" s="38">
        <f t="shared" si="183"/>
        <v>0</v>
      </c>
      <c r="AY1311" s="72" t="s">
        <v>816</v>
      </c>
      <c r="AZ1311" s="72" t="s">
        <v>2450</v>
      </c>
      <c r="BA1311" s="50" t="s">
        <v>2451</v>
      </c>
      <c r="BC1311" s="38">
        <f t="shared" si="184"/>
        <v>0</v>
      </c>
      <c r="BD1311" s="38">
        <f t="shared" si="185"/>
        <v>0</v>
      </c>
      <c r="BE1311" s="38">
        <v>0</v>
      </c>
      <c r="BF1311" s="38">
        <f t="shared" si="186"/>
        <v>0</v>
      </c>
      <c r="BH1311" s="38">
        <f t="shared" si="187"/>
        <v>0</v>
      </c>
      <c r="BI1311" s="38">
        <f t="shared" si="188"/>
        <v>0</v>
      </c>
      <c r="BJ1311" s="38">
        <f t="shared" si="189"/>
        <v>0</v>
      </c>
      <c r="BK1311" s="38"/>
      <c r="BL1311" s="38">
        <v>751</v>
      </c>
      <c r="BW1311" s="38">
        <v>21</v>
      </c>
    </row>
    <row r="1312" spans="1:75" ht="13.5" customHeight="1">
      <c r="A1312" s="78" t="s">
        <v>2497</v>
      </c>
      <c r="B1312" s="79" t="s">
        <v>91</v>
      </c>
      <c r="C1312" s="79" t="s">
        <v>2498</v>
      </c>
      <c r="D1312" s="198" t="s">
        <v>2499</v>
      </c>
      <c r="E1312" s="199"/>
      <c r="F1312" s="79" t="s">
        <v>199</v>
      </c>
      <c r="G1312" s="80">
        <v>4</v>
      </c>
      <c r="H1312" s="81">
        <v>0</v>
      </c>
      <c r="I1312" s="80">
        <f t="shared" si="168"/>
        <v>0</v>
      </c>
      <c r="J1312" s="80">
        <v>0</v>
      </c>
      <c r="K1312" s="80">
        <f t="shared" si="169"/>
        <v>0</v>
      </c>
      <c r="L1312" s="82" t="s">
        <v>207</v>
      </c>
      <c r="Z1312" s="38">
        <f t="shared" si="170"/>
        <v>0</v>
      </c>
      <c r="AB1312" s="38">
        <f t="shared" si="171"/>
        <v>0</v>
      </c>
      <c r="AC1312" s="38">
        <f t="shared" si="172"/>
        <v>0</v>
      </c>
      <c r="AD1312" s="38">
        <f t="shared" si="173"/>
        <v>0</v>
      </c>
      <c r="AE1312" s="38">
        <f t="shared" si="174"/>
        <v>0</v>
      </c>
      <c r="AF1312" s="38">
        <f t="shared" si="175"/>
        <v>0</v>
      </c>
      <c r="AG1312" s="38">
        <f t="shared" si="176"/>
        <v>0</v>
      </c>
      <c r="AH1312" s="38">
        <f t="shared" si="177"/>
        <v>0</v>
      </c>
      <c r="AI1312" s="50" t="s">
        <v>91</v>
      </c>
      <c r="AJ1312" s="80">
        <f t="shared" si="178"/>
        <v>0</v>
      </c>
      <c r="AK1312" s="80">
        <f t="shared" si="179"/>
        <v>0</v>
      </c>
      <c r="AL1312" s="80">
        <f t="shared" si="180"/>
        <v>0</v>
      </c>
      <c r="AN1312" s="38">
        <v>21</v>
      </c>
      <c r="AO1312" s="38">
        <f>H1312*1</f>
        <v>0</v>
      </c>
      <c r="AP1312" s="38">
        <f>H1312*(1-1)</f>
        <v>0</v>
      </c>
      <c r="AQ1312" s="83" t="s">
        <v>169</v>
      </c>
      <c r="AV1312" s="38">
        <f t="shared" si="181"/>
        <v>0</v>
      </c>
      <c r="AW1312" s="38">
        <f t="shared" si="182"/>
        <v>0</v>
      </c>
      <c r="AX1312" s="38">
        <f t="shared" si="183"/>
        <v>0</v>
      </c>
      <c r="AY1312" s="72" t="s">
        <v>816</v>
      </c>
      <c r="AZ1312" s="72" t="s">
        <v>2450</v>
      </c>
      <c r="BA1312" s="50" t="s">
        <v>2451</v>
      </c>
      <c r="BC1312" s="38">
        <f t="shared" si="184"/>
        <v>0</v>
      </c>
      <c r="BD1312" s="38">
        <f t="shared" si="185"/>
        <v>0</v>
      </c>
      <c r="BE1312" s="38">
        <v>0</v>
      </c>
      <c r="BF1312" s="38">
        <f t="shared" si="186"/>
        <v>0</v>
      </c>
      <c r="BH1312" s="80">
        <f t="shared" si="187"/>
        <v>0</v>
      </c>
      <c r="BI1312" s="80">
        <f t="shared" si="188"/>
        <v>0</v>
      </c>
      <c r="BJ1312" s="80">
        <f t="shared" si="189"/>
        <v>0</v>
      </c>
      <c r="BK1312" s="80"/>
      <c r="BL1312" s="38">
        <v>751</v>
      </c>
      <c r="BW1312" s="38">
        <v>21</v>
      </c>
    </row>
    <row r="1313" spans="1:75" ht="13.5" customHeight="1">
      <c r="A1313" s="78" t="s">
        <v>2500</v>
      </c>
      <c r="B1313" s="79" t="s">
        <v>91</v>
      </c>
      <c r="C1313" s="79" t="s">
        <v>2501</v>
      </c>
      <c r="D1313" s="198" t="s">
        <v>2502</v>
      </c>
      <c r="E1313" s="199"/>
      <c r="F1313" s="79" t="s">
        <v>199</v>
      </c>
      <c r="G1313" s="80">
        <v>1</v>
      </c>
      <c r="H1313" s="81">
        <v>0</v>
      </c>
      <c r="I1313" s="80">
        <f t="shared" si="168"/>
        <v>0</v>
      </c>
      <c r="J1313" s="80">
        <v>0</v>
      </c>
      <c r="K1313" s="80">
        <f t="shared" si="169"/>
        <v>0</v>
      </c>
      <c r="L1313" s="82" t="s">
        <v>207</v>
      </c>
      <c r="Z1313" s="38">
        <f t="shared" si="170"/>
        <v>0</v>
      </c>
      <c r="AB1313" s="38">
        <f t="shared" si="171"/>
        <v>0</v>
      </c>
      <c r="AC1313" s="38">
        <f t="shared" si="172"/>
        <v>0</v>
      </c>
      <c r="AD1313" s="38">
        <f t="shared" si="173"/>
        <v>0</v>
      </c>
      <c r="AE1313" s="38">
        <f t="shared" si="174"/>
        <v>0</v>
      </c>
      <c r="AF1313" s="38">
        <f t="shared" si="175"/>
        <v>0</v>
      </c>
      <c r="AG1313" s="38">
        <f t="shared" si="176"/>
        <v>0</v>
      </c>
      <c r="AH1313" s="38">
        <f t="shared" si="177"/>
        <v>0</v>
      </c>
      <c r="AI1313" s="50" t="s">
        <v>91</v>
      </c>
      <c r="AJ1313" s="80">
        <f t="shared" si="178"/>
        <v>0</v>
      </c>
      <c r="AK1313" s="80">
        <f t="shared" si="179"/>
        <v>0</v>
      </c>
      <c r="AL1313" s="80">
        <f t="shared" si="180"/>
        <v>0</v>
      </c>
      <c r="AN1313" s="38">
        <v>21</v>
      </c>
      <c r="AO1313" s="38">
        <f>H1313*1</f>
        <v>0</v>
      </c>
      <c r="AP1313" s="38">
        <f>H1313*(1-1)</f>
        <v>0</v>
      </c>
      <c r="AQ1313" s="83" t="s">
        <v>169</v>
      </c>
      <c r="AV1313" s="38">
        <f t="shared" si="181"/>
        <v>0</v>
      </c>
      <c r="AW1313" s="38">
        <f t="shared" si="182"/>
        <v>0</v>
      </c>
      <c r="AX1313" s="38">
        <f t="shared" si="183"/>
        <v>0</v>
      </c>
      <c r="AY1313" s="72" t="s">
        <v>816</v>
      </c>
      <c r="AZ1313" s="72" t="s">
        <v>2450</v>
      </c>
      <c r="BA1313" s="50" t="s">
        <v>2451</v>
      </c>
      <c r="BC1313" s="38">
        <f t="shared" si="184"/>
        <v>0</v>
      </c>
      <c r="BD1313" s="38">
        <f t="shared" si="185"/>
        <v>0</v>
      </c>
      <c r="BE1313" s="38">
        <v>0</v>
      </c>
      <c r="BF1313" s="38">
        <f t="shared" si="186"/>
        <v>0</v>
      </c>
      <c r="BH1313" s="80">
        <f t="shared" si="187"/>
        <v>0</v>
      </c>
      <c r="BI1313" s="80">
        <f t="shared" si="188"/>
        <v>0</v>
      </c>
      <c r="BJ1313" s="80">
        <f t="shared" si="189"/>
        <v>0</v>
      </c>
      <c r="BK1313" s="80"/>
      <c r="BL1313" s="38">
        <v>751</v>
      </c>
      <c r="BW1313" s="38">
        <v>21</v>
      </c>
    </row>
    <row r="1314" spans="1:75" ht="13.5" customHeight="1">
      <c r="A1314" s="1" t="s">
        <v>2503</v>
      </c>
      <c r="B1314" s="2" t="s">
        <v>91</v>
      </c>
      <c r="C1314" s="2" t="s">
        <v>2504</v>
      </c>
      <c r="D1314" s="108" t="s">
        <v>2505</v>
      </c>
      <c r="E1314" s="103"/>
      <c r="F1314" s="2" t="s">
        <v>199</v>
      </c>
      <c r="G1314" s="38">
        <v>2</v>
      </c>
      <c r="H1314" s="70">
        <v>0</v>
      </c>
      <c r="I1314" s="38">
        <f t="shared" si="168"/>
        <v>0</v>
      </c>
      <c r="J1314" s="38">
        <v>0</v>
      </c>
      <c r="K1314" s="38">
        <f t="shared" si="169"/>
        <v>0</v>
      </c>
      <c r="L1314" s="71" t="s">
        <v>207</v>
      </c>
      <c r="Z1314" s="38">
        <f t="shared" si="170"/>
        <v>0</v>
      </c>
      <c r="AB1314" s="38">
        <f t="shared" si="171"/>
        <v>0</v>
      </c>
      <c r="AC1314" s="38">
        <f t="shared" si="172"/>
        <v>0</v>
      </c>
      <c r="AD1314" s="38">
        <f t="shared" si="173"/>
        <v>0</v>
      </c>
      <c r="AE1314" s="38">
        <f t="shared" si="174"/>
        <v>0</v>
      </c>
      <c r="AF1314" s="38">
        <f t="shared" si="175"/>
        <v>0</v>
      </c>
      <c r="AG1314" s="38">
        <f t="shared" si="176"/>
        <v>0</v>
      </c>
      <c r="AH1314" s="38">
        <f t="shared" si="177"/>
        <v>0</v>
      </c>
      <c r="AI1314" s="50" t="s">
        <v>91</v>
      </c>
      <c r="AJ1314" s="38">
        <f t="shared" si="178"/>
        <v>0</v>
      </c>
      <c r="AK1314" s="38">
        <f t="shared" si="179"/>
        <v>0</v>
      </c>
      <c r="AL1314" s="38">
        <f t="shared" si="180"/>
        <v>0</v>
      </c>
      <c r="AN1314" s="38">
        <v>21</v>
      </c>
      <c r="AO1314" s="38">
        <f>H1314*0</f>
        <v>0</v>
      </c>
      <c r="AP1314" s="38">
        <f>H1314*(1-0)</f>
        <v>0</v>
      </c>
      <c r="AQ1314" s="72" t="s">
        <v>169</v>
      </c>
      <c r="AV1314" s="38">
        <f t="shared" si="181"/>
        <v>0</v>
      </c>
      <c r="AW1314" s="38">
        <f t="shared" si="182"/>
        <v>0</v>
      </c>
      <c r="AX1314" s="38">
        <f t="shared" si="183"/>
        <v>0</v>
      </c>
      <c r="AY1314" s="72" t="s">
        <v>816</v>
      </c>
      <c r="AZ1314" s="72" t="s">
        <v>2450</v>
      </c>
      <c r="BA1314" s="50" t="s">
        <v>2451</v>
      </c>
      <c r="BC1314" s="38">
        <f t="shared" si="184"/>
        <v>0</v>
      </c>
      <c r="BD1314" s="38">
        <f t="shared" si="185"/>
        <v>0</v>
      </c>
      <c r="BE1314" s="38">
        <v>0</v>
      </c>
      <c r="BF1314" s="38">
        <f t="shared" si="186"/>
        <v>0</v>
      </c>
      <c r="BH1314" s="38">
        <f t="shared" si="187"/>
        <v>0</v>
      </c>
      <c r="BI1314" s="38">
        <f t="shared" si="188"/>
        <v>0</v>
      </c>
      <c r="BJ1314" s="38">
        <f t="shared" si="189"/>
        <v>0</v>
      </c>
      <c r="BK1314" s="38"/>
      <c r="BL1314" s="38">
        <v>751</v>
      </c>
      <c r="BW1314" s="38">
        <v>21</v>
      </c>
    </row>
    <row r="1315" spans="1:75" ht="13.5" customHeight="1">
      <c r="A1315" s="78" t="s">
        <v>2506</v>
      </c>
      <c r="B1315" s="79" t="s">
        <v>91</v>
      </c>
      <c r="C1315" s="79" t="s">
        <v>2507</v>
      </c>
      <c r="D1315" s="198" t="s">
        <v>2508</v>
      </c>
      <c r="E1315" s="199"/>
      <c r="F1315" s="79" t="s">
        <v>199</v>
      </c>
      <c r="G1315" s="80">
        <v>4</v>
      </c>
      <c r="H1315" s="81">
        <v>0</v>
      </c>
      <c r="I1315" s="80">
        <f t="shared" si="168"/>
        <v>0</v>
      </c>
      <c r="J1315" s="80">
        <v>0</v>
      </c>
      <c r="K1315" s="80">
        <f t="shared" si="169"/>
        <v>0</v>
      </c>
      <c r="L1315" s="82" t="s">
        <v>207</v>
      </c>
      <c r="Z1315" s="38">
        <f t="shared" si="170"/>
        <v>0</v>
      </c>
      <c r="AB1315" s="38">
        <f t="shared" si="171"/>
        <v>0</v>
      </c>
      <c r="AC1315" s="38">
        <f t="shared" si="172"/>
        <v>0</v>
      </c>
      <c r="AD1315" s="38">
        <f t="shared" si="173"/>
        <v>0</v>
      </c>
      <c r="AE1315" s="38">
        <f t="shared" si="174"/>
        <v>0</v>
      </c>
      <c r="AF1315" s="38">
        <f t="shared" si="175"/>
        <v>0</v>
      </c>
      <c r="AG1315" s="38">
        <f t="shared" si="176"/>
        <v>0</v>
      </c>
      <c r="AH1315" s="38">
        <f t="shared" si="177"/>
        <v>0</v>
      </c>
      <c r="AI1315" s="50" t="s">
        <v>91</v>
      </c>
      <c r="AJ1315" s="80">
        <f t="shared" si="178"/>
        <v>0</v>
      </c>
      <c r="AK1315" s="80">
        <f t="shared" si="179"/>
        <v>0</v>
      </c>
      <c r="AL1315" s="80">
        <f t="shared" si="180"/>
        <v>0</v>
      </c>
      <c r="AN1315" s="38">
        <v>21</v>
      </c>
      <c r="AO1315" s="38">
        <f>H1315*1</f>
        <v>0</v>
      </c>
      <c r="AP1315" s="38">
        <f>H1315*(1-1)</f>
        <v>0</v>
      </c>
      <c r="AQ1315" s="83" t="s">
        <v>169</v>
      </c>
      <c r="AV1315" s="38">
        <f t="shared" si="181"/>
        <v>0</v>
      </c>
      <c r="AW1315" s="38">
        <f t="shared" si="182"/>
        <v>0</v>
      </c>
      <c r="AX1315" s="38">
        <f t="shared" si="183"/>
        <v>0</v>
      </c>
      <c r="AY1315" s="72" t="s">
        <v>816</v>
      </c>
      <c r="AZ1315" s="72" t="s">
        <v>2450</v>
      </c>
      <c r="BA1315" s="50" t="s">
        <v>2451</v>
      </c>
      <c r="BC1315" s="38">
        <f t="shared" si="184"/>
        <v>0</v>
      </c>
      <c r="BD1315" s="38">
        <f t="shared" si="185"/>
        <v>0</v>
      </c>
      <c r="BE1315" s="38">
        <v>0</v>
      </c>
      <c r="BF1315" s="38">
        <f t="shared" si="186"/>
        <v>0</v>
      </c>
      <c r="BH1315" s="80">
        <f t="shared" si="187"/>
        <v>0</v>
      </c>
      <c r="BI1315" s="80">
        <f t="shared" si="188"/>
        <v>0</v>
      </c>
      <c r="BJ1315" s="80">
        <f t="shared" si="189"/>
        <v>0</v>
      </c>
      <c r="BK1315" s="80"/>
      <c r="BL1315" s="38">
        <v>751</v>
      </c>
      <c r="BW1315" s="38">
        <v>21</v>
      </c>
    </row>
    <row r="1316" spans="1:75" ht="13.5" customHeight="1">
      <c r="A1316" s="1" t="s">
        <v>2509</v>
      </c>
      <c r="B1316" s="2" t="s">
        <v>91</v>
      </c>
      <c r="C1316" s="2" t="s">
        <v>2510</v>
      </c>
      <c r="D1316" s="108" t="s">
        <v>2511</v>
      </c>
      <c r="E1316" s="103"/>
      <c r="F1316" s="2" t="s">
        <v>199</v>
      </c>
      <c r="G1316" s="38">
        <v>1</v>
      </c>
      <c r="H1316" s="70">
        <v>0</v>
      </c>
      <c r="I1316" s="38">
        <f t="shared" si="168"/>
        <v>0</v>
      </c>
      <c r="J1316" s="38">
        <v>0</v>
      </c>
      <c r="K1316" s="38">
        <f t="shared" si="169"/>
        <v>0</v>
      </c>
      <c r="L1316" s="71" t="s">
        <v>207</v>
      </c>
      <c r="Z1316" s="38">
        <f t="shared" si="170"/>
        <v>0</v>
      </c>
      <c r="AB1316" s="38">
        <f t="shared" si="171"/>
        <v>0</v>
      </c>
      <c r="AC1316" s="38">
        <f t="shared" si="172"/>
        <v>0</v>
      </c>
      <c r="AD1316" s="38">
        <f t="shared" si="173"/>
        <v>0</v>
      </c>
      <c r="AE1316" s="38">
        <f t="shared" si="174"/>
        <v>0</v>
      </c>
      <c r="AF1316" s="38">
        <f t="shared" si="175"/>
        <v>0</v>
      </c>
      <c r="AG1316" s="38">
        <f t="shared" si="176"/>
        <v>0</v>
      </c>
      <c r="AH1316" s="38">
        <f t="shared" si="177"/>
        <v>0</v>
      </c>
      <c r="AI1316" s="50" t="s">
        <v>91</v>
      </c>
      <c r="AJ1316" s="38">
        <f t="shared" si="178"/>
        <v>0</v>
      </c>
      <c r="AK1316" s="38">
        <f t="shared" si="179"/>
        <v>0</v>
      </c>
      <c r="AL1316" s="38">
        <f t="shared" si="180"/>
        <v>0</v>
      </c>
      <c r="AN1316" s="38">
        <v>21</v>
      </c>
      <c r="AO1316" s="38">
        <f>H1316*0</f>
        <v>0</v>
      </c>
      <c r="AP1316" s="38">
        <f>H1316*(1-0)</f>
        <v>0</v>
      </c>
      <c r="AQ1316" s="72" t="s">
        <v>169</v>
      </c>
      <c r="AV1316" s="38">
        <f t="shared" si="181"/>
        <v>0</v>
      </c>
      <c r="AW1316" s="38">
        <f t="shared" si="182"/>
        <v>0</v>
      </c>
      <c r="AX1316" s="38">
        <f t="shared" si="183"/>
        <v>0</v>
      </c>
      <c r="AY1316" s="72" t="s">
        <v>816</v>
      </c>
      <c r="AZ1316" s="72" t="s">
        <v>2450</v>
      </c>
      <c r="BA1316" s="50" t="s">
        <v>2451</v>
      </c>
      <c r="BC1316" s="38">
        <f t="shared" si="184"/>
        <v>0</v>
      </c>
      <c r="BD1316" s="38">
        <f t="shared" si="185"/>
        <v>0</v>
      </c>
      <c r="BE1316" s="38">
        <v>0</v>
      </c>
      <c r="BF1316" s="38">
        <f t="shared" si="186"/>
        <v>0</v>
      </c>
      <c r="BH1316" s="38">
        <f t="shared" si="187"/>
        <v>0</v>
      </c>
      <c r="BI1316" s="38">
        <f t="shared" si="188"/>
        <v>0</v>
      </c>
      <c r="BJ1316" s="38">
        <f t="shared" si="189"/>
        <v>0</v>
      </c>
      <c r="BK1316" s="38"/>
      <c r="BL1316" s="38">
        <v>751</v>
      </c>
      <c r="BW1316" s="38">
        <v>21</v>
      </c>
    </row>
    <row r="1317" spans="1:75" ht="13.5" customHeight="1">
      <c r="A1317" s="78" t="s">
        <v>2512</v>
      </c>
      <c r="B1317" s="79" t="s">
        <v>91</v>
      </c>
      <c r="C1317" s="79" t="s">
        <v>2513</v>
      </c>
      <c r="D1317" s="198" t="s">
        <v>2514</v>
      </c>
      <c r="E1317" s="199"/>
      <c r="F1317" s="79" t="s">
        <v>199</v>
      </c>
      <c r="G1317" s="80">
        <v>1</v>
      </c>
      <c r="H1317" s="81">
        <v>0</v>
      </c>
      <c r="I1317" s="80">
        <f t="shared" si="168"/>
        <v>0</v>
      </c>
      <c r="J1317" s="80">
        <v>0</v>
      </c>
      <c r="K1317" s="80">
        <f t="shared" si="169"/>
        <v>0</v>
      </c>
      <c r="L1317" s="82" t="s">
        <v>207</v>
      </c>
      <c r="Z1317" s="38">
        <f t="shared" si="170"/>
        <v>0</v>
      </c>
      <c r="AB1317" s="38">
        <f t="shared" si="171"/>
        <v>0</v>
      </c>
      <c r="AC1317" s="38">
        <f t="shared" si="172"/>
        <v>0</v>
      </c>
      <c r="AD1317" s="38">
        <f t="shared" si="173"/>
        <v>0</v>
      </c>
      <c r="AE1317" s="38">
        <f t="shared" si="174"/>
        <v>0</v>
      </c>
      <c r="AF1317" s="38">
        <f t="shared" si="175"/>
        <v>0</v>
      </c>
      <c r="AG1317" s="38">
        <f t="shared" si="176"/>
        <v>0</v>
      </c>
      <c r="AH1317" s="38">
        <f t="shared" si="177"/>
        <v>0</v>
      </c>
      <c r="AI1317" s="50" t="s">
        <v>91</v>
      </c>
      <c r="AJ1317" s="80">
        <f t="shared" si="178"/>
        <v>0</v>
      </c>
      <c r="AK1317" s="80">
        <f t="shared" si="179"/>
        <v>0</v>
      </c>
      <c r="AL1317" s="80">
        <f t="shared" si="180"/>
        <v>0</v>
      </c>
      <c r="AN1317" s="38">
        <v>21</v>
      </c>
      <c r="AO1317" s="38">
        <f>H1317*1</f>
        <v>0</v>
      </c>
      <c r="AP1317" s="38">
        <f>H1317*(1-1)</f>
        <v>0</v>
      </c>
      <c r="AQ1317" s="83" t="s">
        <v>169</v>
      </c>
      <c r="AV1317" s="38">
        <f t="shared" si="181"/>
        <v>0</v>
      </c>
      <c r="AW1317" s="38">
        <f t="shared" si="182"/>
        <v>0</v>
      </c>
      <c r="AX1317" s="38">
        <f t="shared" si="183"/>
        <v>0</v>
      </c>
      <c r="AY1317" s="72" t="s">
        <v>816</v>
      </c>
      <c r="AZ1317" s="72" t="s">
        <v>2450</v>
      </c>
      <c r="BA1317" s="50" t="s">
        <v>2451</v>
      </c>
      <c r="BC1317" s="38">
        <f t="shared" si="184"/>
        <v>0</v>
      </c>
      <c r="BD1317" s="38">
        <f t="shared" si="185"/>
        <v>0</v>
      </c>
      <c r="BE1317" s="38">
        <v>0</v>
      </c>
      <c r="BF1317" s="38">
        <f t="shared" si="186"/>
        <v>0</v>
      </c>
      <c r="BH1317" s="80">
        <f t="shared" si="187"/>
        <v>0</v>
      </c>
      <c r="BI1317" s="80">
        <f t="shared" si="188"/>
        <v>0</v>
      </c>
      <c r="BJ1317" s="80">
        <f t="shared" si="189"/>
        <v>0</v>
      </c>
      <c r="BK1317" s="80"/>
      <c r="BL1317" s="38">
        <v>751</v>
      </c>
      <c r="BW1317" s="38">
        <v>21</v>
      </c>
    </row>
    <row r="1318" spans="1:75" ht="13.5" customHeight="1">
      <c r="A1318" s="1" t="s">
        <v>2515</v>
      </c>
      <c r="B1318" s="2" t="s">
        <v>91</v>
      </c>
      <c r="C1318" s="2" t="s">
        <v>2516</v>
      </c>
      <c r="D1318" s="108" t="s">
        <v>2517</v>
      </c>
      <c r="E1318" s="103"/>
      <c r="F1318" s="2" t="s">
        <v>214</v>
      </c>
      <c r="G1318" s="38">
        <v>35</v>
      </c>
      <c r="H1318" s="70">
        <v>0</v>
      </c>
      <c r="I1318" s="38">
        <f t="shared" si="168"/>
        <v>0</v>
      </c>
      <c r="J1318" s="38">
        <v>0</v>
      </c>
      <c r="K1318" s="38">
        <f t="shared" si="169"/>
        <v>0</v>
      </c>
      <c r="L1318" s="71" t="s">
        <v>207</v>
      </c>
      <c r="Z1318" s="38">
        <f t="shared" si="170"/>
        <v>0</v>
      </c>
      <c r="AB1318" s="38">
        <f t="shared" si="171"/>
        <v>0</v>
      </c>
      <c r="AC1318" s="38">
        <f t="shared" si="172"/>
        <v>0</v>
      </c>
      <c r="AD1318" s="38">
        <f t="shared" si="173"/>
        <v>0</v>
      </c>
      <c r="AE1318" s="38">
        <f t="shared" si="174"/>
        <v>0</v>
      </c>
      <c r="AF1318" s="38">
        <f t="shared" si="175"/>
        <v>0</v>
      </c>
      <c r="AG1318" s="38">
        <f t="shared" si="176"/>
        <v>0</v>
      </c>
      <c r="AH1318" s="38">
        <f t="shared" si="177"/>
        <v>0</v>
      </c>
      <c r="AI1318" s="50" t="s">
        <v>91</v>
      </c>
      <c r="AJ1318" s="38">
        <f t="shared" si="178"/>
        <v>0</v>
      </c>
      <c r="AK1318" s="38">
        <f t="shared" si="179"/>
        <v>0</v>
      </c>
      <c r="AL1318" s="38">
        <f t="shared" si="180"/>
        <v>0</v>
      </c>
      <c r="AN1318" s="38">
        <v>21</v>
      </c>
      <c r="AO1318" s="38">
        <f>H1318*0</f>
        <v>0</v>
      </c>
      <c r="AP1318" s="38">
        <f>H1318*(1-0)</f>
        <v>0</v>
      </c>
      <c r="AQ1318" s="72" t="s">
        <v>169</v>
      </c>
      <c r="AV1318" s="38">
        <f t="shared" si="181"/>
        <v>0</v>
      </c>
      <c r="AW1318" s="38">
        <f t="shared" si="182"/>
        <v>0</v>
      </c>
      <c r="AX1318" s="38">
        <f t="shared" si="183"/>
        <v>0</v>
      </c>
      <c r="AY1318" s="72" t="s">
        <v>816</v>
      </c>
      <c r="AZ1318" s="72" t="s">
        <v>2450</v>
      </c>
      <c r="BA1318" s="50" t="s">
        <v>2451</v>
      </c>
      <c r="BC1318" s="38">
        <f t="shared" si="184"/>
        <v>0</v>
      </c>
      <c r="BD1318" s="38">
        <f t="shared" si="185"/>
        <v>0</v>
      </c>
      <c r="BE1318" s="38">
        <v>0</v>
      </c>
      <c r="BF1318" s="38">
        <f t="shared" si="186"/>
        <v>0</v>
      </c>
      <c r="BH1318" s="38">
        <f t="shared" si="187"/>
        <v>0</v>
      </c>
      <c r="BI1318" s="38">
        <f t="shared" si="188"/>
        <v>0</v>
      </c>
      <c r="BJ1318" s="38">
        <f t="shared" si="189"/>
        <v>0</v>
      </c>
      <c r="BK1318" s="38"/>
      <c r="BL1318" s="38">
        <v>751</v>
      </c>
      <c r="BW1318" s="38">
        <v>21</v>
      </c>
    </row>
    <row r="1319" spans="1:75" ht="27" customHeight="1">
      <c r="A1319" s="1" t="s">
        <v>2518</v>
      </c>
      <c r="B1319" s="2" t="s">
        <v>91</v>
      </c>
      <c r="C1319" s="2" t="s">
        <v>2519</v>
      </c>
      <c r="D1319" s="108" t="s">
        <v>2520</v>
      </c>
      <c r="E1319" s="103"/>
      <c r="F1319" s="2" t="s">
        <v>214</v>
      </c>
      <c r="G1319" s="38">
        <v>22</v>
      </c>
      <c r="H1319" s="70">
        <v>0</v>
      </c>
      <c r="I1319" s="38">
        <f t="shared" si="168"/>
        <v>0</v>
      </c>
      <c r="J1319" s="38">
        <v>0</v>
      </c>
      <c r="K1319" s="38">
        <f t="shared" si="169"/>
        <v>0</v>
      </c>
      <c r="L1319" s="71" t="s">
        <v>207</v>
      </c>
      <c r="Z1319" s="38">
        <f t="shared" si="170"/>
        <v>0</v>
      </c>
      <c r="AB1319" s="38">
        <f t="shared" si="171"/>
        <v>0</v>
      </c>
      <c r="AC1319" s="38">
        <f t="shared" si="172"/>
        <v>0</v>
      </c>
      <c r="AD1319" s="38">
        <f t="shared" si="173"/>
        <v>0</v>
      </c>
      <c r="AE1319" s="38">
        <f t="shared" si="174"/>
        <v>0</v>
      </c>
      <c r="AF1319" s="38">
        <f t="shared" si="175"/>
        <v>0</v>
      </c>
      <c r="AG1319" s="38">
        <f t="shared" si="176"/>
        <v>0</v>
      </c>
      <c r="AH1319" s="38">
        <f t="shared" si="177"/>
        <v>0</v>
      </c>
      <c r="AI1319" s="50" t="s">
        <v>91</v>
      </c>
      <c r="AJ1319" s="38">
        <f t="shared" si="178"/>
        <v>0</v>
      </c>
      <c r="AK1319" s="38">
        <f t="shared" si="179"/>
        <v>0</v>
      </c>
      <c r="AL1319" s="38">
        <f t="shared" si="180"/>
        <v>0</v>
      </c>
      <c r="AN1319" s="38">
        <v>21</v>
      </c>
      <c r="AO1319" s="38">
        <f>H1319*0</f>
        <v>0</v>
      </c>
      <c r="AP1319" s="38">
        <f>H1319*(1-0)</f>
        <v>0</v>
      </c>
      <c r="AQ1319" s="72" t="s">
        <v>169</v>
      </c>
      <c r="AV1319" s="38">
        <f t="shared" si="181"/>
        <v>0</v>
      </c>
      <c r="AW1319" s="38">
        <f t="shared" si="182"/>
        <v>0</v>
      </c>
      <c r="AX1319" s="38">
        <f t="shared" si="183"/>
        <v>0</v>
      </c>
      <c r="AY1319" s="72" t="s">
        <v>816</v>
      </c>
      <c r="AZ1319" s="72" t="s">
        <v>2450</v>
      </c>
      <c r="BA1319" s="50" t="s">
        <v>2451</v>
      </c>
      <c r="BC1319" s="38">
        <f t="shared" si="184"/>
        <v>0</v>
      </c>
      <c r="BD1319" s="38">
        <f t="shared" si="185"/>
        <v>0</v>
      </c>
      <c r="BE1319" s="38">
        <v>0</v>
      </c>
      <c r="BF1319" s="38">
        <f t="shared" si="186"/>
        <v>0</v>
      </c>
      <c r="BH1319" s="38">
        <f t="shared" si="187"/>
        <v>0</v>
      </c>
      <c r="BI1319" s="38">
        <f t="shared" si="188"/>
        <v>0</v>
      </c>
      <c r="BJ1319" s="38">
        <f t="shared" si="189"/>
        <v>0</v>
      </c>
      <c r="BK1319" s="38"/>
      <c r="BL1319" s="38">
        <v>751</v>
      </c>
      <c r="BW1319" s="38">
        <v>21</v>
      </c>
    </row>
    <row r="1320" spans="1:75" ht="13.5" customHeight="1">
      <c r="A1320" s="78" t="s">
        <v>2521</v>
      </c>
      <c r="B1320" s="79" t="s">
        <v>91</v>
      </c>
      <c r="C1320" s="79" t="s">
        <v>2522</v>
      </c>
      <c r="D1320" s="198" t="s">
        <v>2523</v>
      </c>
      <c r="E1320" s="199"/>
      <c r="F1320" s="79" t="s">
        <v>1097</v>
      </c>
      <c r="G1320" s="80">
        <v>3</v>
      </c>
      <c r="H1320" s="81">
        <v>0</v>
      </c>
      <c r="I1320" s="80">
        <f t="shared" si="168"/>
        <v>0</v>
      </c>
      <c r="J1320" s="80">
        <v>0</v>
      </c>
      <c r="K1320" s="80">
        <f t="shared" si="169"/>
        <v>0</v>
      </c>
      <c r="L1320" s="82" t="s">
        <v>207</v>
      </c>
      <c r="Z1320" s="38">
        <f t="shared" si="170"/>
        <v>0</v>
      </c>
      <c r="AB1320" s="38">
        <f t="shared" si="171"/>
        <v>0</v>
      </c>
      <c r="AC1320" s="38">
        <f t="shared" si="172"/>
        <v>0</v>
      </c>
      <c r="AD1320" s="38">
        <f t="shared" si="173"/>
        <v>0</v>
      </c>
      <c r="AE1320" s="38">
        <f t="shared" si="174"/>
        <v>0</v>
      </c>
      <c r="AF1320" s="38">
        <f t="shared" si="175"/>
        <v>0</v>
      </c>
      <c r="AG1320" s="38">
        <f t="shared" si="176"/>
        <v>0</v>
      </c>
      <c r="AH1320" s="38">
        <f t="shared" si="177"/>
        <v>0</v>
      </c>
      <c r="AI1320" s="50" t="s">
        <v>91</v>
      </c>
      <c r="AJ1320" s="80">
        <f t="shared" si="178"/>
        <v>0</v>
      </c>
      <c r="AK1320" s="80">
        <f t="shared" si="179"/>
        <v>0</v>
      </c>
      <c r="AL1320" s="80">
        <f t="shared" si="180"/>
        <v>0</v>
      </c>
      <c r="AN1320" s="38">
        <v>21</v>
      </c>
      <c r="AO1320" s="38">
        <f>H1320*1</f>
        <v>0</v>
      </c>
      <c r="AP1320" s="38">
        <f>H1320*(1-1)</f>
        <v>0</v>
      </c>
      <c r="AQ1320" s="83" t="s">
        <v>169</v>
      </c>
      <c r="AV1320" s="38">
        <f t="shared" si="181"/>
        <v>0</v>
      </c>
      <c r="AW1320" s="38">
        <f t="shared" si="182"/>
        <v>0</v>
      </c>
      <c r="AX1320" s="38">
        <f t="shared" si="183"/>
        <v>0</v>
      </c>
      <c r="AY1320" s="72" t="s">
        <v>816</v>
      </c>
      <c r="AZ1320" s="72" t="s">
        <v>2450</v>
      </c>
      <c r="BA1320" s="50" t="s">
        <v>2451</v>
      </c>
      <c r="BC1320" s="38">
        <f t="shared" si="184"/>
        <v>0</v>
      </c>
      <c r="BD1320" s="38">
        <f t="shared" si="185"/>
        <v>0</v>
      </c>
      <c r="BE1320" s="38">
        <v>0</v>
      </c>
      <c r="BF1320" s="38">
        <f t="shared" si="186"/>
        <v>0</v>
      </c>
      <c r="BH1320" s="80">
        <f t="shared" si="187"/>
        <v>0</v>
      </c>
      <c r="BI1320" s="80">
        <f t="shared" si="188"/>
        <v>0</v>
      </c>
      <c r="BJ1320" s="80">
        <f t="shared" si="189"/>
        <v>0</v>
      </c>
      <c r="BK1320" s="80"/>
      <c r="BL1320" s="38">
        <v>751</v>
      </c>
      <c r="BW1320" s="38">
        <v>21</v>
      </c>
    </row>
    <row r="1321" spans="1:75" ht="13.5" customHeight="1">
      <c r="A1321" s="78" t="s">
        <v>2524</v>
      </c>
      <c r="B1321" s="79" t="s">
        <v>91</v>
      </c>
      <c r="C1321" s="79" t="s">
        <v>2525</v>
      </c>
      <c r="D1321" s="198" t="s">
        <v>2526</v>
      </c>
      <c r="E1321" s="199"/>
      <c r="F1321" s="79" t="s">
        <v>471</v>
      </c>
      <c r="G1321" s="80">
        <v>3</v>
      </c>
      <c r="H1321" s="81">
        <v>0</v>
      </c>
      <c r="I1321" s="80">
        <f t="shared" si="168"/>
        <v>0</v>
      </c>
      <c r="J1321" s="80">
        <v>0</v>
      </c>
      <c r="K1321" s="80">
        <f t="shared" si="169"/>
        <v>0</v>
      </c>
      <c r="L1321" s="82" t="s">
        <v>207</v>
      </c>
      <c r="Z1321" s="38">
        <f t="shared" si="170"/>
        <v>0</v>
      </c>
      <c r="AB1321" s="38">
        <f t="shared" si="171"/>
        <v>0</v>
      </c>
      <c r="AC1321" s="38">
        <f t="shared" si="172"/>
        <v>0</v>
      </c>
      <c r="AD1321" s="38">
        <f t="shared" si="173"/>
        <v>0</v>
      </c>
      <c r="AE1321" s="38">
        <f t="shared" si="174"/>
        <v>0</v>
      </c>
      <c r="AF1321" s="38">
        <f t="shared" si="175"/>
        <v>0</v>
      </c>
      <c r="AG1321" s="38">
        <f t="shared" si="176"/>
        <v>0</v>
      </c>
      <c r="AH1321" s="38">
        <f t="shared" si="177"/>
        <v>0</v>
      </c>
      <c r="AI1321" s="50" t="s">
        <v>91</v>
      </c>
      <c r="AJ1321" s="80">
        <f t="shared" si="178"/>
        <v>0</v>
      </c>
      <c r="AK1321" s="80">
        <f t="shared" si="179"/>
        <v>0</v>
      </c>
      <c r="AL1321" s="80">
        <f t="shared" si="180"/>
        <v>0</v>
      </c>
      <c r="AN1321" s="38">
        <v>21</v>
      </c>
      <c r="AO1321" s="38">
        <f>H1321*1</f>
        <v>0</v>
      </c>
      <c r="AP1321" s="38">
        <f>H1321*(1-1)</f>
        <v>0</v>
      </c>
      <c r="AQ1321" s="83" t="s">
        <v>169</v>
      </c>
      <c r="AV1321" s="38">
        <f t="shared" si="181"/>
        <v>0</v>
      </c>
      <c r="AW1321" s="38">
        <f t="shared" si="182"/>
        <v>0</v>
      </c>
      <c r="AX1321" s="38">
        <f t="shared" si="183"/>
        <v>0</v>
      </c>
      <c r="AY1321" s="72" t="s">
        <v>816</v>
      </c>
      <c r="AZ1321" s="72" t="s">
        <v>2450</v>
      </c>
      <c r="BA1321" s="50" t="s">
        <v>2451</v>
      </c>
      <c r="BC1321" s="38">
        <f t="shared" si="184"/>
        <v>0</v>
      </c>
      <c r="BD1321" s="38">
        <f t="shared" si="185"/>
        <v>0</v>
      </c>
      <c r="BE1321" s="38">
        <v>0</v>
      </c>
      <c r="BF1321" s="38">
        <f t="shared" si="186"/>
        <v>0</v>
      </c>
      <c r="BH1321" s="80">
        <f t="shared" si="187"/>
        <v>0</v>
      </c>
      <c r="BI1321" s="80">
        <f t="shared" si="188"/>
        <v>0</v>
      </c>
      <c r="BJ1321" s="80">
        <f t="shared" si="189"/>
        <v>0</v>
      </c>
      <c r="BK1321" s="80"/>
      <c r="BL1321" s="38">
        <v>751</v>
      </c>
      <c r="BW1321" s="38">
        <v>21</v>
      </c>
    </row>
    <row r="1322" spans="1:75" ht="27" customHeight="1">
      <c r="A1322" s="1" t="s">
        <v>2527</v>
      </c>
      <c r="B1322" s="2" t="s">
        <v>91</v>
      </c>
      <c r="C1322" s="2" t="s">
        <v>2528</v>
      </c>
      <c r="D1322" s="108" t="s">
        <v>2529</v>
      </c>
      <c r="E1322" s="103"/>
      <c r="F1322" s="2" t="s">
        <v>199</v>
      </c>
      <c r="G1322" s="38">
        <v>1</v>
      </c>
      <c r="H1322" s="70">
        <v>0</v>
      </c>
      <c r="I1322" s="38">
        <f t="shared" si="168"/>
        <v>0</v>
      </c>
      <c r="J1322" s="38">
        <v>0</v>
      </c>
      <c r="K1322" s="38">
        <f t="shared" si="169"/>
        <v>0</v>
      </c>
      <c r="L1322" s="71" t="s">
        <v>207</v>
      </c>
      <c r="Z1322" s="38">
        <f t="shared" si="170"/>
        <v>0</v>
      </c>
      <c r="AB1322" s="38">
        <f t="shared" si="171"/>
        <v>0</v>
      </c>
      <c r="AC1322" s="38">
        <f t="shared" si="172"/>
        <v>0</v>
      </c>
      <c r="AD1322" s="38">
        <f t="shared" si="173"/>
        <v>0</v>
      </c>
      <c r="AE1322" s="38">
        <f t="shared" si="174"/>
        <v>0</v>
      </c>
      <c r="AF1322" s="38">
        <f t="shared" si="175"/>
        <v>0</v>
      </c>
      <c r="AG1322" s="38">
        <f t="shared" si="176"/>
        <v>0</v>
      </c>
      <c r="AH1322" s="38">
        <f t="shared" si="177"/>
        <v>0</v>
      </c>
      <c r="AI1322" s="50" t="s">
        <v>91</v>
      </c>
      <c r="AJ1322" s="38">
        <f t="shared" si="178"/>
        <v>0</v>
      </c>
      <c r="AK1322" s="38">
        <f t="shared" si="179"/>
        <v>0</v>
      </c>
      <c r="AL1322" s="38">
        <f t="shared" si="180"/>
        <v>0</v>
      </c>
      <c r="AN1322" s="38">
        <v>21</v>
      </c>
      <c r="AO1322" s="38">
        <f>H1322*0</f>
        <v>0</v>
      </c>
      <c r="AP1322" s="38">
        <f>H1322*(1-0)</f>
        <v>0</v>
      </c>
      <c r="AQ1322" s="72" t="s">
        <v>169</v>
      </c>
      <c r="AV1322" s="38">
        <f t="shared" si="181"/>
        <v>0</v>
      </c>
      <c r="AW1322" s="38">
        <f t="shared" si="182"/>
        <v>0</v>
      </c>
      <c r="AX1322" s="38">
        <f t="shared" si="183"/>
        <v>0</v>
      </c>
      <c r="AY1322" s="72" t="s">
        <v>816</v>
      </c>
      <c r="AZ1322" s="72" t="s">
        <v>2450</v>
      </c>
      <c r="BA1322" s="50" t="s">
        <v>2451</v>
      </c>
      <c r="BC1322" s="38">
        <f t="shared" si="184"/>
        <v>0</v>
      </c>
      <c r="BD1322" s="38">
        <f t="shared" si="185"/>
        <v>0</v>
      </c>
      <c r="BE1322" s="38">
        <v>0</v>
      </c>
      <c r="BF1322" s="38">
        <f t="shared" si="186"/>
        <v>0</v>
      </c>
      <c r="BH1322" s="38">
        <f t="shared" si="187"/>
        <v>0</v>
      </c>
      <c r="BI1322" s="38">
        <f t="shared" si="188"/>
        <v>0</v>
      </c>
      <c r="BJ1322" s="38">
        <f t="shared" si="189"/>
        <v>0</v>
      </c>
      <c r="BK1322" s="38"/>
      <c r="BL1322" s="38">
        <v>751</v>
      </c>
      <c r="BW1322" s="38">
        <v>21</v>
      </c>
    </row>
    <row r="1323" spans="1:75" ht="13.5" customHeight="1">
      <c r="A1323" s="78" t="s">
        <v>2530</v>
      </c>
      <c r="B1323" s="79" t="s">
        <v>91</v>
      </c>
      <c r="C1323" s="79" t="s">
        <v>2531</v>
      </c>
      <c r="D1323" s="198" t="s">
        <v>2532</v>
      </c>
      <c r="E1323" s="199"/>
      <c r="F1323" s="79" t="s">
        <v>199</v>
      </c>
      <c r="G1323" s="80">
        <v>1</v>
      </c>
      <c r="H1323" s="81">
        <v>0</v>
      </c>
      <c r="I1323" s="80">
        <f t="shared" si="168"/>
        <v>0</v>
      </c>
      <c r="J1323" s="80">
        <v>0</v>
      </c>
      <c r="K1323" s="80">
        <f t="shared" si="169"/>
        <v>0</v>
      </c>
      <c r="L1323" s="82" t="s">
        <v>207</v>
      </c>
      <c r="Z1323" s="38">
        <f t="shared" si="170"/>
        <v>0</v>
      </c>
      <c r="AB1323" s="38">
        <f t="shared" si="171"/>
        <v>0</v>
      </c>
      <c r="AC1323" s="38">
        <f t="shared" si="172"/>
        <v>0</v>
      </c>
      <c r="AD1323" s="38">
        <f t="shared" si="173"/>
        <v>0</v>
      </c>
      <c r="AE1323" s="38">
        <f t="shared" si="174"/>
        <v>0</v>
      </c>
      <c r="AF1323" s="38">
        <f t="shared" si="175"/>
        <v>0</v>
      </c>
      <c r="AG1323" s="38">
        <f t="shared" si="176"/>
        <v>0</v>
      </c>
      <c r="AH1323" s="38">
        <f t="shared" si="177"/>
        <v>0</v>
      </c>
      <c r="AI1323" s="50" t="s">
        <v>91</v>
      </c>
      <c r="AJ1323" s="80">
        <f t="shared" si="178"/>
        <v>0</v>
      </c>
      <c r="AK1323" s="80">
        <f t="shared" si="179"/>
        <v>0</v>
      </c>
      <c r="AL1323" s="80">
        <f t="shared" si="180"/>
        <v>0</v>
      </c>
      <c r="AN1323" s="38">
        <v>21</v>
      </c>
      <c r="AO1323" s="38">
        <f>H1323*1</f>
        <v>0</v>
      </c>
      <c r="AP1323" s="38">
        <f>H1323*(1-1)</f>
        <v>0</v>
      </c>
      <c r="AQ1323" s="83" t="s">
        <v>169</v>
      </c>
      <c r="AV1323" s="38">
        <f t="shared" si="181"/>
        <v>0</v>
      </c>
      <c r="AW1323" s="38">
        <f t="shared" si="182"/>
        <v>0</v>
      </c>
      <c r="AX1323" s="38">
        <f t="shared" si="183"/>
        <v>0</v>
      </c>
      <c r="AY1323" s="72" t="s">
        <v>816</v>
      </c>
      <c r="AZ1323" s="72" t="s">
        <v>2450</v>
      </c>
      <c r="BA1323" s="50" t="s">
        <v>2451</v>
      </c>
      <c r="BC1323" s="38">
        <f t="shared" si="184"/>
        <v>0</v>
      </c>
      <c r="BD1323" s="38">
        <f t="shared" si="185"/>
        <v>0</v>
      </c>
      <c r="BE1323" s="38">
        <v>0</v>
      </c>
      <c r="BF1323" s="38">
        <f t="shared" si="186"/>
        <v>0</v>
      </c>
      <c r="BH1323" s="80">
        <f t="shared" si="187"/>
        <v>0</v>
      </c>
      <c r="BI1323" s="80">
        <f t="shared" si="188"/>
        <v>0</v>
      </c>
      <c r="BJ1323" s="80">
        <f t="shared" si="189"/>
        <v>0</v>
      </c>
      <c r="BK1323" s="80"/>
      <c r="BL1323" s="38">
        <v>751</v>
      </c>
      <c r="BW1323" s="38">
        <v>21</v>
      </c>
    </row>
    <row r="1324" spans="1:75" ht="13.5" customHeight="1">
      <c r="A1324" s="1" t="s">
        <v>2533</v>
      </c>
      <c r="B1324" s="2" t="s">
        <v>91</v>
      </c>
      <c r="C1324" s="2" t="s">
        <v>2534</v>
      </c>
      <c r="D1324" s="108" t="s">
        <v>2535</v>
      </c>
      <c r="E1324" s="103"/>
      <c r="F1324" s="2" t="s">
        <v>214</v>
      </c>
      <c r="G1324" s="38">
        <v>7</v>
      </c>
      <c r="H1324" s="70">
        <v>0</v>
      </c>
      <c r="I1324" s="38">
        <f t="shared" si="168"/>
        <v>0</v>
      </c>
      <c r="J1324" s="38">
        <v>0</v>
      </c>
      <c r="K1324" s="38">
        <f t="shared" si="169"/>
        <v>0</v>
      </c>
      <c r="L1324" s="71" t="s">
        <v>207</v>
      </c>
      <c r="Z1324" s="38">
        <f t="shared" si="170"/>
        <v>0</v>
      </c>
      <c r="AB1324" s="38">
        <f t="shared" si="171"/>
        <v>0</v>
      </c>
      <c r="AC1324" s="38">
        <f t="shared" si="172"/>
        <v>0</v>
      </c>
      <c r="AD1324" s="38">
        <f t="shared" si="173"/>
        <v>0</v>
      </c>
      <c r="AE1324" s="38">
        <f t="shared" si="174"/>
        <v>0</v>
      </c>
      <c r="AF1324" s="38">
        <f t="shared" si="175"/>
        <v>0</v>
      </c>
      <c r="AG1324" s="38">
        <f t="shared" si="176"/>
        <v>0</v>
      </c>
      <c r="AH1324" s="38">
        <f t="shared" si="177"/>
        <v>0</v>
      </c>
      <c r="AI1324" s="50" t="s">
        <v>91</v>
      </c>
      <c r="AJ1324" s="38">
        <f t="shared" si="178"/>
        <v>0</v>
      </c>
      <c r="AK1324" s="38">
        <f t="shared" si="179"/>
        <v>0</v>
      </c>
      <c r="AL1324" s="38">
        <f t="shared" si="180"/>
        <v>0</v>
      </c>
      <c r="AN1324" s="38">
        <v>21</v>
      </c>
      <c r="AO1324" s="38">
        <f>H1324*0</f>
        <v>0</v>
      </c>
      <c r="AP1324" s="38">
        <f>H1324*(1-0)</f>
        <v>0</v>
      </c>
      <c r="AQ1324" s="72" t="s">
        <v>169</v>
      </c>
      <c r="AV1324" s="38">
        <f t="shared" si="181"/>
        <v>0</v>
      </c>
      <c r="AW1324" s="38">
        <f t="shared" si="182"/>
        <v>0</v>
      </c>
      <c r="AX1324" s="38">
        <f t="shared" si="183"/>
        <v>0</v>
      </c>
      <c r="AY1324" s="72" t="s">
        <v>816</v>
      </c>
      <c r="AZ1324" s="72" t="s">
        <v>2450</v>
      </c>
      <c r="BA1324" s="50" t="s">
        <v>2451</v>
      </c>
      <c r="BC1324" s="38">
        <f t="shared" si="184"/>
        <v>0</v>
      </c>
      <c r="BD1324" s="38">
        <f t="shared" si="185"/>
        <v>0</v>
      </c>
      <c r="BE1324" s="38">
        <v>0</v>
      </c>
      <c r="BF1324" s="38">
        <f t="shared" si="186"/>
        <v>0</v>
      </c>
      <c r="BH1324" s="38">
        <f t="shared" si="187"/>
        <v>0</v>
      </c>
      <c r="BI1324" s="38">
        <f t="shared" si="188"/>
        <v>0</v>
      </c>
      <c r="BJ1324" s="38">
        <f t="shared" si="189"/>
        <v>0</v>
      </c>
      <c r="BK1324" s="38"/>
      <c r="BL1324" s="38">
        <v>751</v>
      </c>
      <c r="BW1324" s="38">
        <v>21</v>
      </c>
    </row>
    <row r="1325" spans="1:75" ht="13.5" customHeight="1">
      <c r="A1325" s="78" t="s">
        <v>2536</v>
      </c>
      <c r="B1325" s="79" t="s">
        <v>91</v>
      </c>
      <c r="C1325" s="79" t="s">
        <v>2537</v>
      </c>
      <c r="D1325" s="198" t="s">
        <v>2538</v>
      </c>
      <c r="E1325" s="199"/>
      <c r="F1325" s="79" t="s">
        <v>199</v>
      </c>
      <c r="G1325" s="80">
        <v>8.4</v>
      </c>
      <c r="H1325" s="81">
        <v>0</v>
      </c>
      <c r="I1325" s="80">
        <f t="shared" si="168"/>
        <v>0</v>
      </c>
      <c r="J1325" s="80">
        <v>0</v>
      </c>
      <c r="K1325" s="80">
        <f t="shared" si="169"/>
        <v>0</v>
      </c>
      <c r="L1325" s="82" t="s">
        <v>207</v>
      </c>
      <c r="Z1325" s="38">
        <f t="shared" si="170"/>
        <v>0</v>
      </c>
      <c r="AB1325" s="38">
        <f t="shared" si="171"/>
        <v>0</v>
      </c>
      <c r="AC1325" s="38">
        <f t="shared" si="172"/>
        <v>0</v>
      </c>
      <c r="AD1325" s="38">
        <f t="shared" si="173"/>
        <v>0</v>
      </c>
      <c r="AE1325" s="38">
        <f t="shared" si="174"/>
        <v>0</v>
      </c>
      <c r="AF1325" s="38">
        <f t="shared" si="175"/>
        <v>0</v>
      </c>
      <c r="AG1325" s="38">
        <f t="shared" si="176"/>
        <v>0</v>
      </c>
      <c r="AH1325" s="38">
        <f t="shared" si="177"/>
        <v>0</v>
      </c>
      <c r="AI1325" s="50" t="s">
        <v>91</v>
      </c>
      <c r="AJ1325" s="80">
        <f t="shared" si="178"/>
        <v>0</v>
      </c>
      <c r="AK1325" s="80">
        <f t="shared" si="179"/>
        <v>0</v>
      </c>
      <c r="AL1325" s="80">
        <f t="shared" si="180"/>
        <v>0</v>
      </c>
      <c r="AN1325" s="38">
        <v>21</v>
      </c>
      <c r="AO1325" s="38">
        <f>H1325*1</f>
        <v>0</v>
      </c>
      <c r="AP1325" s="38">
        <f>H1325*(1-1)</f>
        <v>0</v>
      </c>
      <c r="AQ1325" s="83" t="s">
        <v>169</v>
      </c>
      <c r="AV1325" s="38">
        <f t="shared" si="181"/>
        <v>0</v>
      </c>
      <c r="AW1325" s="38">
        <f t="shared" si="182"/>
        <v>0</v>
      </c>
      <c r="AX1325" s="38">
        <f t="shared" si="183"/>
        <v>0</v>
      </c>
      <c r="AY1325" s="72" t="s">
        <v>816</v>
      </c>
      <c r="AZ1325" s="72" t="s">
        <v>2450</v>
      </c>
      <c r="BA1325" s="50" t="s">
        <v>2451</v>
      </c>
      <c r="BC1325" s="38">
        <f t="shared" si="184"/>
        <v>0</v>
      </c>
      <c r="BD1325" s="38">
        <f t="shared" si="185"/>
        <v>0</v>
      </c>
      <c r="BE1325" s="38">
        <v>0</v>
      </c>
      <c r="BF1325" s="38">
        <f t="shared" si="186"/>
        <v>0</v>
      </c>
      <c r="BH1325" s="80">
        <f t="shared" si="187"/>
        <v>0</v>
      </c>
      <c r="BI1325" s="80">
        <f t="shared" si="188"/>
        <v>0</v>
      </c>
      <c r="BJ1325" s="80">
        <f t="shared" si="189"/>
        <v>0</v>
      </c>
      <c r="BK1325" s="80"/>
      <c r="BL1325" s="38">
        <v>751</v>
      </c>
      <c r="BW1325" s="38">
        <v>21</v>
      </c>
    </row>
    <row r="1326" spans="1:75" ht="27" customHeight="1">
      <c r="A1326" s="1" t="s">
        <v>2539</v>
      </c>
      <c r="B1326" s="2" t="s">
        <v>91</v>
      </c>
      <c r="C1326" s="2" t="s">
        <v>2540</v>
      </c>
      <c r="D1326" s="108" t="s">
        <v>2541</v>
      </c>
      <c r="E1326" s="103"/>
      <c r="F1326" s="2" t="s">
        <v>214</v>
      </c>
      <c r="G1326" s="38">
        <v>1</v>
      </c>
      <c r="H1326" s="70">
        <v>0</v>
      </c>
      <c r="I1326" s="38">
        <f t="shared" si="168"/>
        <v>0</v>
      </c>
      <c r="J1326" s="38">
        <v>0</v>
      </c>
      <c r="K1326" s="38">
        <f t="shared" si="169"/>
        <v>0</v>
      </c>
      <c r="L1326" s="71" t="s">
        <v>207</v>
      </c>
      <c r="Z1326" s="38">
        <f t="shared" si="170"/>
        <v>0</v>
      </c>
      <c r="AB1326" s="38">
        <f t="shared" si="171"/>
        <v>0</v>
      </c>
      <c r="AC1326" s="38">
        <f t="shared" si="172"/>
        <v>0</v>
      </c>
      <c r="AD1326" s="38">
        <f t="shared" si="173"/>
        <v>0</v>
      </c>
      <c r="AE1326" s="38">
        <f t="shared" si="174"/>
        <v>0</v>
      </c>
      <c r="AF1326" s="38">
        <f t="shared" si="175"/>
        <v>0</v>
      </c>
      <c r="AG1326" s="38">
        <f t="shared" si="176"/>
        <v>0</v>
      </c>
      <c r="AH1326" s="38">
        <f t="shared" si="177"/>
        <v>0</v>
      </c>
      <c r="AI1326" s="50" t="s">
        <v>91</v>
      </c>
      <c r="AJ1326" s="38">
        <f t="shared" si="178"/>
        <v>0</v>
      </c>
      <c r="AK1326" s="38">
        <f t="shared" si="179"/>
        <v>0</v>
      </c>
      <c r="AL1326" s="38">
        <f t="shared" si="180"/>
        <v>0</v>
      </c>
      <c r="AN1326" s="38">
        <v>21</v>
      </c>
      <c r="AO1326" s="38">
        <f>H1326*0</f>
        <v>0</v>
      </c>
      <c r="AP1326" s="38">
        <f>H1326*(1-0)</f>
        <v>0</v>
      </c>
      <c r="AQ1326" s="72" t="s">
        <v>169</v>
      </c>
      <c r="AV1326" s="38">
        <f t="shared" si="181"/>
        <v>0</v>
      </c>
      <c r="AW1326" s="38">
        <f t="shared" si="182"/>
        <v>0</v>
      </c>
      <c r="AX1326" s="38">
        <f t="shared" si="183"/>
        <v>0</v>
      </c>
      <c r="AY1326" s="72" t="s">
        <v>816</v>
      </c>
      <c r="AZ1326" s="72" t="s">
        <v>2450</v>
      </c>
      <c r="BA1326" s="50" t="s">
        <v>2451</v>
      </c>
      <c r="BC1326" s="38">
        <f t="shared" si="184"/>
        <v>0</v>
      </c>
      <c r="BD1326" s="38">
        <f t="shared" si="185"/>
        <v>0</v>
      </c>
      <c r="BE1326" s="38">
        <v>0</v>
      </c>
      <c r="BF1326" s="38">
        <f t="shared" si="186"/>
        <v>0</v>
      </c>
      <c r="BH1326" s="38">
        <f t="shared" si="187"/>
        <v>0</v>
      </c>
      <c r="BI1326" s="38">
        <f t="shared" si="188"/>
        <v>0</v>
      </c>
      <c r="BJ1326" s="38">
        <f t="shared" si="189"/>
        <v>0</v>
      </c>
      <c r="BK1326" s="38"/>
      <c r="BL1326" s="38">
        <v>751</v>
      </c>
      <c r="BW1326" s="38">
        <v>21</v>
      </c>
    </row>
    <row r="1327" spans="1:75" ht="13.5" customHeight="1">
      <c r="A1327" s="78" t="s">
        <v>2542</v>
      </c>
      <c r="B1327" s="79" t="s">
        <v>91</v>
      </c>
      <c r="C1327" s="79" t="s">
        <v>2543</v>
      </c>
      <c r="D1327" s="198" t="s">
        <v>2544</v>
      </c>
      <c r="E1327" s="199"/>
      <c r="F1327" s="79" t="s">
        <v>199</v>
      </c>
      <c r="G1327" s="80">
        <v>1.2</v>
      </c>
      <c r="H1327" s="81">
        <v>0</v>
      </c>
      <c r="I1327" s="80">
        <f t="shared" si="168"/>
        <v>0</v>
      </c>
      <c r="J1327" s="80">
        <v>0</v>
      </c>
      <c r="K1327" s="80">
        <f t="shared" si="169"/>
        <v>0</v>
      </c>
      <c r="L1327" s="82" t="s">
        <v>207</v>
      </c>
      <c r="Z1327" s="38">
        <f t="shared" si="170"/>
        <v>0</v>
      </c>
      <c r="AB1327" s="38">
        <f t="shared" si="171"/>
        <v>0</v>
      </c>
      <c r="AC1327" s="38">
        <f t="shared" si="172"/>
        <v>0</v>
      </c>
      <c r="AD1327" s="38">
        <f t="shared" si="173"/>
        <v>0</v>
      </c>
      <c r="AE1327" s="38">
        <f t="shared" si="174"/>
        <v>0</v>
      </c>
      <c r="AF1327" s="38">
        <f t="shared" si="175"/>
        <v>0</v>
      </c>
      <c r="AG1327" s="38">
        <f t="shared" si="176"/>
        <v>0</v>
      </c>
      <c r="AH1327" s="38">
        <f t="shared" si="177"/>
        <v>0</v>
      </c>
      <c r="AI1327" s="50" t="s">
        <v>91</v>
      </c>
      <c r="AJ1327" s="80">
        <f t="shared" si="178"/>
        <v>0</v>
      </c>
      <c r="AK1327" s="80">
        <f t="shared" si="179"/>
        <v>0</v>
      </c>
      <c r="AL1327" s="80">
        <f t="shared" si="180"/>
        <v>0</v>
      </c>
      <c r="AN1327" s="38">
        <v>21</v>
      </c>
      <c r="AO1327" s="38">
        <f>H1327*1</f>
        <v>0</v>
      </c>
      <c r="AP1327" s="38">
        <f>H1327*(1-1)</f>
        <v>0</v>
      </c>
      <c r="AQ1327" s="83" t="s">
        <v>169</v>
      </c>
      <c r="AV1327" s="38">
        <f t="shared" si="181"/>
        <v>0</v>
      </c>
      <c r="AW1327" s="38">
        <f t="shared" si="182"/>
        <v>0</v>
      </c>
      <c r="AX1327" s="38">
        <f t="shared" si="183"/>
        <v>0</v>
      </c>
      <c r="AY1327" s="72" t="s">
        <v>816</v>
      </c>
      <c r="AZ1327" s="72" t="s">
        <v>2450</v>
      </c>
      <c r="BA1327" s="50" t="s">
        <v>2451</v>
      </c>
      <c r="BC1327" s="38">
        <f t="shared" si="184"/>
        <v>0</v>
      </c>
      <c r="BD1327" s="38">
        <f t="shared" si="185"/>
        <v>0</v>
      </c>
      <c r="BE1327" s="38">
        <v>0</v>
      </c>
      <c r="BF1327" s="38">
        <f t="shared" si="186"/>
        <v>0</v>
      </c>
      <c r="BH1327" s="80">
        <f t="shared" si="187"/>
        <v>0</v>
      </c>
      <c r="BI1327" s="80">
        <f t="shared" si="188"/>
        <v>0</v>
      </c>
      <c r="BJ1327" s="80">
        <f t="shared" si="189"/>
        <v>0</v>
      </c>
      <c r="BK1327" s="80"/>
      <c r="BL1327" s="38">
        <v>751</v>
      </c>
      <c r="BW1327" s="38">
        <v>21</v>
      </c>
    </row>
    <row r="1328" spans="1:75" ht="13.5" customHeight="1">
      <c r="A1328" s="1" t="s">
        <v>2545</v>
      </c>
      <c r="B1328" s="2" t="s">
        <v>91</v>
      </c>
      <c r="C1328" s="2" t="s">
        <v>2546</v>
      </c>
      <c r="D1328" s="108" t="s">
        <v>2547</v>
      </c>
      <c r="E1328" s="103"/>
      <c r="F1328" s="2" t="s">
        <v>214</v>
      </c>
      <c r="G1328" s="38">
        <v>15</v>
      </c>
      <c r="H1328" s="70">
        <v>0</v>
      </c>
      <c r="I1328" s="38">
        <f t="shared" si="168"/>
        <v>0</v>
      </c>
      <c r="J1328" s="38">
        <v>0</v>
      </c>
      <c r="K1328" s="38">
        <f t="shared" si="169"/>
        <v>0</v>
      </c>
      <c r="L1328" s="71" t="s">
        <v>207</v>
      </c>
      <c r="Z1328" s="38">
        <f t="shared" si="170"/>
        <v>0</v>
      </c>
      <c r="AB1328" s="38">
        <f t="shared" si="171"/>
        <v>0</v>
      </c>
      <c r="AC1328" s="38">
        <f t="shared" si="172"/>
        <v>0</v>
      </c>
      <c r="AD1328" s="38">
        <f t="shared" si="173"/>
        <v>0</v>
      </c>
      <c r="AE1328" s="38">
        <f t="shared" si="174"/>
        <v>0</v>
      </c>
      <c r="AF1328" s="38">
        <f t="shared" si="175"/>
        <v>0</v>
      </c>
      <c r="AG1328" s="38">
        <f t="shared" si="176"/>
        <v>0</v>
      </c>
      <c r="AH1328" s="38">
        <f t="shared" si="177"/>
        <v>0</v>
      </c>
      <c r="AI1328" s="50" t="s">
        <v>91</v>
      </c>
      <c r="AJ1328" s="38">
        <f t="shared" si="178"/>
        <v>0</v>
      </c>
      <c r="AK1328" s="38">
        <f t="shared" si="179"/>
        <v>0</v>
      </c>
      <c r="AL1328" s="38">
        <f t="shared" si="180"/>
        <v>0</v>
      </c>
      <c r="AN1328" s="38">
        <v>21</v>
      </c>
      <c r="AO1328" s="38">
        <f>H1328*0</f>
        <v>0</v>
      </c>
      <c r="AP1328" s="38">
        <f>H1328*(1-0)</f>
        <v>0</v>
      </c>
      <c r="AQ1328" s="72" t="s">
        <v>169</v>
      </c>
      <c r="AV1328" s="38">
        <f t="shared" si="181"/>
        <v>0</v>
      </c>
      <c r="AW1328" s="38">
        <f t="shared" si="182"/>
        <v>0</v>
      </c>
      <c r="AX1328" s="38">
        <f t="shared" si="183"/>
        <v>0</v>
      </c>
      <c r="AY1328" s="72" t="s">
        <v>816</v>
      </c>
      <c r="AZ1328" s="72" t="s">
        <v>2450</v>
      </c>
      <c r="BA1328" s="50" t="s">
        <v>2451</v>
      </c>
      <c r="BC1328" s="38">
        <f t="shared" si="184"/>
        <v>0</v>
      </c>
      <c r="BD1328" s="38">
        <f t="shared" si="185"/>
        <v>0</v>
      </c>
      <c r="BE1328" s="38">
        <v>0</v>
      </c>
      <c r="BF1328" s="38">
        <f t="shared" si="186"/>
        <v>0</v>
      </c>
      <c r="BH1328" s="38">
        <f t="shared" si="187"/>
        <v>0</v>
      </c>
      <c r="BI1328" s="38">
        <f t="shared" si="188"/>
        <v>0</v>
      </c>
      <c r="BJ1328" s="38">
        <f t="shared" si="189"/>
        <v>0</v>
      </c>
      <c r="BK1328" s="38"/>
      <c r="BL1328" s="38">
        <v>751</v>
      </c>
      <c r="BW1328" s="38">
        <v>21</v>
      </c>
    </row>
    <row r="1329" spans="1:75" ht="13.5" customHeight="1">
      <c r="A1329" s="78" t="s">
        <v>2548</v>
      </c>
      <c r="B1329" s="79" t="s">
        <v>91</v>
      </c>
      <c r="C1329" s="79" t="s">
        <v>2549</v>
      </c>
      <c r="D1329" s="198" t="s">
        <v>2550</v>
      </c>
      <c r="E1329" s="199"/>
      <c r="F1329" s="79" t="s">
        <v>471</v>
      </c>
      <c r="G1329" s="80">
        <v>1</v>
      </c>
      <c r="H1329" s="81">
        <v>0</v>
      </c>
      <c r="I1329" s="80">
        <f t="shared" si="168"/>
        <v>0</v>
      </c>
      <c r="J1329" s="80">
        <v>0</v>
      </c>
      <c r="K1329" s="80">
        <f t="shared" si="169"/>
        <v>0</v>
      </c>
      <c r="L1329" s="82" t="s">
        <v>207</v>
      </c>
      <c r="Z1329" s="38">
        <f t="shared" si="170"/>
        <v>0</v>
      </c>
      <c r="AB1329" s="38">
        <f t="shared" si="171"/>
        <v>0</v>
      </c>
      <c r="AC1329" s="38">
        <f t="shared" si="172"/>
        <v>0</v>
      </c>
      <c r="AD1329" s="38">
        <f t="shared" si="173"/>
        <v>0</v>
      </c>
      <c r="AE1329" s="38">
        <f t="shared" si="174"/>
        <v>0</v>
      </c>
      <c r="AF1329" s="38">
        <f t="shared" si="175"/>
        <v>0</v>
      </c>
      <c r="AG1329" s="38">
        <f t="shared" si="176"/>
        <v>0</v>
      </c>
      <c r="AH1329" s="38">
        <f t="shared" si="177"/>
        <v>0</v>
      </c>
      <c r="AI1329" s="50" t="s">
        <v>91</v>
      </c>
      <c r="AJ1329" s="80">
        <f t="shared" si="178"/>
        <v>0</v>
      </c>
      <c r="AK1329" s="80">
        <f t="shared" si="179"/>
        <v>0</v>
      </c>
      <c r="AL1329" s="80">
        <f t="shared" si="180"/>
        <v>0</v>
      </c>
      <c r="AN1329" s="38">
        <v>21</v>
      </c>
      <c r="AO1329" s="38">
        <f>H1329*1</f>
        <v>0</v>
      </c>
      <c r="AP1329" s="38">
        <f>H1329*(1-1)</f>
        <v>0</v>
      </c>
      <c r="AQ1329" s="83" t="s">
        <v>169</v>
      </c>
      <c r="AV1329" s="38">
        <f t="shared" si="181"/>
        <v>0</v>
      </c>
      <c r="AW1329" s="38">
        <f t="shared" si="182"/>
        <v>0</v>
      </c>
      <c r="AX1329" s="38">
        <f t="shared" si="183"/>
        <v>0</v>
      </c>
      <c r="AY1329" s="72" t="s">
        <v>816</v>
      </c>
      <c r="AZ1329" s="72" t="s">
        <v>2450</v>
      </c>
      <c r="BA1329" s="50" t="s">
        <v>2451</v>
      </c>
      <c r="BC1329" s="38">
        <f t="shared" si="184"/>
        <v>0</v>
      </c>
      <c r="BD1329" s="38">
        <f t="shared" si="185"/>
        <v>0</v>
      </c>
      <c r="BE1329" s="38">
        <v>0</v>
      </c>
      <c r="BF1329" s="38">
        <f t="shared" si="186"/>
        <v>0</v>
      </c>
      <c r="BH1329" s="80">
        <f t="shared" si="187"/>
        <v>0</v>
      </c>
      <c r="BI1329" s="80">
        <f t="shared" si="188"/>
        <v>0</v>
      </c>
      <c r="BJ1329" s="80">
        <f t="shared" si="189"/>
        <v>0</v>
      </c>
      <c r="BK1329" s="80"/>
      <c r="BL1329" s="38">
        <v>751</v>
      </c>
      <c r="BW1329" s="38">
        <v>21</v>
      </c>
    </row>
    <row r="1330" spans="1:47" ht="15">
      <c r="A1330" s="65" t="s">
        <v>4</v>
      </c>
      <c r="B1330" s="66" t="s">
        <v>91</v>
      </c>
      <c r="C1330" s="66" t="s">
        <v>2281</v>
      </c>
      <c r="D1330" s="192" t="s">
        <v>812</v>
      </c>
      <c r="E1330" s="193"/>
      <c r="F1330" s="67" t="s">
        <v>78</v>
      </c>
      <c r="G1330" s="67" t="s">
        <v>78</v>
      </c>
      <c r="H1330" s="68" t="s">
        <v>78</v>
      </c>
      <c r="I1330" s="44">
        <f>SUM(I1331:I1332)</f>
        <v>0</v>
      </c>
      <c r="J1330" s="50" t="s">
        <v>4</v>
      </c>
      <c r="K1330" s="44">
        <f>SUM(K1331:K1332)</f>
        <v>0</v>
      </c>
      <c r="L1330" s="69" t="s">
        <v>4</v>
      </c>
      <c r="AI1330" s="50" t="s">
        <v>91</v>
      </c>
      <c r="AS1330" s="44">
        <f>SUM(AJ1331:AJ1332)</f>
        <v>0</v>
      </c>
      <c r="AT1330" s="44">
        <f>SUM(AK1331:AK1332)</f>
        <v>0</v>
      </c>
      <c r="AU1330" s="44">
        <f>SUM(AL1331:AL1332)</f>
        <v>0</v>
      </c>
    </row>
    <row r="1331" spans="1:75" ht="13.5" customHeight="1">
      <c r="A1331" s="1" t="s">
        <v>2551</v>
      </c>
      <c r="B1331" s="2" t="s">
        <v>91</v>
      </c>
      <c r="C1331" s="2" t="s">
        <v>2552</v>
      </c>
      <c r="D1331" s="108" t="s">
        <v>2553</v>
      </c>
      <c r="E1331" s="103"/>
      <c r="F1331" s="2" t="s">
        <v>2286</v>
      </c>
      <c r="G1331" s="38">
        <v>24</v>
      </c>
      <c r="H1331" s="70">
        <v>0</v>
      </c>
      <c r="I1331" s="38">
        <f>G1331*H1331</f>
        <v>0</v>
      </c>
      <c r="J1331" s="38">
        <v>0</v>
      </c>
      <c r="K1331" s="38">
        <f>G1331*J1331</f>
        <v>0</v>
      </c>
      <c r="L1331" s="71" t="s">
        <v>207</v>
      </c>
      <c r="Z1331" s="38">
        <f>IF(AQ1331="5",BJ1331,0)</f>
        <v>0</v>
      </c>
      <c r="AB1331" s="38">
        <f>IF(AQ1331="1",BH1331,0)</f>
        <v>0</v>
      </c>
      <c r="AC1331" s="38">
        <f>IF(AQ1331="1",BI1331,0)</f>
        <v>0</v>
      </c>
      <c r="AD1331" s="38">
        <f>IF(AQ1331="7",BH1331,0)</f>
        <v>0</v>
      </c>
      <c r="AE1331" s="38">
        <f>IF(AQ1331="7",BI1331,0)</f>
        <v>0</v>
      </c>
      <c r="AF1331" s="38">
        <f>IF(AQ1331="2",BH1331,0)</f>
        <v>0</v>
      </c>
      <c r="AG1331" s="38">
        <f>IF(AQ1331="2",BI1331,0)</f>
        <v>0</v>
      </c>
      <c r="AH1331" s="38">
        <f>IF(AQ1331="0",BJ1331,0)</f>
        <v>0</v>
      </c>
      <c r="AI1331" s="50" t="s">
        <v>91</v>
      </c>
      <c r="AJ1331" s="38">
        <f>IF(AN1331=0,I1331,0)</f>
        <v>0</v>
      </c>
      <c r="AK1331" s="38">
        <f>IF(AN1331=12,I1331,0)</f>
        <v>0</v>
      </c>
      <c r="AL1331" s="38">
        <f>IF(AN1331=21,I1331,0)</f>
        <v>0</v>
      </c>
      <c r="AN1331" s="38">
        <v>21</v>
      </c>
      <c r="AO1331" s="38">
        <f>H1331*0</f>
        <v>0</v>
      </c>
      <c r="AP1331" s="38">
        <f>H1331*(1-0)</f>
        <v>0</v>
      </c>
      <c r="AQ1331" s="72" t="s">
        <v>132</v>
      </c>
      <c r="AV1331" s="38">
        <f>AW1331+AX1331</f>
        <v>0</v>
      </c>
      <c r="AW1331" s="38">
        <f>G1331*AO1331</f>
        <v>0</v>
      </c>
      <c r="AX1331" s="38">
        <f>G1331*AP1331</f>
        <v>0</v>
      </c>
      <c r="AY1331" s="72" t="s">
        <v>2287</v>
      </c>
      <c r="AZ1331" s="72" t="s">
        <v>2554</v>
      </c>
      <c r="BA1331" s="50" t="s">
        <v>2451</v>
      </c>
      <c r="BC1331" s="38">
        <f>AW1331+AX1331</f>
        <v>0</v>
      </c>
      <c r="BD1331" s="38">
        <f>H1331/(100-BE1331)*100</f>
        <v>0</v>
      </c>
      <c r="BE1331" s="38">
        <v>0</v>
      </c>
      <c r="BF1331" s="38">
        <f>K1331</f>
        <v>0</v>
      </c>
      <c r="BH1331" s="38">
        <f>G1331*AO1331</f>
        <v>0</v>
      </c>
      <c r="BI1331" s="38">
        <f>G1331*AP1331</f>
        <v>0</v>
      </c>
      <c r="BJ1331" s="38">
        <f>G1331*H1331</f>
        <v>0</v>
      </c>
      <c r="BK1331" s="38"/>
      <c r="BL1331" s="38"/>
      <c r="BW1331" s="38">
        <v>21</v>
      </c>
    </row>
    <row r="1332" spans="1:75" ht="13.5" customHeight="1">
      <c r="A1332" s="1" t="s">
        <v>2555</v>
      </c>
      <c r="B1332" s="2" t="s">
        <v>91</v>
      </c>
      <c r="C1332" s="2" t="s">
        <v>2289</v>
      </c>
      <c r="D1332" s="108" t="s">
        <v>2290</v>
      </c>
      <c r="E1332" s="103"/>
      <c r="F1332" s="2" t="s">
        <v>2286</v>
      </c>
      <c r="G1332" s="38">
        <v>12</v>
      </c>
      <c r="H1332" s="70">
        <v>0</v>
      </c>
      <c r="I1332" s="38">
        <f>G1332*H1332</f>
        <v>0</v>
      </c>
      <c r="J1332" s="38">
        <v>0</v>
      </c>
      <c r="K1332" s="38">
        <f>G1332*J1332</f>
        <v>0</v>
      </c>
      <c r="L1332" s="71" t="s">
        <v>207</v>
      </c>
      <c r="Z1332" s="38">
        <f>IF(AQ1332="5",BJ1332,0)</f>
        <v>0</v>
      </c>
      <c r="AB1332" s="38">
        <f>IF(AQ1332="1",BH1332,0)</f>
        <v>0</v>
      </c>
      <c r="AC1332" s="38">
        <f>IF(AQ1332="1",BI1332,0)</f>
        <v>0</v>
      </c>
      <c r="AD1332" s="38">
        <f>IF(AQ1332="7",BH1332,0)</f>
        <v>0</v>
      </c>
      <c r="AE1332" s="38">
        <f>IF(AQ1332="7",BI1332,0)</f>
        <v>0</v>
      </c>
      <c r="AF1332" s="38">
        <f>IF(AQ1332="2",BH1332,0)</f>
        <v>0</v>
      </c>
      <c r="AG1332" s="38">
        <f>IF(AQ1332="2",BI1332,0)</f>
        <v>0</v>
      </c>
      <c r="AH1332" s="38">
        <f>IF(AQ1332="0",BJ1332,0)</f>
        <v>0</v>
      </c>
      <c r="AI1332" s="50" t="s">
        <v>91</v>
      </c>
      <c r="AJ1332" s="38">
        <f>IF(AN1332=0,I1332,0)</f>
        <v>0</v>
      </c>
      <c r="AK1332" s="38">
        <f>IF(AN1332=12,I1332,0)</f>
        <v>0</v>
      </c>
      <c r="AL1332" s="38">
        <f>IF(AN1332=21,I1332,0)</f>
        <v>0</v>
      </c>
      <c r="AN1332" s="38">
        <v>21</v>
      </c>
      <c r="AO1332" s="38">
        <f>H1332*0</f>
        <v>0</v>
      </c>
      <c r="AP1332" s="38">
        <f>H1332*(1-0)</f>
        <v>0</v>
      </c>
      <c r="AQ1332" s="72" t="s">
        <v>132</v>
      </c>
      <c r="AV1332" s="38">
        <f>AW1332+AX1332</f>
        <v>0</v>
      </c>
      <c r="AW1332" s="38">
        <f>G1332*AO1332</f>
        <v>0</v>
      </c>
      <c r="AX1332" s="38">
        <f>G1332*AP1332</f>
        <v>0</v>
      </c>
      <c r="AY1332" s="72" t="s">
        <v>2287</v>
      </c>
      <c r="AZ1332" s="72" t="s">
        <v>2554</v>
      </c>
      <c r="BA1332" s="50" t="s">
        <v>2451</v>
      </c>
      <c r="BC1332" s="38">
        <f>AW1332+AX1332</f>
        <v>0</v>
      </c>
      <c r="BD1332" s="38">
        <f>H1332/(100-BE1332)*100</f>
        <v>0</v>
      </c>
      <c r="BE1332" s="38">
        <v>0</v>
      </c>
      <c r="BF1332" s="38">
        <f>K1332</f>
        <v>0</v>
      </c>
      <c r="BH1332" s="38">
        <f>G1332*AO1332</f>
        <v>0</v>
      </c>
      <c r="BI1332" s="38">
        <f>G1332*AP1332</f>
        <v>0</v>
      </c>
      <c r="BJ1332" s="38">
        <f>G1332*H1332</f>
        <v>0</v>
      </c>
      <c r="BK1332" s="38"/>
      <c r="BL1332" s="38"/>
      <c r="BW1332" s="38">
        <v>21</v>
      </c>
    </row>
    <row r="1333" spans="1:12" ht="15">
      <c r="A1333" s="65" t="s">
        <v>4</v>
      </c>
      <c r="B1333" s="66" t="s">
        <v>93</v>
      </c>
      <c r="C1333" s="66" t="s">
        <v>4</v>
      </c>
      <c r="D1333" s="192" t="s">
        <v>94</v>
      </c>
      <c r="E1333" s="193"/>
      <c r="F1333" s="67" t="s">
        <v>78</v>
      </c>
      <c r="G1333" s="67" t="s">
        <v>78</v>
      </c>
      <c r="H1333" s="68" t="s">
        <v>78</v>
      </c>
      <c r="I1333" s="44">
        <f>I1334+I1431+I1525+I1528</f>
        <v>0</v>
      </c>
      <c r="J1333" s="50" t="s">
        <v>4</v>
      </c>
      <c r="K1333" s="44">
        <f>K1334+K1431+K1525+K1528</f>
        <v>0</v>
      </c>
      <c r="L1333" s="69" t="s">
        <v>4</v>
      </c>
    </row>
    <row r="1334" spans="1:47" ht="15">
      <c r="A1334" s="65" t="s">
        <v>4</v>
      </c>
      <c r="B1334" s="66" t="s">
        <v>93</v>
      </c>
      <c r="C1334" s="66" t="s">
        <v>2556</v>
      </c>
      <c r="D1334" s="192" t="s">
        <v>2557</v>
      </c>
      <c r="E1334" s="193"/>
      <c r="F1334" s="67" t="s">
        <v>78</v>
      </c>
      <c r="G1334" s="67" t="s">
        <v>78</v>
      </c>
      <c r="H1334" s="68" t="s">
        <v>78</v>
      </c>
      <c r="I1334" s="44">
        <f>SUM(I1335:I1430)</f>
        <v>0</v>
      </c>
      <c r="J1334" s="50" t="s">
        <v>4</v>
      </c>
      <c r="K1334" s="44">
        <f>SUM(K1335:K1430)</f>
        <v>0</v>
      </c>
      <c r="L1334" s="69" t="s">
        <v>4</v>
      </c>
      <c r="AI1334" s="50" t="s">
        <v>93</v>
      </c>
      <c r="AS1334" s="44">
        <f>SUM(AJ1335:AJ1430)</f>
        <v>0</v>
      </c>
      <c r="AT1334" s="44">
        <f>SUM(AK1335:AK1430)</f>
        <v>0</v>
      </c>
      <c r="AU1334" s="44">
        <f>SUM(AL1335:AL1430)</f>
        <v>0</v>
      </c>
    </row>
    <row r="1335" spans="1:75" ht="27" customHeight="1">
      <c r="A1335" s="1" t="s">
        <v>2558</v>
      </c>
      <c r="B1335" s="2" t="s">
        <v>93</v>
      </c>
      <c r="C1335" s="2" t="s">
        <v>2559</v>
      </c>
      <c r="D1335" s="108" t="s">
        <v>2560</v>
      </c>
      <c r="E1335" s="103"/>
      <c r="F1335" s="2" t="s">
        <v>199</v>
      </c>
      <c r="G1335" s="38">
        <v>1</v>
      </c>
      <c r="H1335" s="70">
        <v>0</v>
      </c>
      <c r="I1335" s="38">
        <f aca="true" t="shared" si="190" ref="I1335:I1366">G1335*H1335</f>
        <v>0</v>
      </c>
      <c r="J1335" s="38">
        <v>0</v>
      </c>
      <c r="K1335" s="38">
        <f aca="true" t="shared" si="191" ref="K1335:K1366">G1335*J1335</f>
        <v>0</v>
      </c>
      <c r="L1335" s="71" t="s">
        <v>207</v>
      </c>
      <c r="Z1335" s="38">
        <f aca="true" t="shared" si="192" ref="Z1335:Z1366">IF(AQ1335="5",BJ1335,0)</f>
        <v>0</v>
      </c>
      <c r="AB1335" s="38">
        <f aca="true" t="shared" si="193" ref="AB1335:AB1366">IF(AQ1335="1",BH1335,0)</f>
        <v>0</v>
      </c>
      <c r="AC1335" s="38">
        <f aca="true" t="shared" si="194" ref="AC1335:AC1366">IF(AQ1335="1",BI1335,0)</f>
        <v>0</v>
      </c>
      <c r="AD1335" s="38">
        <f aca="true" t="shared" si="195" ref="AD1335:AD1366">IF(AQ1335="7",BH1335,0)</f>
        <v>0</v>
      </c>
      <c r="AE1335" s="38">
        <f aca="true" t="shared" si="196" ref="AE1335:AE1366">IF(AQ1335="7",BI1335,0)</f>
        <v>0</v>
      </c>
      <c r="AF1335" s="38">
        <f aca="true" t="shared" si="197" ref="AF1335:AF1366">IF(AQ1335="2",BH1335,0)</f>
        <v>0</v>
      </c>
      <c r="AG1335" s="38">
        <f aca="true" t="shared" si="198" ref="AG1335:AG1366">IF(AQ1335="2",BI1335,0)</f>
        <v>0</v>
      </c>
      <c r="AH1335" s="38">
        <f aca="true" t="shared" si="199" ref="AH1335:AH1366">IF(AQ1335="0",BJ1335,0)</f>
        <v>0</v>
      </c>
      <c r="AI1335" s="50" t="s">
        <v>93</v>
      </c>
      <c r="AJ1335" s="38">
        <f aca="true" t="shared" si="200" ref="AJ1335:AJ1366">IF(AN1335=0,I1335,0)</f>
        <v>0</v>
      </c>
      <c r="AK1335" s="38">
        <f aca="true" t="shared" si="201" ref="AK1335:AK1366">IF(AN1335=12,I1335,0)</f>
        <v>0</v>
      </c>
      <c r="AL1335" s="38">
        <f aca="true" t="shared" si="202" ref="AL1335:AL1366">IF(AN1335=21,I1335,0)</f>
        <v>0</v>
      </c>
      <c r="AN1335" s="38">
        <v>21</v>
      </c>
      <c r="AO1335" s="38">
        <f>H1335*0</f>
        <v>0</v>
      </c>
      <c r="AP1335" s="38">
        <f>H1335*(1-0)</f>
        <v>0</v>
      </c>
      <c r="AQ1335" s="72" t="s">
        <v>132</v>
      </c>
      <c r="AV1335" s="38">
        <f aca="true" t="shared" si="203" ref="AV1335:AV1366">AW1335+AX1335</f>
        <v>0</v>
      </c>
      <c r="AW1335" s="38">
        <f aca="true" t="shared" si="204" ref="AW1335:AW1366">G1335*AO1335</f>
        <v>0</v>
      </c>
      <c r="AX1335" s="38">
        <f aca="true" t="shared" si="205" ref="AX1335:AX1366">G1335*AP1335</f>
        <v>0</v>
      </c>
      <c r="AY1335" s="72" t="s">
        <v>2561</v>
      </c>
      <c r="AZ1335" s="72" t="s">
        <v>2562</v>
      </c>
      <c r="BA1335" s="50" t="s">
        <v>2563</v>
      </c>
      <c r="BC1335" s="38">
        <f aca="true" t="shared" si="206" ref="BC1335:BC1366">AW1335+AX1335</f>
        <v>0</v>
      </c>
      <c r="BD1335" s="38">
        <f aca="true" t="shared" si="207" ref="BD1335:BD1366">H1335/(100-BE1335)*100</f>
        <v>0</v>
      </c>
      <c r="BE1335" s="38">
        <v>0</v>
      </c>
      <c r="BF1335" s="38">
        <f aca="true" t="shared" si="208" ref="BF1335:BF1366">K1335</f>
        <v>0</v>
      </c>
      <c r="BH1335" s="38">
        <f aca="true" t="shared" si="209" ref="BH1335:BH1366">G1335*AO1335</f>
        <v>0</v>
      </c>
      <c r="BI1335" s="38">
        <f aca="true" t="shared" si="210" ref="BI1335:BI1366">G1335*AP1335</f>
        <v>0</v>
      </c>
      <c r="BJ1335" s="38">
        <f aca="true" t="shared" si="211" ref="BJ1335:BJ1366">G1335*H1335</f>
        <v>0</v>
      </c>
      <c r="BK1335" s="38"/>
      <c r="BL1335" s="38"/>
      <c r="BW1335" s="38">
        <v>21</v>
      </c>
    </row>
    <row r="1336" spans="1:75" ht="13.5" customHeight="1">
      <c r="A1336" s="78" t="s">
        <v>2564</v>
      </c>
      <c r="B1336" s="79" t="s">
        <v>93</v>
      </c>
      <c r="C1336" s="79" t="s">
        <v>2565</v>
      </c>
      <c r="D1336" s="198" t="s">
        <v>2566</v>
      </c>
      <c r="E1336" s="199"/>
      <c r="F1336" s="79" t="s">
        <v>2567</v>
      </c>
      <c r="G1336" s="80">
        <v>1</v>
      </c>
      <c r="H1336" s="81">
        <v>0</v>
      </c>
      <c r="I1336" s="80">
        <f t="shared" si="190"/>
        <v>0</v>
      </c>
      <c r="J1336" s="80">
        <v>0</v>
      </c>
      <c r="K1336" s="80">
        <f t="shared" si="191"/>
        <v>0</v>
      </c>
      <c r="L1336" s="82" t="s">
        <v>207</v>
      </c>
      <c r="Z1336" s="38">
        <f t="shared" si="192"/>
        <v>0</v>
      </c>
      <c r="AB1336" s="38">
        <f t="shared" si="193"/>
        <v>0</v>
      </c>
      <c r="AC1336" s="38">
        <f t="shared" si="194"/>
        <v>0</v>
      </c>
      <c r="AD1336" s="38">
        <f t="shared" si="195"/>
        <v>0</v>
      </c>
      <c r="AE1336" s="38">
        <f t="shared" si="196"/>
        <v>0</v>
      </c>
      <c r="AF1336" s="38">
        <f t="shared" si="197"/>
        <v>0</v>
      </c>
      <c r="AG1336" s="38">
        <f t="shared" si="198"/>
        <v>0</v>
      </c>
      <c r="AH1336" s="38">
        <f t="shared" si="199"/>
        <v>0</v>
      </c>
      <c r="AI1336" s="50" t="s">
        <v>93</v>
      </c>
      <c r="AJ1336" s="80">
        <f t="shared" si="200"/>
        <v>0</v>
      </c>
      <c r="AK1336" s="80">
        <f t="shared" si="201"/>
        <v>0</v>
      </c>
      <c r="AL1336" s="80">
        <f t="shared" si="202"/>
        <v>0</v>
      </c>
      <c r="AN1336" s="38">
        <v>21</v>
      </c>
      <c r="AO1336" s="38">
        <f>H1336*1</f>
        <v>0</v>
      </c>
      <c r="AP1336" s="38">
        <f>H1336*(1-1)</f>
        <v>0</v>
      </c>
      <c r="AQ1336" s="83" t="s">
        <v>132</v>
      </c>
      <c r="AV1336" s="38">
        <f t="shared" si="203"/>
        <v>0</v>
      </c>
      <c r="AW1336" s="38">
        <f t="shared" si="204"/>
        <v>0</v>
      </c>
      <c r="AX1336" s="38">
        <f t="shared" si="205"/>
        <v>0</v>
      </c>
      <c r="AY1336" s="72" t="s">
        <v>2561</v>
      </c>
      <c r="AZ1336" s="72" t="s">
        <v>2562</v>
      </c>
      <c r="BA1336" s="50" t="s">
        <v>2563</v>
      </c>
      <c r="BC1336" s="38">
        <f t="shared" si="206"/>
        <v>0</v>
      </c>
      <c r="BD1336" s="38">
        <f t="shared" si="207"/>
        <v>0</v>
      </c>
      <c r="BE1336" s="38">
        <v>0</v>
      </c>
      <c r="BF1336" s="38">
        <f t="shared" si="208"/>
        <v>0</v>
      </c>
      <c r="BH1336" s="80">
        <f t="shared" si="209"/>
        <v>0</v>
      </c>
      <c r="BI1336" s="80">
        <f t="shared" si="210"/>
        <v>0</v>
      </c>
      <c r="BJ1336" s="80">
        <f t="shared" si="211"/>
        <v>0</v>
      </c>
      <c r="BK1336" s="80"/>
      <c r="BL1336" s="38"/>
      <c r="BW1336" s="38">
        <v>21</v>
      </c>
    </row>
    <row r="1337" spans="1:75" ht="13.5" customHeight="1">
      <c r="A1337" s="78" t="s">
        <v>2568</v>
      </c>
      <c r="B1337" s="79" t="s">
        <v>93</v>
      </c>
      <c r="C1337" s="79" t="s">
        <v>2569</v>
      </c>
      <c r="D1337" s="198" t="s">
        <v>2570</v>
      </c>
      <c r="E1337" s="199"/>
      <c r="F1337" s="79" t="s">
        <v>2567</v>
      </c>
      <c r="G1337" s="80">
        <v>195</v>
      </c>
      <c r="H1337" s="81">
        <v>0</v>
      </c>
      <c r="I1337" s="80">
        <f t="shared" si="190"/>
        <v>0</v>
      </c>
      <c r="J1337" s="80">
        <v>0</v>
      </c>
      <c r="K1337" s="80">
        <f t="shared" si="191"/>
        <v>0</v>
      </c>
      <c r="L1337" s="82" t="s">
        <v>207</v>
      </c>
      <c r="Z1337" s="38">
        <f t="shared" si="192"/>
        <v>0</v>
      </c>
      <c r="AB1337" s="38">
        <f t="shared" si="193"/>
        <v>0</v>
      </c>
      <c r="AC1337" s="38">
        <f t="shared" si="194"/>
        <v>0</v>
      </c>
      <c r="AD1337" s="38">
        <f t="shared" si="195"/>
        <v>0</v>
      </c>
      <c r="AE1337" s="38">
        <f t="shared" si="196"/>
        <v>0</v>
      </c>
      <c r="AF1337" s="38">
        <f t="shared" si="197"/>
        <v>0</v>
      </c>
      <c r="AG1337" s="38">
        <f t="shared" si="198"/>
        <v>0</v>
      </c>
      <c r="AH1337" s="38">
        <f t="shared" si="199"/>
        <v>0</v>
      </c>
      <c r="AI1337" s="50" t="s">
        <v>93</v>
      </c>
      <c r="AJ1337" s="80">
        <f t="shared" si="200"/>
        <v>0</v>
      </c>
      <c r="AK1337" s="80">
        <f t="shared" si="201"/>
        <v>0</v>
      </c>
      <c r="AL1337" s="80">
        <f t="shared" si="202"/>
        <v>0</v>
      </c>
      <c r="AN1337" s="38">
        <v>21</v>
      </c>
      <c r="AO1337" s="38">
        <f>H1337*1</f>
        <v>0</v>
      </c>
      <c r="AP1337" s="38">
        <f>H1337*(1-1)</f>
        <v>0</v>
      </c>
      <c r="AQ1337" s="83" t="s">
        <v>132</v>
      </c>
      <c r="AV1337" s="38">
        <f t="shared" si="203"/>
        <v>0</v>
      </c>
      <c r="AW1337" s="38">
        <f t="shared" si="204"/>
        <v>0</v>
      </c>
      <c r="AX1337" s="38">
        <f t="shared" si="205"/>
        <v>0</v>
      </c>
      <c r="AY1337" s="72" t="s">
        <v>2561</v>
      </c>
      <c r="AZ1337" s="72" t="s">
        <v>2562</v>
      </c>
      <c r="BA1337" s="50" t="s">
        <v>2563</v>
      </c>
      <c r="BC1337" s="38">
        <f t="shared" si="206"/>
        <v>0</v>
      </c>
      <c r="BD1337" s="38">
        <f t="shared" si="207"/>
        <v>0</v>
      </c>
      <c r="BE1337" s="38">
        <v>0</v>
      </c>
      <c r="BF1337" s="38">
        <f t="shared" si="208"/>
        <v>0</v>
      </c>
      <c r="BH1337" s="80">
        <f t="shared" si="209"/>
        <v>0</v>
      </c>
      <c r="BI1337" s="80">
        <f t="shared" si="210"/>
        <v>0</v>
      </c>
      <c r="BJ1337" s="80">
        <f t="shared" si="211"/>
        <v>0</v>
      </c>
      <c r="BK1337" s="80"/>
      <c r="BL1337" s="38"/>
      <c r="BW1337" s="38">
        <v>21</v>
      </c>
    </row>
    <row r="1338" spans="1:75" ht="27" customHeight="1">
      <c r="A1338" s="1" t="s">
        <v>2571</v>
      </c>
      <c r="B1338" s="2" t="s">
        <v>93</v>
      </c>
      <c r="C1338" s="2" t="s">
        <v>2572</v>
      </c>
      <c r="D1338" s="108" t="s">
        <v>2573</v>
      </c>
      <c r="E1338" s="103"/>
      <c r="F1338" s="2" t="s">
        <v>199</v>
      </c>
      <c r="G1338" s="38">
        <v>1</v>
      </c>
      <c r="H1338" s="70">
        <v>0</v>
      </c>
      <c r="I1338" s="38">
        <f t="shared" si="190"/>
        <v>0</v>
      </c>
      <c r="J1338" s="38">
        <v>0</v>
      </c>
      <c r="K1338" s="38">
        <f t="shared" si="191"/>
        <v>0</v>
      </c>
      <c r="L1338" s="71" t="s">
        <v>207</v>
      </c>
      <c r="Z1338" s="38">
        <f t="shared" si="192"/>
        <v>0</v>
      </c>
      <c r="AB1338" s="38">
        <f t="shared" si="193"/>
        <v>0</v>
      </c>
      <c r="AC1338" s="38">
        <f t="shared" si="194"/>
        <v>0</v>
      </c>
      <c r="AD1338" s="38">
        <f t="shared" si="195"/>
        <v>0</v>
      </c>
      <c r="AE1338" s="38">
        <f t="shared" si="196"/>
        <v>0</v>
      </c>
      <c r="AF1338" s="38">
        <f t="shared" si="197"/>
        <v>0</v>
      </c>
      <c r="AG1338" s="38">
        <f t="shared" si="198"/>
        <v>0</v>
      </c>
      <c r="AH1338" s="38">
        <f t="shared" si="199"/>
        <v>0</v>
      </c>
      <c r="AI1338" s="50" t="s">
        <v>93</v>
      </c>
      <c r="AJ1338" s="38">
        <f t="shared" si="200"/>
        <v>0</v>
      </c>
      <c r="AK1338" s="38">
        <f t="shared" si="201"/>
        <v>0</v>
      </c>
      <c r="AL1338" s="38">
        <f t="shared" si="202"/>
        <v>0</v>
      </c>
      <c r="AN1338" s="38">
        <v>21</v>
      </c>
      <c r="AO1338" s="38">
        <f>H1338*0</f>
        <v>0</v>
      </c>
      <c r="AP1338" s="38">
        <f>H1338*(1-0)</f>
        <v>0</v>
      </c>
      <c r="AQ1338" s="72" t="s">
        <v>132</v>
      </c>
      <c r="AV1338" s="38">
        <f t="shared" si="203"/>
        <v>0</v>
      </c>
      <c r="AW1338" s="38">
        <f t="shared" si="204"/>
        <v>0</v>
      </c>
      <c r="AX1338" s="38">
        <f t="shared" si="205"/>
        <v>0</v>
      </c>
      <c r="AY1338" s="72" t="s">
        <v>2561</v>
      </c>
      <c r="AZ1338" s="72" t="s">
        <v>2562</v>
      </c>
      <c r="BA1338" s="50" t="s">
        <v>2563</v>
      </c>
      <c r="BC1338" s="38">
        <f t="shared" si="206"/>
        <v>0</v>
      </c>
      <c r="BD1338" s="38">
        <f t="shared" si="207"/>
        <v>0</v>
      </c>
      <c r="BE1338" s="38">
        <v>0</v>
      </c>
      <c r="BF1338" s="38">
        <f t="shared" si="208"/>
        <v>0</v>
      </c>
      <c r="BH1338" s="38">
        <f t="shared" si="209"/>
        <v>0</v>
      </c>
      <c r="BI1338" s="38">
        <f t="shared" si="210"/>
        <v>0</v>
      </c>
      <c r="BJ1338" s="38">
        <f t="shared" si="211"/>
        <v>0</v>
      </c>
      <c r="BK1338" s="38"/>
      <c r="BL1338" s="38"/>
      <c r="BW1338" s="38">
        <v>21</v>
      </c>
    </row>
    <row r="1339" spans="1:75" ht="13.5" customHeight="1">
      <c r="A1339" s="78" t="s">
        <v>2574</v>
      </c>
      <c r="B1339" s="79" t="s">
        <v>93</v>
      </c>
      <c r="C1339" s="79" t="s">
        <v>2575</v>
      </c>
      <c r="D1339" s="198" t="s">
        <v>2576</v>
      </c>
      <c r="E1339" s="199"/>
      <c r="F1339" s="79" t="s">
        <v>2567</v>
      </c>
      <c r="G1339" s="80">
        <v>1</v>
      </c>
      <c r="H1339" s="81">
        <v>0</v>
      </c>
      <c r="I1339" s="80">
        <f t="shared" si="190"/>
        <v>0</v>
      </c>
      <c r="J1339" s="80">
        <v>0</v>
      </c>
      <c r="K1339" s="80">
        <f t="shared" si="191"/>
        <v>0</v>
      </c>
      <c r="L1339" s="82" t="s">
        <v>207</v>
      </c>
      <c r="Z1339" s="38">
        <f t="shared" si="192"/>
        <v>0</v>
      </c>
      <c r="AB1339" s="38">
        <f t="shared" si="193"/>
        <v>0</v>
      </c>
      <c r="AC1339" s="38">
        <f t="shared" si="194"/>
        <v>0</v>
      </c>
      <c r="AD1339" s="38">
        <f t="shared" si="195"/>
        <v>0</v>
      </c>
      <c r="AE1339" s="38">
        <f t="shared" si="196"/>
        <v>0</v>
      </c>
      <c r="AF1339" s="38">
        <f t="shared" si="197"/>
        <v>0</v>
      </c>
      <c r="AG1339" s="38">
        <f t="shared" si="198"/>
        <v>0</v>
      </c>
      <c r="AH1339" s="38">
        <f t="shared" si="199"/>
        <v>0</v>
      </c>
      <c r="AI1339" s="50" t="s">
        <v>93</v>
      </c>
      <c r="AJ1339" s="80">
        <f t="shared" si="200"/>
        <v>0</v>
      </c>
      <c r="AK1339" s="80">
        <f t="shared" si="201"/>
        <v>0</v>
      </c>
      <c r="AL1339" s="80">
        <f t="shared" si="202"/>
        <v>0</v>
      </c>
      <c r="AN1339" s="38">
        <v>21</v>
      </c>
      <c r="AO1339" s="38">
        <f>H1339*1</f>
        <v>0</v>
      </c>
      <c r="AP1339" s="38">
        <f>H1339*(1-1)</f>
        <v>0</v>
      </c>
      <c r="AQ1339" s="83" t="s">
        <v>132</v>
      </c>
      <c r="AV1339" s="38">
        <f t="shared" si="203"/>
        <v>0</v>
      </c>
      <c r="AW1339" s="38">
        <f t="shared" si="204"/>
        <v>0</v>
      </c>
      <c r="AX1339" s="38">
        <f t="shared" si="205"/>
        <v>0</v>
      </c>
      <c r="AY1339" s="72" t="s">
        <v>2561</v>
      </c>
      <c r="AZ1339" s="72" t="s">
        <v>2562</v>
      </c>
      <c r="BA1339" s="50" t="s">
        <v>2563</v>
      </c>
      <c r="BC1339" s="38">
        <f t="shared" si="206"/>
        <v>0</v>
      </c>
      <c r="BD1339" s="38">
        <f t="shared" si="207"/>
        <v>0</v>
      </c>
      <c r="BE1339" s="38">
        <v>0</v>
      </c>
      <c r="BF1339" s="38">
        <f t="shared" si="208"/>
        <v>0</v>
      </c>
      <c r="BH1339" s="80">
        <f t="shared" si="209"/>
        <v>0</v>
      </c>
      <c r="BI1339" s="80">
        <f t="shared" si="210"/>
        <v>0</v>
      </c>
      <c r="BJ1339" s="80">
        <f t="shared" si="211"/>
        <v>0</v>
      </c>
      <c r="BK1339" s="80"/>
      <c r="BL1339" s="38"/>
      <c r="BW1339" s="38">
        <v>21</v>
      </c>
    </row>
    <row r="1340" spans="1:75" ht="13.5" customHeight="1">
      <c r="A1340" s="78" t="s">
        <v>2577</v>
      </c>
      <c r="B1340" s="79" t="s">
        <v>93</v>
      </c>
      <c r="C1340" s="79" t="s">
        <v>2578</v>
      </c>
      <c r="D1340" s="198" t="s">
        <v>2579</v>
      </c>
      <c r="E1340" s="199"/>
      <c r="F1340" s="79" t="s">
        <v>2567</v>
      </c>
      <c r="G1340" s="80">
        <v>1</v>
      </c>
      <c r="H1340" s="81">
        <v>0</v>
      </c>
      <c r="I1340" s="80">
        <f t="shared" si="190"/>
        <v>0</v>
      </c>
      <c r="J1340" s="80">
        <v>0</v>
      </c>
      <c r="K1340" s="80">
        <f t="shared" si="191"/>
        <v>0</v>
      </c>
      <c r="L1340" s="82" t="s">
        <v>207</v>
      </c>
      <c r="Z1340" s="38">
        <f t="shared" si="192"/>
        <v>0</v>
      </c>
      <c r="AB1340" s="38">
        <f t="shared" si="193"/>
        <v>0</v>
      </c>
      <c r="AC1340" s="38">
        <f t="shared" si="194"/>
        <v>0</v>
      </c>
      <c r="AD1340" s="38">
        <f t="shared" si="195"/>
        <v>0</v>
      </c>
      <c r="AE1340" s="38">
        <f t="shared" si="196"/>
        <v>0</v>
      </c>
      <c r="AF1340" s="38">
        <f t="shared" si="197"/>
        <v>0</v>
      </c>
      <c r="AG1340" s="38">
        <f t="shared" si="198"/>
        <v>0</v>
      </c>
      <c r="AH1340" s="38">
        <f t="shared" si="199"/>
        <v>0</v>
      </c>
      <c r="AI1340" s="50" t="s">
        <v>93</v>
      </c>
      <c r="AJ1340" s="80">
        <f t="shared" si="200"/>
        <v>0</v>
      </c>
      <c r="AK1340" s="80">
        <f t="shared" si="201"/>
        <v>0</v>
      </c>
      <c r="AL1340" s="80">
        <f t="shared" si="202"/>
        <v>0</v>
      </c>
      <c r="AN1340" s="38">
        <v>21</v>
      </c>
      <c r="AO1340" s="38">
        <f>H1340*1</f>
        <v>0</v>
      </c>
      <c r="AP1340" s="38">
        <f>H1340*(1-1)</f>
        <v>0</v>
      </c>
      <c r="AQ1340" s="83" t="s">
        <v>132</v>
      </c>
      <c r="AV1340" s="38">
        <f t="shared" si="203"/>
        <v>0</v>
      </c>
      <c r="AW1340" s="38">
        <f t="shared" si="204"/>
        <v>0</v>
      </c>
      <c r="AX1340" s="38">
        <f t="shared" si="205"/>
        <v>0</v>
      </c>
      <c r="AY1340" s="72" t="s">
        <v>2561</v>
      </c>
      <c r="AZ1340" s="72" t="s">
        <v>2562</v>
      </c>
      <c r="BA1340" s="50" t="s">
        <v>2563</v>
      </c>
      <c r="BC1340" s="38">
        <f t="shared" si="206"/>
        <v>0</v>
      </c>
      <c r="BD1340" s="38">
        <f t="shared" si="207"/>
        <v>0</v>
      </c>
      <c r="BE1340" s="38">
        <v>0</v>
      </c>
      <c r="BF1340" s="38">
        <f t="shared" si="208"/>
        <v>0</v>
      </c>
      <c r="BH1340" s="80">
        <f t="shared" si="209"/>
        <v>0</v>
      </c>
      <c r="BI1340" s="80">
        <f t="shared" si="210"/>
        <v>0</v>
      </c>
      <c r="BJ1340" s="80">
        <f t="shared" si="211"/>
        <v>0</v>
      </c>
      <c r="BK1340" s="80"/>
      <c r="BL1340" s="38"/>
      <c r="BW1340" s="38">
        <v>21</v>
      </c>
    </row>
    <row r="1341" spans="1:75" ht="27" customHeight="1">
      <c r="A1341" s="1" t="s">
        <v>2580</v>
      </c>
      <c r="B1341" s="2" t="s">
        <v>93</v>
      </c>
      <c r="C1341" s="2" t="s">
        <v>2581</v>
      </c>
      <c r="D1341" s="108" t="s">
        <v>2573</v>
      </c>
      <c r="E1341" s="103"/>
      <c r="F1341" s="2" t="s">
        <v>199</v>
      </c>
      <c r="G1341" s="38">
        <v>46</v>
      </c>
      <c r="H1341" s="70">
        <v>0</v>
      </c>
      <c r="I1341" s="38">
        <f t="shared" si="190"/>
        <v>0</v>
      </c>
      <c r="J1341" s="38">
        <v>0</v>
      </c>
      <c r="K1341" s="38">
        <f t="shared" si="191"/>
        <v>0</v>
      </c>
      <c r="L1341" s="71" t="s">
        <v>207</v>
      </c>
      <c r="Z1341" s="38">
        <f t="shared" si="192"/>
        <v>0</v>
      </c>
      <c r="AB1341" s="38">
        <f t="shared" si="193"/>
        <v>0</v>
      </c>
      <c r="AC1341" s="38">
        <f t="shared" si="194"/>
        <v>0</v>
      </c>
      <c r="AD1341" s="38">
        <f t="shared" si="195"/>
        <v>0</v>
      </c>
      <c r="AE1341" s="38">
        <f t="shared" si="196"/>
        <v>0</v>
      </c>
      <c r="AF1341" s="38">
        <f t="shared" si="197"/>
        <v>0</v>
      </c>
      <c r="AG1341" s="38">
        <f t="shared" si="198"/>
        <v>0</v>
      </c>
      <c r="AH1341" s="38">
        <f t="shared" si="199"/>
        <v>0</v>
      </c>
      <c r="AI1341" s="50" t="s">
        <v>93</v>
      </c>
      <c r="AJ1341" s="38">
        <f t="shared" si="200"/>
        <v>0</v>
      </c>
      <c r="AK1341" s="38">
        <f t="shared" si="201"/>
        <v>0</v>
      </c>
      <c r="AL1341" s="38">
        <f t="shared" si="202"/>
        <v>0</v>
      </c>
      <c r="AN1341" s="38">
        <v>21</v>
      </c>
      <c r="AO1341" s="38">
        <f>H1341*0</f>
        <v>0</v>
      </c>
      <c r="AP1341" s="38">
        <f>H1341*(1-0)</f>
        <v>0</v>
      </c>
      <c r="AQ1341" s="72" t="s">
        <v>132</v>
      </c>
      <c r="AV1341" s="38">
        <f t="shared" si="203"/>
        <v>0</v>
      </c>
      <c r="AW1341" s="38">
        <f t="shared" si="204"/>
        <v>0</v>
      </c>
      <c r="AX1341" s="38">
        <f t="shared" si="205"/>
        <v>0</v>
      </c>
      <c r="AY1341" s="72" t="s">
        <v>2561</v>
      </c>
      <c r="AZ1341" s="72" t="s">
        <v>2562</v>
      </c>
      <c r="BA1341" s="50" t="s">
        <v>2563</v>
      </c>
      <c r="BC1341" s="38">
        <f t="shared" si="206"/>
        <v>0</v>
      </c>
      <c r="BD1341" s="38">
        <f t="shared" si="207"/>
        <v>0</v>
      </c>
      <c r="BE1341" s="38">
        <v>0</v>
      </c>
      <c r="BF1341" s="38">
        <f t="shared" si="208"/>
        <v>0</v>
      </c>
      <c r="BH1341" s="38">
        <f t="shared" si="209"/>
        <v>0</v>
      </c>
      <c r="BI1341" s="38">
        <f t="shared" si="210"/>
        <v>0</v>
      </c>
      <c r="BJ1341" s="38">
        <f t="shared" si="211"/>
        <v>0</v>
      </c>
      <c r="BK1341" s="38"/>
      <c r="BL1341" s="38"/>
      <c r="BW1341" s="38">
        <v>21</v>
      </c>
    </row>
    <row r="1342" spans="1:75" ht="27" customHeight="1">
      <c r="A1342" s="78" t="s">
        <v>2582</v>
      </c>
      <c r="B1342" s="79" t="s">
        <v>93</v>
      </c>
      <c r="C1342" s="79" t="s">
        <v>2583</v>
      </c>
      <c r="D1342" s="198" t="s">
        <v>2584</v>
      </c>
      <c r="E1342" s="199"/>
      <c r="F1342" s="79" t="s">
        <v>2567</v>
      </c>
      <c r="G1342" s="80">
        <v>46</v>
      </c>
      <c r="H1342" s="81">
        <v>0</v>
      </c>
      <c r="I1342" s="80">
        <f t="shared" si="190"/>
        <v>0</v>
      </c>
      <c r="J1342" s="80">
        <v>0</v>
      </c>
      <c r="K1342" s="80">
        <f t="shared" si="191"/>
        <v>0</v>
      </c>
      <c r="L1342" s="82" t="s">
        <v>207</v>
      </c>
      <c r="Z1342" s="38">
        <f t="shared" si="192"/>
        <v>0</v>
      </c>
      <c r="AB1342" s="38">
        <f t="shared" si="193"/>
        <v>0</v>
      </c>
      <c r="AC1342" s="38">
        <f t="shared" si="194"/>
        <v>0</v>
      </c>
      <c r="AD1342" s="38">
        <f t="shared" si="195"/>
        <v>0</v>
      </c>
      <c r="AE1342" s="38">
        <f t="shared" si="196"/>
        <v>0</v>
      </c>
      <c r="AF1342" s="38">
        <f t="shared" si="197"/>
        <v>0</v>
      </c>
      <c r="AG1342" s="38">
        <f t="shared" si="198"/>
        <v>0</v>
      </c>
      <c r="AH1342" s="38">
        <f t="shared" si="199"/>
        <v>0</v>
      </c>
      <c r="AI1342" s="50" t="s">
        <v>93</v>
      </c>
      <c r="AJ1342" s="80">
        <f t="shared" si="200"/>
        <v>0</v>
      </c>
      <c r="AK1342" s="80">
        <f t="shared" si="201"/>
        <v>0</v>
      </c>
      <c r="AL1342" s="80">
        <f t="shared" si="202"/>
        <v>0</v>
      </c>
      <c r="AN1342" s="38">
        <v>21</v>
      </c>
      <c r="AO1342" s="38">
        <f>H1342*1</f>
        <v>0</v>
      </c>
      <c r="AP1342" s="38">
        <f>H1342*(1-1)</f>
        <v>0</v>
      </c>
      <c r="AQ1342" s="83" t="s">
        <v>132</v>
      </c>
      <c r="AV1342" s="38">
        <f t="shared" si="203"/>
        <v>0</v>
      </c>
      <c r="AW1342" s="38">
        <f t="shared" si="204"/>
        <v>0</v>
      </c>
      <c r="AX1342" s="38">
        <f t="shared" si="205"/>
        <v>0</v>
      </c>
      <c r="AY1342" s="72" t="s">
        <v>2561</v>
      </c>
      <c r="AZ1342" s="72" t="s">
        <v>2562</v>
      </c>
      <c r="BA1342" s="50" t="s">
        <v>2563</v>
      </c>
      <c r="BC1342" s="38">
        <f t="shared" si="206"/>
        <v>0</v>
      </c>
      <c r="BD1342" s="38">
        <f t="shared" si="207"/>
        <v>0</v>
      </c>
      <c r="BE1342" s="38">
        <v>0</v>
      </c>
      <c r="BF1342" s="38">
        <f t="shared" si="208"/>
        <v>0</v>
      </c>
      <c r="BH1342" s="80">
        <f t="shared" si="209"/>
        <v>0</v>
      </c>
      <c r="BI1342" s="80">
        <f t="shared" si="210"/>
        <v>0</v>
      </c>
      <c r="BJ1342" s="80">
        <f t="shared" si="211"/>
        <v>0</v>
      </c>
      <c r="BK1342" s="80"/>
      <c r="BL1342" s="38"/>
      <c r="BW1342" s="38">
        <v>21</v>
      </c>
    </row>
    <row r="1343" spans="1:75" ht="13.5" customHeight="1">
      <c r="A1343" s="78" t="s">
        <v>2585</v>
      </c>
      <c r="B1343" s="79" t="s">
        <v>93</v>
      </c>
      <c r="C1343" s="79" t="s">
        <v>2586</v>
      </c>
      <c r="D1343" s="198" t="s">
        <v>2587</v>
      </c>
      <c r="E1343" s="199"/>
      <c r="F1343" s="79" t="s">
        <v>2567</v>
      </c>
      <c r="G1343" s="80">
        <v>46</v>
      </c>
      <c r="H1343" s="81">
        <v>0</v>
      </c>
      <c r="I1343" s="80">
        <f t="shared" si="190"/>
        <v>0</v>
      </c>
      <c r="J1343" s="80">
        <v>0</v>
      </c>
      <c r="K1343" s="80">
        <f t="shared" si="191"/>
        <v>0</v>
      </c>
      <c r="L1343" s="82" t="s">
        <v>207</v>
      </c>
      <c r="Z1343" s="38">
        <f t="shared" si="192"/>
        <v>0</v>
      </c>
      <c r="AB1343" s="38">
        <f t="shared" si="193"/>
        <v>0</v>
      </c>
      <c r="AC1343" s="38">
        <f t="shared" si="194"/>
        <v>0</v>
      </c>
      <c r="AD1343" s="38">
        <f t="shared" si="195"/>
        <v>0</v>
      </c>
      <c r="AE1343" s="38">
        <f t="shared" si="196"/>
        <v>0</v>
      </c>
      <c r="AF1343" s="38">
        <f t="shared" si="197"/>
        <v>0</v>
      </c>
      <c r="AG1343" s="38">
        <f t="shared" si="198"/>
        <v>0</v>
      </c>
      <c r="AH1343" s="38">
        <f t="shared" si="199"/>
        <v>0</v>
      </c>
      <c r="AI1343" s="50" t="s">
        <v>93</v>
      </c>
      <c r="AJ1343" s="80">
        <f t="shared" si="200"/>
        <v>0</v>
      </c>
      <c r="AK1343" s="80">
        <f t="shared" si="201"/>
        <v>0</v>
      </c>
      <c r="AL1343" s="80">
        <f t="shared" si="202"/>
        <v>0</v>
      </c>
      <c r="AN1343" s="38">
        <v>21</v>
      </c>
      <c r="AO1343" s="38">
        <f>H1343*1</f>
        <v>0</v>
      </c>
      <c r="AP1343" s="38">
        <f>H1343*(1-1)</f>
        <v>0</v>
      </c>
      <c r="AQ1343" s="83" t="s">
        <v>132</v>
      </c>
      <c r="AV1343" s="38">
        <f t="shared" si="203"/>
        <v>0</v>
      </c>
      <c r="AW1343" s="38">
        <f t="shared" si="204"/>
        <v>0</v>
      </c>
      <c r="AX1343" s="38">
        <f t="shared" si="205"/>
        <v>0</v>
      </c>
      <c r="AY1343" s="72" t="s">
        <v>2561</v>
      </c>
      <c r="AZ1343" s="72" t="s">
        <v>2562</v>
      </c>
      <c r="BA1343" s="50" t="s">
        <v>2563</v>
      </c>
      <c r="BC1343" s="38">
        <f t="shared" si="206"/>
        <v>0</v>
      </c>
      <c r="BD1343" s="38">
        <f t="shared" si="207"/>
        <v>0</v>
      </c>
      <c r="BE1343" s="38">
        <v>0</v>
      </c>
      <c r="BF1343" s="38">
        <f t="shared" si="208"/>
        <v>0</v>
      </c>
      <c r="BH1343" s="80">
        <f t="shared" si="209"/>
        <v>0</v>
      </c>
      <c r="BI1343" s="80">
        <f t="shared" si="210"/>
        <v>0</v>
      </c>
      <c r="BJ1343" s="80">
        <f t="shared" si="211"/>
        <v>0</v>
      </c>
      <c r="BK1343" s="80"/>
      <c r="BL1343" s="38"/>
      <c r="BW1343" s="38">
        <v>21</v>
      </c>
    </row>
    <row r="1344" spans="1:75" ht="27" customHeight="1">
      <c r="A1344" s="1" t="s">
        <v>2588</v>
      </c>
      <c r="B1344" s="2" t="s">
        <v>93</v>
      </c>
      <c r="C1344" s="2" t="s">
        <v>2589</v>
      </c>
      <c r="D1344" s="108" t="s">
        <v>2590</v>
      </c>
      <c r="E1344" s="103"/>
      <c r="F1344" s="2" t="s">
        <v>199</v>
      </c>
      <c r="G1344" s="38">
        <v>2</v>
      </c>
      <c r="H1344" s="70">
        <v>0</v>
      </c>
      <c r="I1344" s="38">
        <f t="shared" si="190"/>
        <v>0</v>
      </c>
      <c r="J1344" s="38">
        <v>0</v>
      </c>
      <c r="K1344" s="38">
        <f t="shared" si="191"/>
        <v>0</v>
      </c>
      <c r="L1344" s="71" t="s">
        <v>207</v>
      </c>
      <c r="Z1344" s="38">
        <f t="shared" si="192"/>
        <v>0</v>
      </c>
      <c r="AB1344" s="38">
        <f t="shared" si="193"/>
        <v>0</v>
      </c>
      <c r="AC1344" s="38">
        <f t="shared" si="194"/>
        <v>0</v>
      </c>
      <c r="AD1344" s="38">
        <f t="shared" si="195"/>
        <v>0</v>
      </c>
      <c r="AE1344" s="38">
        <f t="shared" si="196"/>
        <v>0</v>
      </c>
      <c r="AF1344" s="38">
        <f t="shared" si="197"/>
        <v>0</v>
      </c>
      <c r="AG1344" s="38">
        <f t="shared" si="198"/>
        <v>0</v>
      </c>
      <c r="AH1344" s="38">
        <f t="shared" si="199"/>
        <v>0</v>
      </c>
      <c r="AI1344" s="50" t="s">
        <v>93</v>
      </c>
      <c r="AJ1344" s="38">
        <f t="shared" si="200"/>
        <v>0</v>
      </c>
      <c r="AK1344" s="38">
        <f t="shared" si="201"/>
        <v>0</v>
      </c>
      <c r="AL1344" s="38">
        <f t="shared" si="202"/>
        <v>0</v>
      </c>
      <c r="AN1344" s="38">
        <v>21</v>
      </c>
      <c r="AO1344" s="38">
        <f>H1344*0</f>
        <v>0</v>
      </c>
      <c r="AP1344" s="38">
        <f>H1344*(1-0)</f>
        <v>0</v>
      </c>
      <c r="AQ1344" s="72" t="s">
        <v>132</v>
      </c>
      <c r="AV1344" s="38">
        <f t="shared" si="203"/>
        <v>0</v>
      </c>
      <c r="AW1344" s="38">
        <f t="shared" si="204"/>
        <v>0</v>
      </c>
      <c r="AX1344" s="38">
        <f t="shared" si="205"/>
        <v>0</v>
      </c>
      <c r="AY1344" s="72" t="s">
        <v>2561</v>
      </c>
      <c r="AZ1344" s="72" t="s">
        <v>2562</v>
      </c>
      <c r="BA1344" s="50" t="s">
        <v>2563</v>
      </c>
      <c r="BC1344" s="38">
        <f t="shared" si="206"/>
        <v>0</v>
      </c>
      <c r="BD1344" s="38">
        <f t="shared" si="207"/>
        <v>0</v>
      </c>
      <c r="BE1344" s="38">
        <v>0</v>
      </c>
      <c r="BF1344" s="38">
        <f t="shared" si="208"/>
        <v>0</v>
      </c>
      <c r="BH1344" s="38">
        <f t="shared" si="209"/>
        <v>0</v>
      </c>
      <c r="BI1344" s="38">
        <f t="shared" si="210"/>
        <v>0</v>
      </c>
      <c r="BJ1344" s="38">
        <f t="shared" si="211"/>
        <v>0</v>
      </c>
      <c r="BK1344" s="38"/>
      <c r="BL1344" s="38"/>
      <c r="BW1344" s="38">
        <v>21</v>
      </c>
    </row>
    <row r="1345" spans="1:75" ht="27" customHeight="1">
      <c r="A1345" s="78" t="s">
        <v>2591</v>
      </c>
      <c r="B1345" s="79" t="s">
        <v>93</v>
      </c>
      <c r="C1345" s="79" t="s">
        <v>2592</v>
      </c>
      <c r="D1345" s="198" t="s">
        <v>2593</v>
      </c>
      <c r="E1345" s="199"/>
      <c r="F1345" s="79" t="s">
        <v>2567</v>
      </c>
      <c r="G1345" s="80">
        <v>2</v>
      </c>
      <c r="H1345" s="81">
        <v>0</v>
      </c>
      <c r="I1345" s="80">
        <f t="shared" si="190"/>
        <v>0</v>
      </c>
      <c r="J1345" s="80">
        <v>0</v>
      </c>
      <c r="K1345" s="80">
        <f t="shared" si="191"/>
        <v>0</v>
      </c>
      <c r="L1345" s="82" t="s">
        <v>207</v>
      </c>
      <c r="Z1345" s="38">
        <f t="shared" si="192"/>
        <v>0</v>
      </c>
      <c r="AB1345" s="38">
        <f t="shared" si="193"/>
        <v>0</v>
      </c>
      <c r="AC1345" s="38">
        <f t="shared" si="194"/>
        <v>0</v>
      </c>
      <c r="AD1345" s="38">
        <f t="shared" si="195"/>
        <v>0</v>
      </c>
      <c r="AE1345" s="38">
        <f t="shared" si="196"/>
        <v>0</v>
      </c>
      <c r="AF1345" s="38">
        <f t="shared" si="197"/>
        <v>0</v>
      </c>
      <c r="AG1345" s="38">
        <f t="shared" si="198"/>
        <v>0</v>
      </c>
      <c r="AH1345" s="38">
        <f t="shared" si="199"/>
        <v>0</v>
      </c>
      <c r="AI1345" s="50" t="s">
        <v>93</v>
      </c>
      <c r="AJ1345" s="80">
        <f t="shared" si="200"/>
        <v>0</v>
      </c>
      <c r="AK1345" s="80">
        <f t="shared" si="201"/>
        <v>0</v>
      </c>
      <c r="AL1345" s="80">
        <f t="shared" si="202"/>
        <v>0</v>
      </c>
      <c r="AN1345" s="38">
        <v>21</v>
      </c>
      <c r="AO1345" s="38">
        <f>H1345*1</f>
        <v>0</v>
      </c>
      <c r="AP1345" s="38">
        <f>H1345*(1-1)</f>
        <v>0</v>
      </c>
      <c r="AQ1345" s="83" t="s">
        <v>132</v>
      </c>
      <c r="AV1345" s="38">
        <f t="shared" si="203"/>
        <v>0</v>
      </c>
      <c r="AW1345" s="38">
        <f t="shared" si="204"/>
        <v>0</v>
      </c>
      <c r="AX1345" s="38">
        <f t="shared" si="205"/>
        <v>0</v>
      </c>
      <c r="AY1345" s="72" t="s">
        <v>2561</v>
      </c>
      <c r="AZ1345" s="72" t="s">
        <v>2562</v>
      </c>
      <c r="BA1345" s="50" t="s">
        <v>2563</v>
      </c>
      <c r="BC1345" s="38">
        <f t="shared" si="206"/>
        <v>0</v>
      </c>
      <c r="BD1345" s="38">
        <f t="shared" si="207"/>
        <v>0</v>
      </c>
      <c r="BE1345" s="38">
        <v>0</v>
      </c>
      <c r="BF1345" s="38">
        <f t="shared" si="208"/>
        <v>0</v>
      </c>
      <c r="BH1345" s="80">
        <f t="shared" si="209"/>
        <v>0</v>
      </c>
      <c r="BI1345" s="80">
        <f t="shared" si="210"/>
        <v>0</v>
      </c>
      <c r="BJ1345" s="80">
        <f t="shared" si="211"/>
        <v>0</v>
      </c>
      <c r="BK1345" s="80"/>
      <c r="BL1345" s="38"/>
      <c r="BW1345" s="38">
        <v>21</v>
      </c>
    </row>
    <row r="1346" spans="1:75" ht="13.5" customHeight="1">
      <c r="A1346" s="78" t="s">
        <v>2594</v>
      </c>
      <c r="B1346" s="79" t="s">
        <v>93</v>
      </c>
      <c r="C1346" s="79" t="s">
        <v>2595</v>
      </c>
      <c r="D1346" s="198" t="s">
        <v>2596</v>
      </c>
      <c r="E1346" s="199"/>
      <c r="F1346" s="79" t="s">
        <v>2567</v>
      </c>
      <c r="G1346" s="80">
        <v>2</v>
      </c>
      <c r="H1346" s="81">
        <v>0</v>
      </c>
      <c r="I1346" s="80">
        <f t="shared" si="190"/>
        <v>0</v>
      </c>
      <c r="J1346" s="80">
        <v>0</v>
      </c>
      <c r="K1346" s="80">
        <f t="shared" si="191"/>
        <v>0</v>
      </c>
      <c r="L1346" s="82" t="s">
        <v>207</v>
      </c>
      <c r="Z1346" s="38">
        <f t="shared" si="192"/>
        <v>0</v>
      </c>
      <c r="AB1346" s="38">
        <f t="shared" si="193"/>
        <v>0</v>
      </c>
      <c r="AC1346" s="38">
        <f t="shared" si="194"/>
        <v>0</v>
      </c>
      <c r="AD1346" s="38">
        <f t="shared" si="195"/>
        <v>0</v>
      </c>
      <c r="AE1346" s="38">
        <f t="shared" si="196"/>
        <v>0</v>
      </c>
      <c r="AF1346" s="38">
        <f t="shared" si="197"/>
        <v>0</v>
      </c>
      <c r="AG1346" s="38">
        <f t="shared" si="198"/>
        <v>0</v>
      </c>
      <c r="AH1346" s="38">
        <f t="shared" si="199"/>
        <v>0</v>
      </c>
      <c r="AI1346" s="50" t="s">
        <v>93</v>
      </c>
      <c r="AJ1346" s="80">
        <f t="shared" si="200"/>
        <v>0</v>
      </c>
      <c r="AK1346" s="80">
        <f t="shared" si="201"/>
        <v>0</v>
      </c>
      <c r="AL1346" s="80">
        <f t="shared" si="202"/>
        <v>0</v>
      </c>
      <c r="AN1346" s="38">
        <v>21</v>
      </c>
      <c r="AO1346" s="38">
        <f>H1346*1</f>
        <v>0</v>
      </c>
      <c r="AP1346" s="38">
        <f>H1346*(1-1)</f>
        <v>0</v>
      </c>
      <c r="AQ1346" s="83" t="s">
        <v>132</v>
      </c>
      <c r="AV1346" s="38">
        <f t="shared" si="203"/>
        <v>0</v>
      </c>
      <c r="AW1346" s="38">
        <f t="shared" si="204"/>
        <v>0</v>
      </c>
      <c r="AX1346" s="38">
        <f t="shared" si="205"/>
        <v>0</v>
      </c>
      <c r="AY1346" s="72" t="s">
        <v>2561</v>
      </c>
      <c r="AZ1346" s="72" t="s">
        <v>2562</v>
      </c>
      <c r="BA1346" s="50" t="s">
        <v>2563</v>
      </c>
      <c r="BC1346" s="38">
        <f t="shared" si="206"/>
        <v>0</v>
      </c>
      <c r="BD1346" s="38">
        <f t="shared" si="207"/>
        <v>0</v>
      </c>
      <c r="BE1346" s="38">
        <v>0</v>
      </c>
      <c r="BF1346" s="38">
        <f t="shared" si="208"/>
        <v>0</v>
      </c>
      <c r="BH1346" s="80">
        <f t="shared" si="209"/>
        <v>0</v>
      </c>
      <c r="BI1346" s="80">
        <f t="shared" si="210"/>
        <v>0</v>
      </c>
      <c r="BJ1346" s="80">
        <f t="shared" si="211"/>
        <v>0</v>
      </c>
      <c r="BK1346" s="80"/>
      <c r="BL1346" s="38"/>
      <c r="BW1346" s="38">
        <v>21</v>
      </c>
    </row>
    <row r="1347" spans="1:75" ht="13.5" customHeight="1">
      <c r="A1347" s="78" t="s">
        <v>2597</v>
      </c>
      <c r="B1347" s="79" t="s">
        <v>93</v>
      </c>
      <c r="C1347" s="79" t="s">
        <v>2598</v>
      </c>
      <c r="D1347" s="198" t="s">
        <v>2599</v>
      </c>
      <c r="E1347" s="199"/>
      <c r="F1347" s="79" t="s">
        <v>2567</v>
      </c>
      <c r="G1347" s="80">
        <v>2</v>
      </c>
      <c r="H1347" s="81">
        <v>0</v>
      </c>
      <c r="I1347" s="80">
        <f t="shared" si="190"/>
        <v>0</v>
      </c>
      <c r="J1347" s="80">
        <v>0</v>
      </c>
      <c r="K1347" s="80">
        <f t="shared" si="191"/>
        <v>0</v>
      </c>
      <c r="L1347" s="82" t="s">
        <v>207</v>
      </c>
      <c r="Z1347" s="38">
        <f t="shared" si="192"/>
        <v>0</v>
      </c>
      <c r="AB1347" s="38">
        <f t="shared" si="193"/>
        <v>0</v>
      </c>
      <c r="AC1347" s="38">
        <f t="shared" si="194"/>
        <v>0</v>
      </c>
      <c r="AD1347" s="38">
        <f t="shared" si="195"/>
        <v>0</v>
      </c>
      <c r="AE1347" s="38">
        <f t="shared" si="196"/>
        <v>0</v>
      </c>
      <c r="AF1347" s="38">
        <f t="shared" si="197"/>
        <v>0</v>
      </c>
      <c r="AG1347" s="38">
        <f t="shared" si="198"/>
        <v>0</v>
      </c>
      <c r="AH1347" s="38">
        <f t="shared" si="199"/>
        <v>0</v>
      </c>
      <c r="AI1347" s="50" t="s">
        <v>93</v>
      </c>
      <c r="AJ1347" s="80">
        <f t="shared" si="200"/>
        <v>0</v>
      </c>
      <c r="AK1347" s="80">
        <f t="shared" si="201"/>
        <v>0</v>
      </c>
      <c r="AL1347" s="80">
        <f t="shared" si="202"/>
        <v>0</v>
      </c>
      <c r="AN1347" s="38">
        <v>21</v>
      </c>
      <c r="AO1347" s="38">
        <f>H1347*1</f>
        <v>0</v>
      </c>
      <c r="AP1347" s="38">
        <f>H1347*(1-1)</f>
        <v>0</v>
      </c>
      <c r="AQ1347" s="83" t="s">
        <v>132</v>
      </c>
      <c r="AV1347" s="38">
        <f t="shared" si="203"/>
        <v>0</v>
      </c>
      <c r="AW1347" s="38">
        <f t="shared" si="204"/>
        <v>0</v>
      </c>
      <c r="AX1347" s="38">
        <f t="shared" si="205"/>
        <v>0</v>
      </c>
      <c r="AY1347" s="72" t="s">
        <v>2561</v>
      </c>
      <c r="AZ1347" s="72" t="s">
        <v>2562</v>
      </c>
      <c r="BA1347" s="50" t="s">
        <v>2563</v>
      </c>
      <c r="BC1347" s="38">
        <f t="shared" si="206"/>
        <v>0</v>
      </c>
      <c r="BD1347" s="38">
        <f t="shared" si="207"/>
        <v>0</v>
      </c>
      <c r="BE1347" s="38">
        <v>0</v>
      </c>
      <c r="BF1347" s="38">
        <f t="shared" si="208"/>
        <v>0</v>
      </c>
      <c r="BH1347" s="80">
        <f t="shared" si="209"/>
        <v>0</v>
      </c>
      <c r="BI1347" s="80">
        <f t="shared" si="210"/>
        <v>0</v>
      </c>
      <c r="BJ1347" s="80">
        <f t="shared" si="211"/>
        <v>0</v>
      </c>
      <c r="BK1347" s="80"/>
      <c r="BL1347" s="38"/>
      <c r="BW1347" s="38">
        <v>21</v>
      </c>
    </row>
    <row r="1348" spans="1:75" ht="27" customHeight="1">
      <c r="A1348" s="1" t="s">
        <v>2600</v>
      </c>
      <c r="B1348" s="2" t="s">
        <v>93</v>
      </c>
      <c r="C1348" s="2" t="s">
        <v>2601</v>
      </c>
      <c r="D1348" s="108" t="s">
        <v>2602</v>
      </c>
      <c r="E1348" s="103"/>
      <c r="F1348" s="2" t="s">
        <v>199</v>
      </c>
      <c r="G1348" s="38">
        <v>1</v>
      </c>
      <c r="H1348" s="70">
        <v>0</v>
      </c>
      <c r="I1348" s="38">
        <f t="shared" si="190"/>
        <v>0</v>
      </c>
      <c r="J1348" s="38">
        <v>0</v>
      </c>
      <c r="K1348" s="38">
        <f t="shared" si="191"/>
        <v>0</v>
      </c>
      <c r="L1348" s="71" t="s">
        <v>207</v>
      </c>
      <c r="Z1348" s="38">
        <f t="shared" si="192"/>
        <v>0</v>
      </c>
      <c r="AB1348" s="38">
        <f t="shared" si="193"/>
        <v>0</v>
      </c>
      <c r="AC1348" s="38">
        <f t="shared" si="194"/>
        <v>0</v>
      </c>
      <c r="AD1348" s="38">
        <f t="shared" si="195"/>
        <v>0</v>
      </c>
      <c r="AE1348" s="38">
        <f t="shared" si="196"/>
        <v>0</v>
      </c>
      <c r="AF1348" s="38">
        <f t="shared" si="197"/>
        <v>0</v>
      </c>
      <c r="AG1348" s="38">
        <f t="shared" si="198"/>
        <v>0</v>
      </c>
      <c r="AH1348" s="38">
        <f t="shared" si="199"/>
        <v>0</v>
      </c>
      <c r="AI1348" s="50" t="s">
        <v>93</v>
      </c>
      <c r="AJ1348" s="38">
        <f t="shared" si="200"/>
        <v>0</v>
      </c>
      <c r="AK1348" s="38">
        <f t="shared" si="201"/>
        <v>0</v>
      </c>
      <c r="AL1348" s="38">
        <f t="shared" si="202"/>
        <v>0</v>
      </c>
      <c r="AN1348" s="38">
        <v>21</v>
      </c>
      <c r="AO1348" s="38">
        <f>H1348*0</f>
        <v>0</v>
      </c>
      <c r="AP1348" s="38">
        <f>H1348*(1-0)</f>
        <v>0</v>
      </c>
      <c r="AQ1348" s="72" t="s">
        <v>132</v>
      </c>
      <c r="AV1348" s="38">
        <f t="shared" si="203"/>
        <v>0</v>
      </c>
      <c r="AW1348" s="38">
        <f t="shared" si="204"/>
        <v>0</v>
      </c>
      <c r="AX1348" s="38">
        <f t="shared" si="205"/>
        <v>0</v>
      </c>
      <c r="AY1348" s="72" t="s">
        <v>2561</v>
      </c>
      <c r="AZ1348" s="72" t="s">
        <v>2562</v>
      </c>
      <c r="BA1348" s="50" t="s">
        <v>2563</v>
      </c>
      <c r="BC1348" s="38">
        <f t="shared" si="206"/>
        <v>0</v>
      </c>
      <c r="BD1348" s="38">
        <f t="shared" si="207"/>
        <v>0</v>
      </c>
      <c r="BE1348" s="38">
        <v>0</v>
      </c>
      <c r="BF1348" s="38">
        <f t="shared" si="208"/>
        <v>0</v>
      </c>
      <c r="BH1348" s="38">
        <f t="shared" si="209"/>
        <v>0</v>
      </c>
      <c r="BI1348" s="38">
        <f t="shared" si="210"/>
        <v>0</v>
      </c>
      <c r="BJ1348" s="38">
        <f t="shared" si="211"/>
        <v>0</v>
      </c>
      <c r="BK1348" s="38"/>
      <c r="BL1348" s="38"/>
      <c r="BW1348" s="38">
        <v>21</v>
      </c>
    </row>
    <row r="1349" spans="1:75" ht="27" customHeight="1">
      <c r="A1349" s="1" t="s">
        <v>2603</v>
      </c>
      <c r="B1349" s="2" t="s">
        <v>93</v>
      </c>
      <c r="C1349" s="2" t="s">
        <v>2604</v>
      </c>
      <c r="D1349" s="108" t="s">
        <v>2605</v>
      </c>
      <c r="E1349" s="103"/>
      <c r="F1349" s="2" t="s">
        <v>199</v>
      </c>
      <c r="G1349" s="38">
        <v>5</v>
      </c>
      <c r="H1349" s="70">
        <v>0</v>
      </c>
      <c r="I1349" s="38">
        <f t="shared" si="190"/>
        <v>0</v>
      </c>
      <c r="J1349" s="38">
        <v>0</v>
      </c>
      <c r="K1349" s="38">
        <f t="shared" si="191"/>
        <v>0</v>
      </c>
      <c r="L1349" s="71" t="s">
        <v>207</v>
      </c>
      <c r="Z1349" s="38">
        <f t="shared" si="192"/>
        <v>0</v>
      </c>
      <c r="AB1349" s="38">
        <f t="shared" si="193"/>
        <v>0</v>
      </c>
      <c r="AC1349" s="38">
        <f t="shared" si="194"/>
        <v>0</v>
      </c>
      <c r="AD1349" s="38">
        <f t="shared" si="195"/>
        <v>0</v>
      </c>
      <c r="AE1349" s="38">
        <f t="shared" si="196"/>
        <v>0</v>
      </c>
      <c r="AF1349" s="38">
        <f t="shared" si="197"/>
        <v>0</v>
      </c>
      <c r="AG1349" s="38">
        <f t="shared" si="198"/>
        <v>0</v>
      </c>
      <c r="AH1349" s="38">
        <f t="shared" si="199"/>
        <v>0</v>
      </c>
      <c r="AI1349" s="50" t="s">
        <v>93</v>
      </c>
      <c r="AJ1349" s="38">
        <f t="shared" si="200"/>
        <v>0</v>
      </c>
      <c r="AK1349" s="38">
        <f t="shared" si="201"/>
        <v>0</v>
      </c>
      <c r="AL1349" s="38">
        <f t="shared" si="202"/>
        <v>0</v>
      </c>
      <c r="AN1349" s="38">
        <v>21</v>
      </c>
      <c r="AO1349" s="38">
        <f>H1349*0</f>
        <v>0</v>
      </c>
      <c r="AP1349" s="38">
        <f>H1349*(1-0)</f>
        <v>0</v>
      </c>
      <c r="AQ1349" s="72" t="s">
        <v>132</v>
      </c>
      <c r="AV1349" s="38">
        <f t="shared" si="203"/>
        <v>0</v>
      </c>
      <c r="AW1349" s="38">
        <f t="shared" si="204"/>
        <v>0</v>
      </c>
      <c r="AX1349" s="38">
        <f t="shared" si="205"/>
        <v>0</v>
      </c>
      <c r="AY1349" s="72" t="s">
        <v>2561</v>
      </c>
      <c r="AZ1349" s="72" t="s">
        <v>2562</v>
      </c>
      <c r="BA1349" s="50" t="s">
        <v>2563</v>
      </c>
      <c r="BC1349" s="38">
        <f t="shared" si="206"/>
        <v>0</v>
      </c>
      <c r="BD1349" s="38">
        <f t="shared" si="207"/>
        <v>0</v>
      </c>
      <c r="BE1349" s="38">
        <v>0</v>
      </c>
      <c r="BF1349" s="38">
        <f t="shared" si="208"/>
        <v>0</v>
      </c>
      <c r="BH1349" s="38">
        <f t="shared" si="209"/>
        <v>0</v>
      </c>
      <c r="BI1349" s="38">
        <f t="shared" si="210"/>
        <v>0</v>
      </c>
      <c r="BJ1349" s="38">
        <f t="shared" si="211"/>
        <v>0</v>
      </c>
      <c r="BK1349" s="38"/>
      <c r="BL1349" s="38"/>
      <c r="BW1349" s="38">
        <v>21</v>
      </c>
    </row>
    <row r="1350" spans="1:75" ht="27" customHeight="1">
      <c r="A1350" s="1" t="s">
        <v>2606</v>
      </c>
      <c r="B1350" s="2" t="s">
        <v>93</v>
      </c>
      <c r="C1350" s="2" t="s">
        <v>2607</v>
      </c>
      <c r="D1350" s="108" t="s">
        <v>2608</v>
      </c>
      <c r="E1350" s="103"/>
      <c r="F1350" s="2" t="s">
        <v>199</v>
      </c>
      <c r="G1350" s="38">
        <v>2</v>
      </c>
      <c r="H1350" s="70">
        <v>0</v>
      </c>
      <c r="I1350" s="38">
        <f t="shared" si="190"/>
        <v>0</v>
      </c>
      <c r="J1350" s="38">
        <v>0</v>
      </c>
      <c r="K1350" s="38">
        <f t="shared" si="191"/>
        <v>0</v>
      </c>
      <c r="L1350" s="71" t="s">
        <v>207</v>
      </c>
      <c r="Z1350" s="38">
        <f t="shared" si="192"/>
        <v>0</v>
      </c>
      <c r="AB1350" s="38">
        <f t="shared" si="193"/>
        <v>0</v>
      </c>
      <c r="AC1350" s="38">
        <f t="shared" si="194"/>
        <v>0</v>
      </c>
      <c r="AD1350" s="38">
        <f t="shared" si="195"/>
        <v>0</v>
      </c>
      <c r="AE1350" s="38">
        <f t="shared" si="196"/>
        <v>0</v>
      </c>
      <c r="AF1350" s="38">
        <f t="shared" si="197"/>
        <v>0</v>
      </c>
      <c r="AG1350" s="38">
        <f t="shared" si="198"/>
        <v>0</v>
      </c>
      <c r="AH1350" s="38">
        <f t="shared" si="199"/>
        <v>0</v>
      </c>
      <c r="AI1350" s="50" t="s">
        <v>93</v>
      </c>
      <c r="AJ1350" s="38">
        <f t="shared" si="200"/>
        <v>0</v>
      </c>
      <c r="AK1350" s="38">
        <f t="shared" si="201"/>
        <v>0</v>
      </c>
      <c r="AL1350" s="38">
        <f t="shared" si="202"/>
        <v>0</v>
      </c>
      <c r="AN1350" s="38">
        <v>21</v>
      </c>
      <c r="AO1350" s="38">
        <f>H1350*0</f>
        <v>0</v>
      </c>
      <c r="AP1350" s="38">
        <f>H1350*(1-0)</f>
        <v>0</v>
      </c>
      <c r="AQ1350" s="72" t="s">
        <v>132</v>
      </c>
      <c r="AV1350" s="38">
        <f t="shared" si="203"/>
        <v>0</v>
      </c>
      <c r="AW1350" s="38">
        <f t="shared" si="204"/>
        <v>0</v>
      </c>
      <c r="AX1350" s="38">
        <f t="shared" si="205"/>
        <v>0</v>
      </c>
      <c r="AY1350" s="72" t="s">
        <v>2561</v>
      </c>
      <c r="AZ1350" s="72" t="s">
        <v>2562</v>
      </c>
      <c r="BA1350" s="50" t="s">
        <v>2563</v>
      </c>
      <c r="BC1350" s="38">
        <f t="shared" si="206"/>
        <v>0</v>
      </c>
      <c r="BD1350" s="38">
        <f t="shared" si="207"/>
        <v>0</v>
      </c>
      <c r="BE1350" s="38">
        <v>0</v>
      </c>
      <c r="BF1350" s="38">
        <f t="shared" si="208"/>
        <v>0</v>
      </c>
      <c r="BH1350" s="38">
        <f t="shared" si="209"/>
        <v>0</v>
      </c>
      <c r="BI1350" s="38">
        <f t="shared" si="210"/>
        <v>0</v>
      </c>
      <c r="BJ1350" s="38">
        <f t="shared" si="211"/>
        <v>0</v>
      </c>
      <c r="BK1350" s="38"/>
      <c r="BL1350" s="38"/>
      <c r="BW1350" s="38">
        <v>21</v>
      </c>
    </row>
    <row r="1351" spans="1:75" ht="27" customHeight="1">
      <c r="A1351" s="1" t="s">
        <v>2609</v>
      </c>
      <c r="B1351" s="2" t="s">
        <v>93</v>
      </c>
      <c r="C1351" s="2" t="s">
        <v>2604</v>
      </c>
      <c r="D1351" s="108" t="s">
        <v>2605</v>
      </c>
      <c r="E1351" s="103"/>
      <c r="F1351" s="2" t="s">
        <v>199</v>
      </c>
      <c r="G1351" s="38">
        <v>4</v>
      </c>
      <c r="H1351" s="70">
        <v>0</v>
      </c>
      <c r="I1351" s="38">
        <f t="shared" si="190"/>
        <v>0</v>
      </c>
      <c r="J1351" s="38">
        <v>0</v>
      </c>
      <c r="K1351" s="38">
        <f t="shared" si="191"/>
        <v>0</v>
      </c>
      <c r="L1351" s="71" t="s">
        <v>207</v>
      </c>
      <c r="Z1351" s="38">
        <f t="shared" si="192"/>
        <v>0</v>
      </c>
      <c r="AB1351" s="38">
        <f t="shared" si="193"/>
        <v>0</v>
      </c>
      <c r="AC1351" s="38">
        <f t="shared" si="194"/>
        <v>0</v>
      </c>
      <c r="AD1351" s="38">
        <f t="shared" si="195"/>
        <v>0</v>
      </c>
      <c r="AE1351" s="38">
        <f t="shared" si="196"/>
        <v>0</v>
      </c>
      <c r="AF1351" s="38">
        <f t="shared" si="197"/>
        <v>0</v>
      </c>
      <c r="AG1351" s="38">
        <f t="shared" si="198"/>
        <v>0</v>
      </c>
      <c r="AH1351" s="38">
        <f t="shared" si="199"/>
        <v>0</v>
      </c>
      <c r="AI1351" s="50" t="s">
        <v>93</v>
      </c>
      <c r="AJ1351" s="38">
        <f t="shared" si="200"/>
        <v>0</v>
      </c>
      <c r="AK1351" s="38">
        <f t="shared" si="201"/>
        <v>0</v>
      </c>
      <c r="AL1351" s="38">
        <f t="shared" si="202"/>
        <v>0</v>
      </c>
      <c r="AN1351" s="38">
        <v>21</v>
      </c>
      <c r="AO1351" s="38">
        <f>H1351*0</f>
        <v>0</v>
      </c>
      <c r="AP1351" s="38">
        <f>H1351*(1-0)</f>
        <v>0</v>
      </c>
      <c r="AQ1351" s="72" t="s">
        <v>132</v>
      </c>
      <c r="AV1351" s="38">
        <f t="shared" si="203"/>
        <v>0</v>
      </c>
      <c r="AW1351" s="38">
        <f t="shared" si="204"/>
        <v>0</v>
      </c>
      <c r="AX1351" s="38">
        <f t="shared" si="205"/>
        <v>0</v>
      </c>
      <c r="AY1351" s="72" t="s">
        <v>2561</v>
      </c>
      <c r="AZ1351" s="72" t="s">
        <v>2562</v>
      </c>
      <c r="BA1351" s="50" t="s">
        <v>2563</v>
      </c>
      <c r="BC1351" s="38">
        <f t="shared" si="206"/>
        <v>0</v>
      </c>
      <c r="BD1351" s="38">
        <f t="shared" si="207"/>
        <v>0</v>
      </c>
      <c r="BE1351" s="38">
        <v>0</v>
      </c>
      <c r="BF1351" s="38">
        <f t="shared" si="208"/>
        <v>0</v>
      </c>
      <c r="BH1351" s="38">
        <f t="shared" si="209"/>
        <v>0</v>
      </c>
      <c r="BI1351" s="38">
        <f t="shared" si="210"/>
        <v>0</v>
      </c>
      <c r="BJ1351" s="38">
        <f t="shared" si="211"/>
        <v>0</v>
      </c>
      <c r="BK1351" s="38"/>
      <c r="BL1351" s="38"/>
      <c r="BW1351" s="38">
        <v>21</v>
      </c>
    </row>
    <row r="1352" spans="1:75" ht="27" customHeight="1">
      <c r="A1352" s="1" t="s">
        <v>2610</v>
      </c>
      <c r="B1352" s="2" t="s">
        <v>93</v>
      </c>
      <c r="C1352" s="2" t="s">
        <v>2611</v>
      </c>
      <c r="D1352" s="108" t="s">
        <v>2573</v>
      </c>
      <c r="E1352" s="103"/>
      <c r="F1352" s="2" t="s">
        <v>199</v>
      </c>
      <c r="G1352" s="38">
        <v>5</v>
      </c>
      <c r="H1352" s="70">
        <v>0</v>
      </c>
      <c r="I1352" s="38">
        <f t="shared" si="190"/>
        <v>0</v>
      </c>
      <c r="J1352" s="38">
        <v>0</v>
      </c>
      <c r="K1352" s="38">
        <f t="shared" si="191"/>
        <v>0</v>
      </c>
      <c r="L1352" s="71" t="s">
        <v>207</v>
      </c>
      <c r="Z1352" s="38">
        <f t="shared" si="192"/>
        <v>0</v>
      </c>
      <c r="AB1352" s="38">
        <f t="shared" si="193"/>
        <v>0</v>
      </c>
      <c r="AC1352" s="38">
        <f t="shared" si="194"/>
        <v>0</v>
      </c>
      <c r="AD1352" s="38">
        <f t="shared" si="195"/>
        <v>0</v>
      </c>
      <c r="AE1352" s="38">
        <f t="shared" si="196"/>
        <v>0</v>
      </c>
      <c r="AF1352" s="38">
        <f t="shared" si="197"/>
        <v>0</v>
      </c>
      <c r="AG1352" s="38">
        <f t="shared" si="198"/>
        <v>0</v>
      </c>
      <c r="AH1352" s="38">
        <f t="shared" si="199"/>
        <v>0</v>
      </c>
      <c r="AI1352" s="50" t="s">
        <v>93</v>
      </c>
      <c r="AJ1352" s="38">
        <f t="shared" si="200"/>
        <v>0</v>
      </c>
      <c r="AK1352" s="38">
        <f t="shared" si="201"/>
        <v>0</v>
      </c>
      <c r="AL1352" s="38">
        <f t="shared" si="202"/>
        <v>0</v>
      </c>
      <c r="AN1352" s="38">
        <v>21</v>
      </c>
      <c r="AO1352" s="38">
        <f>H1352*0</f>
        <v>0</v>
      </c>
      <c r="AP1352" s="38">
        <f>H1352*(1-0)</f>
        <v>0</v>
      </c>
      <c r="AQ1352" s="72" t="s">
        <v>132</v>
      </c>
      <c r="AV1352" s="38">
        <f t="shared" si="203"/>
        <v>0</v>
      </c>
      <c r="AW1352" s="38">
        <f t="shared" si="204"/>
        <v>0</v>
      </c>
      <c r="AX1352" s="38">
        <f t="shared" si="205"/>
        <v>0</v>
      </c>
      <c r="AY1352" s="72" t="s">
        <v>2561</v>
      </c>
      <c r="AZ1352" s="72" t="s">
        <v>2562</v>
      </c>
      <c r="BA1352" s="50" t="s">
        <v>2563</v>
      </c>
      <c r="BC1352" s="38">
        <f t="shared" si="206"/>
        <v>0</v>
      </c>
      <c r="BD1352" s="38">
        <f t="shared" si="207"/>
        <v>0</v>
      </c>
      <c r="BE1352" s="38">
        <v>0</v>
      </c>
      <c r="BF1352" s="38">
        <f t="shared" si="208"/>
        <v>0</v>
      </c>
      <c r="BH1352" s="38">
        <f t="shared" si="209"/>
        <v>0</v>
      </c>
      <c r="BI1352" s="38">
        <f t="shared" si="210"/>
        <v>0</v>
      </c>
      <c r="BJ1352" s="38">
        <f t="shared" si="211"/>
        <v>0</v>
      </c>
      <c r="BK1352" s="38"/>
      <c r="BL1352" s="38"/>
      <c r="BW1352" s="38">
        <v>21</v>
      </c>
    </row>
    <row r="1353" spans="1:75" ht="13.5" customHeight="1">
      <c r="A1353" s="78" t="s">
        <v>2612</v>
      </c>
      <c r="B1353" s="79" t="s">
        <v>93</v>
      </c>
      <c r="C1353" s="79" t="s">
        <v>2613</v>
      </c>
      <c r="D1353" s="198" t="s">
        <v>2614</v>
      </c>
      <c r="E1353" s="199"/>
      <c r="F1353" s="79" t="s">
        <v>2567</v>
      </c>
      <c r="G1353" s="80">
        <v>5</v>
      </c>
      <c r="H1353" s="81">
        <v>0</v>
      </c>
      <c r="I1353" s="80">
        <f t="shared" si="190"/>
        <v>0</v>
      </c>
      <c r="J1353" s="80">
        <v>0</v>
      </c>
      <c r="K1353" s="80">
        <f t="shared" si="191"/>
        <v>0</v>
      </c>
      <c r="L1353" s="82" t="s">
        <v>207</v>
      </c>
      <c r="Z1353" s="38">
        <f t="shared" si="192"/>
        <v>0</v>
      </c>
      <c r="AB1353" s="38">
        <f t="shared" si="193"/>
        <v>0</v>
      </c>
      <c r="AC1353" s="38">
        <f t="shared" si="194"/>
        <v>0</v>
      </c>
      <c r="AD1353" s="38">
        <f t="shared" si="195"/>
        <v>0</v>
      </c>
      <c r="AE1353" s="38">
        <f t="shared" si="196"/>
        <v>0</v>
      </c>
      <c r="AF1353" s="38">
        <f t="shared" si="197"/>
        <v>0</v>
      </c>
      <c r="AG1353" s="38">
        <f t="shared" si="198"/>
        <v>0</v>
      </c>
      <c r="AH1353" s="38">
        <f t="shared" si="199"/>
        <v>0</v>
      </c>
      <c r="AI1353" s="50" t="s">
        <v>93</v>
      </c>
      <c r="AJ1353" s="80">
        <f t="shared" si="200"/>
        <v>0</v>
      </c>
      <c r="AK1353" s="80">
        <f t="shared" si="201"/>
        <v>0</v>
      </c>
      <c r="AL1353" s="80">
        <f t="shared" si="202"/>
        <v>0</v>
      </c>
      <c r="AN1353" s="38">
        <v>21</v>
      </c>
      <c r="AO1353" s="38">
        <f>H1353*1</f>
        <v>0</v>
      </c>
      <c r="AP1353" s="38">
        <f>H1353*(1-1)</f>
        <v>0</v>
      </c>
      <c r="AQ1353" s="83" t="s">
        <v>132</v>
      </c>
      <c r="AV1353" s="38">
        <f t="shared" si="203"/>
        <v>0</v>
      </c>
      <c r="AW1353" s="38">
        <f t="shared" si="204"/>
        <v>0</v>
      </c>
      <c r="AX1353" s="38">
        <f t="shared" si="205"/>
        <v>0</v>
      </c>
      <c r="AY1353" s="72" t="s">
        <v>2561</v>
      </c>
      <c r="AZ1353" s="72" t="s">
        <v>2562</v>
      </c>
      <c r="BA1353" s="50" t="s">
        <v>2563</v>
      </c>
      <c r="BC1353" s="38">
        <f t="shared" si="206"/>
        <v>0</v>
      </c>
      <c r="BD1353" s="38">
        <f t="shared" si="207"/>
        <v>0</v>
      </c>
      <c r="BE1353" s="38">
        <v>0</v>
      </c>
      <c r="BF1353" s="38">
        <f t="shared" si="208"/>
        <v>0</v>
      </c>
      <c r="BH1353" s="80">
        <f t="shared" si="209"/>
        <v>0</v>
      </c>
      <c r="BI1353" s="80">
        <f t="shared" si="210"/>
        <v>0</v>
      </c>
      <c r="BJ1353" s="80">
        <f t="shared" si="211"/>
        <v>0</v>
      </c>
      <c r="BK1353" s="80"/>
      <c r="BL1353" s="38"/>
      <c r="BW1353" s="38">
        <v>21</v>
      </c>
    </row>
    <row r="1354" spans="1:75" ht="13.5" customHeight="1">
      <c r="A1354" s="78" t="s">
        <v>2615</v>
      </c>
      <c r="B1354" s="79" t="s">
        <v>93</v>
      </c>
      <c r="C1354" s="79" t="s">
        <v>2616</v>
      </c>
      <c r="D1354" s="198" t="s">
        <v>2617</v>
      </c>
      <c r="E1354" s="199"/>
      <c r="F1354" s="79" t="s">
        <v>2567</v>
      </c>
      <c r="G1354" s="80">
        <v>5</v>
      </c>
      <c r="H1354" s="81">
        <v>0</v>
      </c>
      <c r="I1354" s="80">
        <f t="shared" si="190"/>
        <v>0</v>
      </c>
      <c r="J1354" s="80">
        <v>0</v>
      </c>
      <c r="K1354" s="80">
        <f t="shared" si="191"/>
        <v>0</v>
      </c>
      <c r="L1354" s="82" t="s">
        <v>207</v>
      </c>
      <c r="Z1354" s="38">
        <f t="shared" si="192"/>
        <v>0</v>
      </c>
      <c r="AB1354" s="38">
        <f t="shared" si="193"/>
        <v>0</v>
      </c>
      <c r="AC1354" s="38">
        <f t="shared" si="194"/>
        <v>0</v>
      </c>
      <c r="AD1354" s="38">
        <f t="shared" si="195"/>
        <v>0</v>
      </c>
      <c r="AE1354" s="38">
        <f t="shared" si="196"/>
        <v>0</v>
      </c>
      <c r="AF1354" s="38">
        <f t="shared" si="197"/>
        <v>0</v>
      </c>
      <c r="AG1354" s="38">
        <f t="shared" si="198"/>
        <v>0</v>
      </c>
      <c r="AH1354" s="38">
        <f t="shared" si="199"/>
        <v>0</v>
      </c>
      <c r="AI1354" s="50" t="s">
        <v>93</v>
      </c>
      <c r="AJ1354" s="80">
        <f t="shared" si="200"/>
        <v>0</v>
      </c>
      <c r="AK1354" s="80">
        <f t="shared" si="201"/>
        <v>0</v>
      </c>
      <c r="AL1354" s="80">
        <f t="shared" si="202"/>
        <v>0</v>
      </c>
      <c r="AN1354" s="38">
        <v>21</v>
      </c>
      <c r="AO1354" s="38">
        <f>H1354*1</f>
        <v>0</v>
      </c>
      <c r="AP1354" s="38">
        <f>H1354*(1-1)</f>
        <v>0</v>
      </c>
      <c r="AQ1354" s="83" t="s">
        <v>132</v>
      </c>
      <c r="AV1354" s="38">
        <f t="shared" si="203"/>
        <v>0</v>
      </c>
      <c r="AW1354" s="38">
        <f t="shared" si="204"/>
        <v>0</v>
      </c>
      <c r="AX1354" s="38">
        <f t="shared" si="205"/>
        <v>0</v>
      </c>
      <c r="AY1354" s="72" t="s">
        <v>2561</v>
      </c>
      <c r="AZ1354" s="72" t="s">
        <v>2562</v>
      </c>
      <c r="BA1354" s="50" t="s">
        <v>2563</v>
      </c>
      <c r="BC1354" s="38">
        <f t="shared" si="206"/>
        <v>0</v>
      </c>
      <c r="BD1354" s="38">
        <f t="shared" si="207"/>
        <v>0</v>
      </c>
      <c r="BE1354" s="38">
        <v>0</v>
      </c>
      <c r="BF1354" s="38">
        <f t="shared" si="208"/>
        <v>0</v>
      </c>
      <c r="BH1354" s="80">
        <f t="shared" si="209"/>
        <v>0</v>
      </c>
      <c r="BI1354" s="80">
        <f t="shared" si="210"/>
        <v>0</v>
      </c>
      <c r="BJ1354" s="80">
        <f t="shared" si="211"/>
        <v>0</v>
      </c>
      <c r="BK1354" s="80"/>
      <c r="BL1354" s="38"/>
      <c r="BW1354" s="38">
        <v>21</v>
      </c>
    </row>
    <row r="1355" spans="1:75" ht="27" customHeight="1">
      <c r="A1355" s="1" t="s">
        <v>2618</v>
      </c>
      <c r="B1355" s="2" t="s">
        <v>93</v>
      </c>
      <c r="C1355" s="2" t="s">
        <v>2581</v>
      </c>
      <c r="D1355" s="108" t="s">
        <v>2573</v>
      </c>
      <c r="E1355" s="103"/>
      <c r="F1355" s="2" t="s">
        <v>199</v>
      </c>
      <c r="G1355" s="38">
        <v>2</v>
      </c>
      <c r="H1355" s="70">
        <v>0</v>
      </c>
      <c r="I1355" s="38">
        <f t="shared" si="190"/>
        <v>0</v>
      </c>
      <c r="J1355" s="38">
        <v>0</v>
      </c>
      <c r="K1355" s="38">
        <f t="shared" si="191"/>
        <v>0</v>
      </c>
      <c r="L1355" s="71" t="s">
        <v>207</v>
      </c>
      <c r="Z1355" s="38">
        <f t="shared" si="192"/>
        <v>0</v>
      </c>
      <c r="AB1355" s="38">
        <f t="shared" si="193"/>
        <v>0</v>
      </c>
      <c r="AC1355" s="38">
        <f t="shared" si="194"/>
        <v>0</v>
      </c>
      <c r="AD1355" s="38">
        <f t="shared" si="195"/>
        <v>0</v>
      </c>
      <c r="AE1355" s="38">
        <f t="shared" si="196"/>
        <v>0</v>
      </c>
      <c r="AF1355" s="38">
        <f t="shared" si="197"/>
        <v>0</v>
      </c>
      <c r="AG1355" s="38">
        <f t="shared" si="198"/>
        <v>0</v>
      </c>
      <c r="AH1355" s="38">
        <f t="shared" si="199"/>
        <v>0</v>
      </c>
      <c r="AI1355" s="50" t="s">
        <v>93</v>
      </c>
      <c r="AJ1355" s="38">
        <f t="shared" si="200"/>
        <v>0</v>
      </c>
      <c r="AK1355" s="38">
        <f t="shared" si="201"/>
        <v>0</v>
      </c>
      <c r="AL1355" s="38">
        <f t="shared" si="202"/>
        <v>0</v>
      </c>
      <c r="AN1355" s="38">
        <v>21</v>
      </c>
      <c r="AO1355" s="38">
        <f>H1355*0</f>
        <v>0</v>
      </c>
      <c r="AP1355" s="38">
        <f>H1355*(1-0)</f>
        <v>0</v>
      </c>
      <c r="AQ1355" s="72" t="s">
        <v>132</v>
      </c>
      <c r="AV1355" s="38">
        <f t="shared" si="203"/>
        <v>0</v>
      </c>
      <c r="AW1355" s="38">
        <f t="shared" si="204"/>
        <v>0</v>
      </c>
      <c r="AX1355" s="38">
        <f t="shared" si="205"/>
        <v>0</v>
      </c>
      <c r="AY1355" s="72" t="s">
        <v>2561</v>
      </c>
      <c r="AZ1355" s="72" t="s">
        <v>2562</v>
      </c>
      <c r="BA1355" s="50" t="s">
        <v>2563</v>
      </c>
      <c r="BC1355" s="38">
        <f t="shared" si="206"/>
        <v>0</v>
      </c>
      <c r="BD1355" s="38">
        <f t="shared" si="207"/>
        <v>0</v>
      </c>
      <c r="BE1355" s="38">
        <v>0</v>
      </c>
      <c r="BF1355" s="38">
        <f t="shared" si="208"/>
        <v>0</v>
      </c>
      <c r="BH1355" s="38">
        <f t="shared" si="209"/>
        <v>0</v>
      </c>
      <c r="BI1355" s="38">
        <f t="shared" si="210"/>
        <v>0</v>
      </c>
      <c r="BJ1355" s="38">
        <f t="shared" si="211"/>
        <v>0</v>
      </c>
      <c r="BK1355" s="38"/>
      <c r="BL1355" s="38"/>
      <c r="BW1355" s="38">
        <v>21</v>
      </c>
    </row>
    <row r="1356" spans="1:75" ht="13.5" customHeight="1">
      <c r="A1356" s="78" t="s">
        <v>2619</v>
      </c>
      <c r="B1356" s="79" t="s">
        <v>93</v>
      </c>
      <c r="C1356" s="79" t="s">
        <v>2620</v>
      </c>
      <c r="D1356" s="198" t="s">
        <v>2621</v>
      </c>
      <c r="E1356" s="199"/>
      <c r="F1356" s="79" t="s">
        <v>2567</v>
      </c>
      <c r="G1356" s="80">
        <v>2</v>
      </c>
      <c r="H1356" s="81">
        <v>0</v>
      </c>
      <c r="I1356" s="80">
        <f t="shared" si="190"/>
        <v>0</v>
      </c>
      <c r="J1356" s="80">
        <v>0</v>
      </c>
      <c r="K1356" s="80">
        <f t="shared" si="191"/>
        <v>0</v>
      </c>
      <c r="L1356" s="82" t="s">
        <v>207</v>
      </c>
      <c r="Z1356" s="38">
        <f t="shared" si="192"/>
        <v>0</v>
      </c>
      <c r="AB1356" s="38">
        <f t="shared" si="193"/>
        <v>0</v>
      </c>
      <c r="AC1356" s="38">
        <f t="shared" si="194"/>
        <v>0</v>
      </c>
      <c r="AD1356" s="38">
        <f t="shared" si="195"/>
        <v>0</v>
      </c>
      <c r="AE1356" s="38">
        <f t="shared" si="196"/>
        <v>0</v>
      </c>
      <c r="AF1356" s="38">
        <f t="shared" si="197"/>
        <v>0</v>
      </c>
      <c r="AG1356" s="38">
        <f t="shared" si="198"/>
        <v>0</v>
      </c>
      <c r="AH1356" s="38">
        <f t="shared" si="199"/>
        <v>0</v>
      </c>
      <c r="AI1356" s="50" t="s">
        <v>93</v>
      </c>
      <c r="AJ1356" s="80">
        <f t="shared" si="200"/>
        <v>0</v>
      </c>
      <c r="AK1356" s="80">
        <f t="shared" si="201"/>
        <v>0</v>
      </c>
      <c r="AL1356" s="80">
        <f t="shared" si="202"/>
        <v>0</v>
      </c>
      <c r="AN1356" s="38">
        <v>21</v>
      </c>
      <c r="AO1356" s="38">
        <f>H1356*1</f>
        <v>0</v>
      </c>
      <c r="AP1356" s="38">
        <f>H1356*(1-1)</f>
        <v>0</v>
      </c>
      <c r="AQ1356" s="83" t="s">
        <v>132</v>
      </c>
      <c r="AV1356" s="38">
        <f t="shared" si="203"/>
        <v>0</v>
      </c>
      <c r="AW1356" s="38">
        <f t="shared" si="204"/>
        <v>0</v>
      </c>
      <c r="AX1356" s="38">
        <f t="shared" si="205"/>
        <v>0</v>
      </c>
      <c r="AY1356" s="72" t="s">
        <v>2561</v>
      </c>
      <c r="AZ1356" s="72" t="s">
        <v>2562</v>
      </c>
      <c r="BA1356" s="50" t="s">
        <v>2563</v>
      </c>
      <c r="BC1356" s="38">
        <f t="shared" si="206"/>
        <v>0</v>
      </c>
      <c r="BD1356" s="38">
        <f t="shared" si="207"/>
        <v>0</v>
      </c>
      <c r="BE1356" s="38">
        <v>0</v>
      </c>
      <c r="BF1356" s="38">
        <f t="shared" si="208"/>
        <v>0</v>
      </c>
      <c r="BH1356" s="80">
        <f t="shared" si="209"/>
        <v>0</v>
      </c>
      <c r="BI1356" s="80">
        <f t="shared" si="210"/>
        <v>0</v>
      </c>
      <c r="BJ1356" s="80">
        <f t="shared" si="211"/>
        <v>0</v>
      </c>
      <c r="BK1356" s="80"/>
      <c r="BL1356" s="38"/>
      <c r="BW1356" s="38">
        <v>21</v>
      </c>
    </row>
    <row r="1357" spans="1:75" ht="13.5" customHeight="1">
      <c r="A1357" s="78" t="s">
        <v>2622</v>
      </c>
      <c r="B1357" s="79" t="s">
        <v>93</v>
      </c>
      <c r="C1357" s="79" t="s">
        <v>2623</v>
      </c>
      <c r="D1357" s="198" t="s">
        <v>2624</v>
      </c>
      <c r="E1357" s="199"/>
      <c r="F1357" s="79" t="s">
        <v>2567</v>
      </c>
      <c r="G1357" s="80">
        <v>2</v>
      </c>
      <c r="H1357" s="81">
        <v>0</v>
      </c>
      <c r="I1357" s="80">
        <f t="shared" si="190"/>
        <v>0</v>
      </c>
      <c r="J1357" s="80">
        <v>0</v>
      </c>
      <c r="K1357" s="80">
        <f t="shared" si="191"/>
        <v>0</v>
      </c>
      <c r="L1357" s="82" t="s">
        <v>207</v>
      </c>
      <c r="Z1357" s="38">
        <f t="shared" si="192"/>
        <v>0</v>
      </c>
      <c r="AB1357" s="38">
        <f t="shared" si="193"/>
        <v>0</v>
      </c>
      <c r="AC1357" s="38">
        <f t="shared" si="194"/>
        <v>0</v>
      </c>
      <c r="AD1357" s="38">
        <f t="shared" si="195"/>
        <v>0</v>
      </c>
      <c r="AE1357" s="38">
        <f t="shared" si="196"/>
        <v>0</v>
      </c>
      <c r="AF1357" s="38">
        <f t="shared" si="197"/>
        <v>0</v>
      </c>
      <c r="AG1357" s="38">
        <f t="shared" si="198"/>
        <v>0</v>
      </c>
      <c r="AH1357" s="38">
        <f t="shared" si="199"/>
        <v>0</v>
      </c>
      <c r="AI1357" s="50" t="s">
        <v>93</v>
      </c>
      <c r="AJ1357" s="80">
        <f t="shared" si="200"/>
        <v>0</v>
      </c>
      <c r="AK1357" s="80">
        <f t="shared" si="201"/>
        <v>0</v>
      </c>
      <c r="AL1357" s="80">
        <f t="shared" si="202"/>
        <v>0</v>
      </c>
      <c r="AN1357" s="38">
        <v>21</v>
      </c>
      <c r="AO1357" s="38">
        <f>H1357*1</f>
        <v>0</v>
      </c>
      <c r="AP1357" s="38">
        <f>H1357*(1-1)</f>
        <v>0</v>
      </c>
      <c r="AQ1357" s="83" t="s">
        <v>132</v>
      </c>
      <c r="AV1357" s="38">
        <f t="shared" si="203"/>
        <v>0</v>
      </c>
      <c r="AW1357" s="38">
        <f t="shared" si="204"/>
        <v>0</v>
      </c>
      <c r="AX1357" s="38">
        <f t="shared" si="205"/>
        <v>0</v>
      </c>
      <c r="AY1357" s="72" t="s">
        <v>2561</v>
      </c>
      <c r="AZ1357" s="72" t="s">
        <v>2562</v>
      </c>
      <c r="BA1357" s="50" t="s">
        <v>2563</v>
      </c>
      <c r="BC1357" s="38">
        <f t="shared" si="206"/>
        <v>0</v>
      </c>
      <c r="BD1357" s="38">
        <f t="shared" si="207"/>
        <v>0</v>
      </c>
      <c r="BE1357" s="38">
        <v>0</v>
      </c>
      <c r="BF1357" s="38">
        <f t="shared" si="208"/>
        <v>0</v>
      </c>
      <c r="BH1357" s="80">
        <f t="shared" si="209"/>
        <v>0</v>
      </c>
      <c r="BI1357" s="80">
        <f t="shared" si="210"/>
        <v>0</v>
      </c>
      <c r="BJ1357" s="80">
        <f t="shared" si="211"/>
        <v>0</v>
      </c>
      <c r="BK1357" s="80"/>
      <c r="BL1357" s="38"/>
      <c r="BW1357" s="38">
        <v>21</v>
      </c>
    </row>
    <row r="1358" spans="1:75" ht="27" customHeight="1">
      <c r="A1358" s="1" t="s">
        <v>2625</v>
      </c>
      <c r="B1358" s="2" t="s">
        <v>93</v>
      </c>
      <c r="C1358" s="2" t="s">
        <v>2626</v>
      </c>
      <c r="D1358" s="108" t="s">
        <v>2627</v>
      </c>
      <c r="E1358" s="103"/>
      <c r="F1358" s="2" t="s">
        <v>199</v>
      </c>
      <c r="G1358" s="38">
        <v>3</v>
      </c>
      <c r="H1358" s="70">
        <v>0</v>
      </c>
      <c r="I1358" s="38">
        <f t="shared" si="190"/>
        <v>0</v>
      </c>
      <c r="J1358" s="38">
        <v>0</v>
      </c>
      <c r="K1358" s="38">
        <f t="shared" si="191"/>
        <v>0</v>
      </c>
      <c r="L1358" s="71" t="s">
        <v>207</v>
      </c>
      <c r="Z1358" s="38">
        <f t="shared" si="192"/>
        <v>0</v>
      </c>
      <c r="AB1358" s="38">
        <f t="shared" si="193"/>
        <v>0</v>
      </c>
      <c r="AC1358" s="38">
        <f t="shared" si="194"/>
        <v>0</v>
      </c>
      <c r="AD1358" s="38">
        <f t="shared" si="195"/>
        <v>0</v>
      </c>
      <c r="AE1358" s="38">
        <f t="shared" si="196"/>
        <v>0</v>
      </c>
      <c r="AF1358" s="38">
        <f t="shared" si="197"/>
        <v>0</v>
      </c>
      <c r="AG1358" s="38">
        <f t="shared" si="198"/>
        <v>0</v>
      </c>
      <c r="AH1358" s="38">
        <f t="shared" si="199"/>
        <v>0</v>
      </c>
      <c r="AI1358" s="50" t="s">
        <v>93</v>
      </c>
      <c r="AJ1358" s="38">
        <f t="shared" si="200"/>
        <v>0</v>
      </c>
      <c r="AK1358" s="38">
        <f t="shared" si="201"/>
        <v>0</v>
      </c>
      <c r="AL1358" s="38">
        <f t="shared" si="202"/>
        <v>0</v>
      </c>
      <c r="AN1358" s="38">
        <v>21</v>
      </c>
      <c r="AO1358" s="38">
        <f>H1358*0</f>
        <v>0</v>
      </c>
      <c r="AP1358" s="38">
        <f>H1358*(1-0)</f>
        <v>0</v>
      </c>
      <c r="AQ1358" s="72" t="s">
        <v>132</v>
      </c>
      <c r="AV1358" s="38">
        <f t="shared" si="203"/>
        <v>0</v>
      </c>
      <c r="AW1358" s="38">
        <f t="shared" si="204"/>
        <v>0</v>
      </c>
      <c r="AX1358" s="38">
        <f t="shared" si="205"/>
        <v>0</v>
      </c>
      <c r="AY1358" s="72" t="s">
        <v>2561</v>
      </c>
      <c r="AZ1358" s="72" t="s">
        <v>2562</v>
      </c>
      <c r="BA1358" s="50" t="s">
        <v>2563</v>
      </c>
      <c r="BC1358" s="38">
        <f t="shared" si="206"/>
        <v>0</v>
      </c>
      <c r="BD1358" s="38">
        <f t="shared" si="207"/>
        <v>0</v>
      </c>
      <c r="BE1358" s="38">
        <v>0</v>
      </c>
      <c r="BF1358" s="38">
        <f t="shared" si="208"/>
        <v>0</v>
      </c>
      <c r="BH1358" s="38">
        <f t="shared" si="209"/>
        <v>0</v>
      </c>
      <c r="BI1358" s="38">
        <f t="shared" si="210"/>
        <v>0</v>
      </c>
      <c r="BJ1358" s="38">
        <f t="shared" si="211"/>
        <v>0</v>
      </c>
      <c r="BK1358" s="38"/>
      <c r="BL1358" s="38"/>
      <c r="BW1358" s="38">
        <v>21</v>
      </c>
    </row>
    <row r="1359" spans="1:75" ht="13.5" customHeight="1">
      <c r="A1359" s="78" t="s">
        <v>2628</v>
      </c>
      <c r="B1359" s="79" t="s">
        <v>93</v>
      </c>
      <c r="C1359" s="79" t="s">
        <v>2629</v>
      </c>
      <c r="D1359" s="198" t="s">
        <v>2630</v>
      </c>
      <c r="E1359" s="199"/>
      <c r="F1359" s="79" t="s">
        <v>2567</v>
      </c>
      <c r="G1359" s="80">
        <v>3</v>
      </c>
      <c r="H1359" s="81">
        <v>0</v>
      </c>
      <c r="I1359" s="80">
        <f t="shared" si="190"/>
        <v>0</v>
      </c>
      <c r="J1359" s="80">
        <v>0</v>
      </c>
      <c r="K1359" s="80">
        <f t="shared" si="191"/>
        <v>0</v>
      </c>
      <c r="L1359" s="82" t="s">
        <v>207</v>
      </c>
      <c r="Z1359" s="38">
        <f t="shared" si="192"/>
        <v>0</v>
      </c>
      <c r="AB1359" s="38">
        <f t="shared" si="193"/>
        <v>0</v>
      </c>
      <c r="AC1359" s="38">
        <f t="shared" si="194"/>
        <v>0</v>
      </c>
      <c r="AD1359" s="38">
        <f t="shared" si="195"/>
        <v>0</v>
      </c>
      <c r="AE1359" s="38">
        <f t="shared" si="196"/>
        <v>0</v>
      </c>
      <c r="AF1359" s="38">
        <f t="shared" si="197"/>
        <v>0</v>
      </c>
      <c r="AG1359" s="38">
        <f t="shared" si="198"/>
        <v>0</v>
      </c>
      <c r="AH1359" s="38">
        <f t="shared" si="199"/>
        <v>0</v>
      </c>
      <c r="AI1359" s="50" t="s">
        <v>93</v>
      </c>
      <c r="AJ1359" s="80">
        <f t="shared" si="200"/>
        <v>0</v>
      </c>
      <c r="AK1359" s="80">
        <f t="shared" si="201"/>
        <v>0</v>
      </c>
      <c r="AL1359" s="80">
        <f t="shared" si="202"/>
        <v>0</v>
      </c>
      <c r="AN1359" s="38">
        <v>21</v>
      </c>
      <c r="AO1359" s="38">
        <f>H1359*1</f>
        <v>0</v>
      </c>
      <c r="AP1359" s="38">
        <f>H1359*(1-1)</f>
        <v>0</v>
      </c>
      <c r="AQ1359" s="83" t="s">
        <v>132</v>
      </c>
      <c r="AV1359" s="38">
        <f t="shared" si="203"/>
        <v>0</v>
      </c>
      <c r="AW1359" s="38">
        <f t="shared" si="204"/>
        <v>0</v>
      </c>
      <c r="AX1359" s="38">
        <f t="shared" si="205"/>
        <v>0</v>
      </c>
      <c r="AY1359" s="72" t="s">
        <v>2561</v>
      </c>
      <c r="AZ1359" s="72" t="s">
        <v>2562</v>
      </c>
      <c r="BA1359" s="50" t="s">
        <v>2563</v>
      </c>
      <c r="BC1359" s="38">
        <f t="shared" si="206"/>
        <v>0</v>
      </c>
      <c r="BD1359" s="38">
        <f t="shared" si="207"/>
        <v>0</v>
      </c>
      <c r="BE1359" s="38">
        <v>0</v>
      </c>
      <c r="BF1359" s="38">
        <f t="shared" si="208"/>
        <v>0</v>
      </c>
      <c r="BH1359" s="80">
        <f t="shared" si="209"/>
        <v>0</v>
      </c>
      <c r="BI1359" s="80">
        <f t="shared" si="210"/>
        <v>0</v>
      </c>
      <c r="BJ1359" s="80">
        <f t="shared" si="211"/>
        <v>0</v>
      </c>
      <c r="BK1359" s="80"/>
      <c r="BL1359" s="38"/>
      <c r="BW1359" s="38">
        <v>21</v>
      </c>
    </row>
    <row r="1360" spans="1:75" ht="13.5" customHeight="1">
      <c r="A1360" s="78" t="s">
        <v>2631</v>
      </c>
      <c r="B1360" s="79" t="s">
        <v>93</v>
      </c>
      <c r="C1360" s="79" t="s">
        <v>2632</v>
      </c>
      <c r="D1360" s="198" t="s">
        <v>2633</v>
      </c>
      <c r="E1360" s="199"/>
      <c r="F1360" s="79" t="s">
        <v>2567</v>
      </c>
      <c r="G1360" s="80">
        <v>3</v>
      </c>
      <c r="H1360" s="81">
        <v>0</v>
      </c>
      <c r="I1360" s="80">
        <f t="shared" si="190"/>
        <v>0</v>
      </c>
      <c r="J1360" s="80">
        <v>0</v>
      </c>
      <c r="K1360" s="80">
        <f t="shared" si="191"/>
        <v>0</v>
      </c>
      <c r="L1360" s="82" t="s">
        <v>207</v>
      </c>
      <c r="Z1360" s="38">
        <f t="shared" si="192"/>
        <v>0</v>
      </c>
      <c r="AB1360" s="38">
        <f t="shared" si="193"/>
        <v>0</v>
      </c>
      <c r="AC1360" s="38">
        <f t="shared" si="194"/>
        <v>0</v>
      </c>
      <c r="AD1360" s="38">
        <f t="shared" si="195"/>
        <v>0</v>
      </c>
      <c r="AE1360" s="38">
        <f t="shared" si="196"/>
        <v>0</v>
      </c>
      <c r="AF1360" s="38">
        <f t="shared" si="197"/>
        <v>0</v>
      </c>
      <c r="AG1360" s="38">
        <f t="shared" si="198"/>
        <v>0</v>
      </c>
      <c r="AH1360" s="38">
        <f t="shared" si="199"/>
        <v>0</v>
      </c>
      <c r="AI1360" s="50" t="s">
        <v>93</v>
      </c>
      <c r="AJ1360" s="80">
        <f t="shared" si="200"/>
        <v>0</v>
      </c>
      <c r="AK1360" s="80">
        <f t="shared" si="201"/>
        <v>0</v>
      </c>
      <c r="AL1360" s="80">
        <f t="shared" si="202"/>
        <v>0</v>
      </c>
      <c r="AN1360" s="38">
        <v>21</v>
      </c>
      <c r="AO1360" s="38">
        <f>H1360*1</f>
        <v>0</v>
      </c>
      <c r="AP1360" s="38">
        <f>H1360*(1-1)</f>
        <v>0</v>
      </c>
      <c r="AQ1360" s="83" t="s">
        <v>132</v>
      </c>
      <c r="AV1360" s="38">
        <f t="shared" si="203"/>
        <v>0</v>
      </c>
      <c r="AW1360" s="38">
        <f t="shared" si="204"/>
        <v>0</v>
      </c>
      <c r="AX1360" s="38">
        <f t="shared" si="205"/>
        <v>0</v>
      </c>
      <c r="AY1360" s="72" t="s">
        <v>2561</v>
      </c>
      <c r="AZ1360" s="72" t="s">
        <v>2562</v>
      </c>
      <c r="BA1360" s="50" t="s">
        <v>2563</v>
      </c>
      <c r="BC1360" s="38">
        <f t="shared" si="206"/>
        <v>0</v>
      </c>
      <c r="BD1360" s="38">
        <f t="shared" si="207"/>
        <v>0</v>
      </c>
      <c r="BE1360" s="38">
        <v>0</v>
      </c>
      <c r="BF1360" s="38">
        <f t="shared" si="208"/>
        <v>0</v>
      </c>
      <c r="BH1360" s="80">
        <f t="shared" si="209"/>
        <v>0</v>
      </c>
      <c r="BI1360" s="80">
        <f t="shared" si="210"/>
        <v>0</v>
      </c>
      <c r="BJ1360" s="80">
        <f t="shared" si="211"/>
        <v>0</v>
      </c>
      <c r="BK1360" s="80"/>
      <c r="BL1360" s="38"/>
      <c r="BW1360" s="38">
        <v>21</v>
      </c>
    </row>
    <row r="1361" spans="1:75" ht="13.5" customHeight="1">
      <c r="A1361" s="78" t="s">
        <v>2634</v>
      </c>
      <c r="B1361" s="79" t="s">
        <v>93</v>
      </c>
      <c r="C1361" s="79" t="s">
        <v>2635</v>
      </c>
      <c r="D1361" s="198" t="s">
        <v>2636</v>
      </c>
      <c r="E1361" s="199"/>
      <c r="F1361" s="79" t="s">
        <v>2567</v>
      </c>
      <c r="G1361" s="80">
        <v>3</v>
      </c>
      <c r="H1361" s="81">
        <v>0</v>
      </c>
      <c r="I1361" s="80">
        <f t="shared" si="190"/>
        <v>0</v>
      </c>
      <c r="J1361" s="80">
        <v>0</v>
      </c>
      <c r="K1361" s="80">
        <f t="shared" si="191"/>
        <v>0</v>
      </c>
      <c r="L1361" s="82" t="s">
        <v>207</v>
      </c>
      <c r="Z1361" s="38">
        <f t="shared" si="192"/>
        <v>0</v>
      </c>
      <c r="AB1361" s="38">
        <f t="shared" si="193"/>
        <v>0</v>
      </c>
      <c r="AC1361" s="38">
        <f t="shared" si="194"/>
        <v>0</v>
      </c>
      <c r="AD1361" s="38">
        <f t="shared" si="195"/>
        <v>0</v>
      </c>
      <c r="AE1361" s="38">
        <f t="shared" si="196"/>
        <v>0</v>
      </c>
      <c r="AF1361" s="38">
        <f t="shared" si="197"/>
        <v>0</v>
      </c>
      <c r="AG1361" s="38">
        <f t="shared" si="198"/>
        <v>0</v>
      </c>
      <c r="AH1361" s="38">
        <f t="shared" si="199"/>
        <v>0</v>
      </c>
      <c r="AI1361" s="50" t="s">
        <v>93</v>
      </c>
      <c r="AJ1361" s="80">
        <f t="shared" si="200"/>
        <v>0</v>
      </c>
      <c r="AK1361" s="80">
        <f t="shared" si="201"/>
        <v>0</v>
      </c>
      <c r="AL1361" s="80">
        <f t="shared" si="202"/>
        <v>0</v>
      </c>
      <c r="AN1361" s="38">
        <v>21</v>
      </c>
      <c r="AO1361" s="38">
        <f>H1361*1</f>
        <v>0</v>
      </c>
      <c r="AP1361" s="38">
        <f>H1361*(1-1)</f>
        <v>0</v>
      </c>
      <c r="AQ1361" s="83" t="s">
        <v>132</v>
      </c>
      <c r="AV1361" s="38">
        <f t="shared" si="203"/>
        <v>0</v>
      </c>
      <c r="AW1361" s="38">
        <f t="shared" si="204"/>
        <v>0</v>
      </c>
      <c r="AX1361" s="38">
        <f t="shared" si="205"/>
        <v>0</v>
      </c>
      <c r="AY1361" s="72" t="s">
        <v>2561</v>
      </c>
      <c r="AZ1361" s="72" t="s">
        <v>2562</v>
      </c>
      <c r="BA1361" s="50" t="s">
        <v>2563</v>
      </c>
      <c r="BC1361" s="38">
        <f t="shared" si="206"/>
        <v>0</v>
      </c>
      <c r="BD1361" s="38">
        <f t="shared" si="207"/>
        <v>0</v>
      </c>
      <c r="BE1361" s="38">
        <v>0</v>
      </c>
      <c r="BF1361" s="38">
        <f t="shared" si="208"/>
        <v>0</v>
      </c>
      <c r="BH1361" s="80">
        <f t="shared" si="209"/>
        <v>0</v>
      </c>
      <c r="BI1361" s="80">
        <f t="shared" si="210"/>
        <v>0</v>
      </c>
      <c r="BJ1361" s="80">
        <f t="shared" si="211"/>
        <v>0</v>
      </c>
      <c r="BK1361" s="80"/>
      <c r="BL1361" s="38"/>
      <c r="BW1361" s="38">
        <v>21</v>
      </c>
    </row>
    <row r="1362" spans="1:75" ht="27" customHeight="1">
      <c r="A1362" s="1" t="s">
        <v>2637</v>
      </c>
      <c r="B1362" s="2" t="s">
        <v>93</v>
      </c>
      <c r="C1362" s="2" t="s">
        <v>2638</v>
      </c>
      <c r="D1362" s="108" t="s">
        <v>2627</v>
      </c>
      <c r="E1362" s="103"/>
      <c r="F1362" s="2" t="s">
        <v>199</v>
      </c>
      <c r="G1362" s="38">
        <v>3</v>
      </c>
      <c r="H1362" s="70">
        <v>0</v>
      </c>
      <c r="I1362" s="38">
        <f t="shared" si="190"/>
        <v>0</v>
      </c>
      <c r="J1362" s="38">
        <v>0</v>
      </c>
      <c r="K1362" s="38">
        <f t="shared" si="191"/>
        <v>0</v>
      </c>
      <c r="L1362" s="71" t="s">
        <v>207</v>
      </c>
      <c r="Z1362" s="38">
        <f t="shared" si="192"/>
        <v>0</v>
      </c>
      <c r="AB1362" s="38">
        <f t="shared" si="193"/>
        <v>0</v>
      </c>
      <c r="AC1362" s="38">
        <f t="shared" si="194"/>
        <v>0</v>
      </c>
      <c r="AD1362" s="38">
        <f t="shared" si="195"/>
        <v>0</v>
      </c>
      <c r="AE1362" s="38">
        <f t="shared" si="196"/>
        <v>0</v>
      </c>
      <c r="AF1362" s="38">
        <f t="shared" si="197"/>
        <v>0</v>
      </c>
      <c r="AG1362" s="38">
        <f t="shared" si="198"/>
        <v>0</v>
      </c>
      <c r="AH1362" s="38">
        <f t="shared" si="199"/>
        <v>0</v>
      </c>
      <c r="AI1362" s="50" t="s">
        <v>93</v>
      </c>
      <c r="AJ1362" s="38">
        <f t="shared" si="200"/>
        <v>0</v>
      </c>
      <c r="AK1362" s="38">
        <f t="shared" si="201"/>
        <v>0</v>
      </c>
      <c r="AL1362" s="38">
        <f t="shared" si="202"/>
        <v>0</v>
      </c>
      <c r="AN1362" s="38">
        <v>21</v>
      </c>
      <c r="AO1362" s="38">
        <f>H1362*0</f>
        <v>0</v>
      </c>
      <c r="AP1362" s="38">
        <f>H1362*(1-0)</f>
        <v>0</v>
      </c>
      <c r="AQ1362" s="72" t="s">
        <v>132</v>
      </c>
      <c r="AV1362" s="38">
        <f t="shared" si="203"/>
        <v>0</v>
      </c>
      <c r="AW1362" s="38">
        <f t="shared" si="204"/>
        <v>0</v>
      </c>
      <c r="AX1362" s="38">
        <f t="shared" si="205"/>
        <v>0</v>
      </c>
      <c r="AY1362" s="72" t="s">
        <v>2561</v>
      </c>
      <c r="AZ1362" s="72" t="s">
        <v>2562</v>
      </c>
      <c r="BA1362" s="50" t="s">
        <v>2563</v>
      </c>
      <c r="BC1362" s="38">
        <f t="shared" si="206"/>
        <v>0</v>
      </c>
      <c r="BD1362" s="38">
        <f t="shared" si="207"/>
        <v>0</v>
      </c>
      <c r="BE1362" s="38">
        <v>0</v>
      </c>
      <c r="BF1362" s="38">
        <f t="shared" si="208"/>
        <v>0</v>
      </c>
      <c r="BH1362" s="38">
        <f t="shared" si="209"/>
        <v>0</v>
      </c>
      <c r="BI1362" s="38">
        <f t="shared" si="210"/>
        <v>0</v>
      </c>
      <c r="BJ1362" s="38">
        <f t="shared" si="211"/>
        <v>0</v>
      </c>
      <c r="BK1362" s="38"/>
      <c r="BL1362" s="38"/>
      <c r="BW1362" s="38">
        <v>21</v>
      </c>
    </row>
    <row r="1363" spans="1:75" ht="13.5" customHeight="1">
      <c r="A1363" s="78" t="s">
        <v>2639</v>
      </c>
      <c r="B1363" s="79" t="s">
        <v>93</v>
      </c>
      <c r="C1363" s="79" t="s">
        <v>2640</v>
      </c>
      <c r="D1363" s="198" t="s">
        <v>2641</v>
      </c>
      <c r="E1363" s="199"/>
      <c r="F1363" s="79" t="s">
        <v>2567</v>
      </c>
      <c r="G1363" s="80">
        <v>3</v>
      </c>
      <c r="H1363" s="81">
        <v>0</v>
      </c>
      <c r="I1363" s="80">
        <f t="shared" si="190"/>
        <v>0</v>
      </c>
      <c r="J1363" s="80">
        <v>0</v>
      </c>
      <c r="K1363" s="80">
        <f t="shared" si="191"/>
        <v>0</v>
      </c>
      <c r="L1363" s="82" t="s">
        <v>207</v>
      </c>
      <c r="Z1363" s="38">
        <f t="shared" si="192"/>
        <v>0</v>
      </c>
      <c r="AB1363" s="38">
        <f t="shared" si="193"/>
        <v>0</v>
      </c>
      <c r="AC1363" s="38">
        <f t="shared" si="194"/>
        <v>0</v>
      </c>
      <c r="AD1363" s="38">
        <f t="shared" si="195"/>
        <v>0</v>
      </c>
      <c r="AE1363" s="38">
        <f t="shared" si="196"/>
        <v>0</v>
      </c>
      <c r="AF1363" s="38">
        <f t="shared" si="197"/>
        <v>0</v>
      </c>
      <c r="AG1363" s="38">
        <f t="shared" si="198"/>
        <v>0</v>
      </c>
      <c r="AH1363" s="38">
        <f t="shared" si="199"/>
        <v>0</v>
      </c>
      <c r="AI1363" s="50" t="s">
        <v>93</v>
      </c>
      <c r="AJ1363" s="80">
        <f t="shared" si="200"/>
        <v>0</v>
      </c>
      <c r="AK1363" s="80">
        <f t="shared" si="201"/>
        <v>0</v>
      </c>
      <c r="AL1363" s="80">
        <f t="shared" si="202"/>
        <v>0</v>
      </c>
      <c r="AN1363" s="38">
        <v>21</v>
      </c>
      <c r="AO1363" s="38">
        <f>H1363*1</f>
        <v>0</v>
      </c>
      <c r="AP1363" s="38">
        <f>H1363*(1-1)</f>
        <v>0</v>
      </c>
      <c r="AQ1363" s="83" t="s">
        <v>132</v>
      </c>
      <c r="AV1363" s="38">
        <f t="shared" si="203"/>
        <v>0</v>
      </c>
      <c r="AW1363" s="38">
        <f t="shared" si="204"/>
        <v>0</v>
      </c>
      <c r="AX1363" s="38">
        <f t="shared" si="205"/>
        <v>0</v>
      </c>
      <c r="AY1363" s="72" t="s">
        <v>2561</v>
      </c>
      <c r="AZ1363" s="72" t="s">
        <v>2562</v>
      </c>
      <c r="BA1363" s="50" t="s">
        <v>2563</v>
      </c>
      <c r="BC1363" s="38">
        <f t="shared" si="206"/>
        <v>0</v>
      </c>
      <c r="BD1363" s="38">
        <f t="shared" si="207"/>
        <v>0</v>
      </c>
      <c r="BE1363" s="38">
        <v>0</v>
      </c>
      <c r="BF1363" s="38">
        <f t="shared" si="208"/>
        <v>0</v>
      </c>
      <c r="BH1363" s="80">
        <f t="shared" si="209"/>
        <v>0</v>
      </c>
      <c r="BI1363" s="80">
        <f t="shared" si="210"/>
        <v>0</v>
      </c>
      <c r="BJ1363" s="80">
        <f t="shared" si="211"/>
        <v>0</v>
      </c>
      <c r="BK1363" s="80"/>
      <c r="BL1363" s="38"/>
      <c r="BW1363" s="38">
        <v>21</v>
      </c>
    </row>
    <row r="1364" spans="1:75" ht="13.5" customHeight="1">
      <c r="A1364" s="78" t="s">
        <v>2642</v>
      </c>
      <c r="B1364" s="79" t="s">
        <v>93</v>
      </c>
      <c r="C1364" s="79" t="s">
        <v>2623</v>
      </c>
      <c r="D1364" s="198" t="s">
        <v>2624</v>
      </c>
      <c r="E1364" s="199"/>
      <c r="F1364" s="79" t="s">
        <v>2567</v>
      </c>
      <c r="G1364" s="80">
        <v>3</v>
      </c>
      <c r="H1364" s="81">
        <v>0</v>
      </c>
      <c r="I1364" s="80">
        <f t="shared" si="190"/>
        <v>0</v>
      </c>
      <c r="J1364" s="80">
        <v>0</v>
      </c>
      <c r="K1364" s="80">
        <f t="shared" si="191"/>
        <v>0</v>
      </c>
      <c r="L1364" s="82" t="s">
        <v>207</v>
      </c>
      <c r="Z1364" s="38">
        <f t="shared" si="192"/>
        <v>0</v>
      </c>
      <c r="AB1364" s="38">
        <f t="shared" si="193"/>
        <v>0</v>
      </c>
      <c r="AC1364" s="38">
        <f t="shared" si="194"/>
        <v>0</v>
      </c>
      <c r="AD1364" s="38">
        <f t="shared" si="195"/>
        <v>0</v>
      </c>
      <c r="AE1364" s="38">
        <f t="shared" si="196"/>
        <v>0</v>
      </c>
      <c r="AF1364" s="38">
        <f t="shared" si="197"/>
        <v>0</v>
      </c>
      <c r="AG1364" s="38">
        <f t="shared" si="198"/>
        <v>0</v>
      </c>
      <c r="AH1364" s="38">
        <f t="shared" si="199"/>
        <v>0</v>
      </c>
      <c r="AI1364" s="50" t="s">
        <v>93</v>
      </c>
      <c r="AJ1364" s="80">
        <f t="shared" si="200"/>
        <v>0</v>
      </c>
      <c r="AK1364" s="80">
        <f t="shared" si="201"/>
        <v>0</v>
      </c>
      <c r="AL1364" s="80">
        <f t="shared" si="202"/>
        <v>0</v>
      </c>
      <c r="AN1364" s="38">
        <v>21</v>
      </c>
      <c r="AO1364" s="38">
        <f>H1364*1</f>
        <v>0</v>
      </c>
      <c r="AP1364" s="38">
        <f>H1364*(1-1)</f>
        <v>0</v>
      </c>
      <c r="AQ1364" s="83" t="s">
        <v>132</v>
      </c>
      <c r="AV1364" s="38">
        <f t="shared" si="203"/>
        <v>0</v>
      </c>
      <c r="AW1364" s="38">
        <f t="shared" si="204"/>
        <v>0</v>
      </c>
      <c r="AX1364" s="38">
        <f t="shared" si="205"/>
        <v>0</v>
      </c>
      <c r="AY1364" s="72" t="s">
        <v>2561</v>
      </c>
      <c r="AZ1364" s="72" t="s">
        <v>2562</v>
      </c>
      <c r="BA1364" s="50" t="s">
        <v>2563</v>
      </c>
      <c r="BC1364" s="38">
        <f t="shared" si="206"/>
        <v>0</v>
      </c>
      <c r="BD1364" s="38">
        <f t="shared" si="207"/>
        <v>0</v>
      </c>
      <c r="BE1364" s="38">
        <v>0</v>
      </c>
      <c r="BF1364" s="38">
        <f t="shared" si="208"/>
        <v>0</v>
      </c>
      <c r="BH1364" s="80">
        <f t="shared" si="209"/>
        <v>0</v>
      </c>
      <c r="BI1364" s="80">
        <f t="shared" si="210"/>
        <v>0</v>
      </c>
      <c r="BJ1364" s="80">
        <f t="shared" si="211"/>
        <v>0</v>
      </c>
      <c r="BK1364" s="80"/>
      <c r="BL1364" s="38"/>
      <c r="BW1364" s="38">
        <v>21</v>
      </c>
    </row>
    <row r="1365" spans="1:75" ht="27" customHeight="1">
      <c r="A1365" s="1" t="s">
        <v>2643</v>
      </c>
      <c r="B1365" s="2" t="s">
        <v>93</v>
      </c>
      <c r="C1365" s="2" t="s">
        <v>2644</v>
      </c>
      <c r="D1365" s="108" t="s">
        <v>2645</v>
      </c>
      <c r="E1365" s="103"/>
      <c r="F1365" s="2" t="s">
        <v>199</v>
      </c>
      <c r="G1365" s="38">
        <v>7</v>
      </c>
      <c r="H1365" s="70">
        <v>0</v>
      </c>
      <c r="I1365" s="38">
        <f t="shared" si="190"/>
        <v>0</v>
      </c>
      <c r="J1365" s="38">
        <v>0</v>
      </c>
      <c r="K1365" s="38">
        <f t="shared" si="191"/>
        <v>0</v>
      </c>
      <c r="L1365" s="71" t="s">
        <v>207</v>
      </c>
      <c r="Z1365" s="38">
        <f t="shared" si="192"/>
        <v>0</v>
      </c>
      <c r="AB1365" s="38">
        <f t="shared" si="193"/>
        <v>0</v>
      </c>
      <c r="AC1365" s="38">
        <f t="shared" si="194"/>
        <v>0</v>
      </c>
      <c r="AD1365" s="38">
        <f t="shared" si="195"/>
        <v>0</v>
      </c>
      <c r="AE1365" s="38">
        <f t="shared" si="196"/>
        <v>0</v>
      </c>
      <c r="AF1365" s="38">
        <f t="shared" si="197"/>
        <v>0</v>
      </c>
      <c r="AG1365" s="38">
        <f t="shared" si="198"/>
        <v>0</v>
      </c>
      <c r="AH1365" s="38">
        <f t="shared" si="199"/>
        <v>0</v>
      </c>
      <c r="AI1365" s="50" t="s">
        <v>93</v>
      </c>
      <c r="AJ1365" s="38">
        <f t="shared" si="200"/>
        <v>0</v>
      </c>
      <c r="AK1365" s="38">
        <f t="shared" si="201"/>
        <v>0</v>
      </c>
      <c r="AL1365" s="38">
        <f t="shared" si="202"/>
        <v>0</v>
      </c>
      <c r="AN1365" s="38">
        <v>21</v>
      </c>
      <c r="AO1365" s="38">
        <f>H1365*0</f>
        <v>0</v>
      </c>
      <c r="AP1365" s="38">
        <f>H1365*(1-0)</f>
        <v>0</v>
      </c>
      <c r="AQ1365" s="72" t="s">
        <v>132</v>
      </c>
      <c r="AV1365" s="38">
        <f t="shared" si="203"/>
        <v>0</v>
      </c>
      <c r="AW1365" s="38">
        <f t="shared" si="204"/>
        <v>0</v>
      </c>
      <c r="AX1365" s="38">
        <f t="shared" si="205"/>
        <v>0</v>
      </c>
      <c r="AY1365" s="72" t="s">
        <v>2561</v>
      </c>
      <c r="AZ1365" s="72" t="s">
        <v>2562</v>
      </c>
      <c r="BA1365" s="50" t="s">
        <v>2563</v>
      </c>
      <c r="BC1365" s="38">
        <f t="shared" si="206"/>
        <v>0</v>
      </c>
      <c r="BD1365" s="38">
        <f t="shared" si="207"/>
        <v>0</v>
      </c>
      <c r="BE1365" s="38">
        <v>0</v>
      </c>
      <c r="BF1365" s="38">
        <f t="shared" si="208"/>
        <v>0</v>
      </c>
      <c r="BH1365" s="38">
        <f t="shared" si="209"/>
        <v>0</v>
      </c>
      <c r="BI1365" s="38">
        <f t="shared" si="210"/>
        <v>0</v>
      </c>
      <c r="BJ1365" s="38">
        <f t="shared" si="211"/>
        <v>0</v>
      </c>
      <c r="BK1365" s="38"/>
      <c r="BL1365" s="38"/>
      <c r="BW1365" s="38">
        <v>21</v>
      </c>
    </row>
    <row r="1366" spans="1:75" ht="13.5" customHeight="1">
      <c r="A1366" s="78" t="s">
        <v>2646</v>
      </c>
      <c r="B1366" s="79" t="s">
        <v>93</v>
      </c>
      <c r="C1366" s="79" t="s">
        <v>2647</v>
      </c>
      <c r="D1366" s="198" t="s">
        <v>2648</v>
      </c>
      <c r="E1366" s="199"/>
      <c r="F1366" s="79" t="s">
        <v>2567</v>
      </c>
      <c r="G1366" s="80">
        <v>7</v>
      </c>
      <c r="H1366" s="81">
        <v>0</v>
      </c>
      <c r="I1366" s="80">
        <f t="shared" si="190"/>
        <v>0</v>
      </c>
      <c r="J1366" s="80">
        <v>0</v>
      </c>
      <c r="K1366" s="80">
        <f t="shared" si="191"/>
        <v>0</v>
      </c>
      <c r="L1366" s="82" t="s">
        <v>207</v>
      </c>
      <c r="Z1366" s="38">
        <f t="shared" si="192"/>
        <v>0</v>
      </c>
      <c r="AB1366" s="38">
        <f t="shared" si="193"/>
        <v>0</v>
      </c>
      <c r="AC1366" s="38">
        <f t="shared" si="194"/>
        <v>0</v>
      </c>
      <c r="AD1366" s="38">
        <f t="shared" si="195"/>
        <v>0</v>
      </c>
      <c r="AE1366" s="38">
        <f t="shared" si="196"/>
        <v>0</v>
      </c>
      <c r="AF1366" s="38">
        <f t="shared" si="197"/>
        <v>0</v>
      </c>
      <c r="AG1366" s="38">
        <f t="shared" si="198"/>
        <v>0</v>
      </c>
      <c r="AH1366" s="38">
        <f t="shared" si="199"/>
        <v>0</v>
      </c>
      <c r="AI1366" s="50" t="s">
        <v>93</v>
      </c>
      <c r="AJ1366" s="80">
        <f t="shared" si="200"/>
        <v>0</v>
      </c>
      <c r="AK1366" s="80">
        <f t="shared" si="201"/>
        <v>0</v>
      </c>
      <c r="AL1366" s="80">
        <f t="shared" si="202"/>
        <v>0</v>
      </c>
      <c r="AN1366" s="38">
        <v>21</v>
      </c>
      <c r="AO1366" s="38">
        <f>H1366*1</f>
        <v>0</v>
      </c>
      <c r="AP1366" s="38">
        <f>H1366*(1-1)</f>
        <v>0</v>
      </c>
      <c r="AQ1366" s="83" t="s">
        <v>132</v>
      </c>
      <c r="AV1366" s="38">
        <f t="shared" si="203"/>
        <v>0</v>
      </c>
      <c r="AW1366" s="38">
        <f t="shared" si="204"/>
        <v>0</v>
      </c>
      <c r="AX1366" s="38">
        <f t="shared" si="205"/>
        <v>0</v>
      </c>
      <c r="AY1366" s="72" t="s">
        <v>2561</v>
      </c>
      <c r="AZ1366" s="72" t="s">
        <v>2562</v>
      </c>
      <c r="BA1366" s="50" t="s">
        <v>2563</v>
      </c>
      <c r="BC1366" s="38">
        <f t="shared" si="206"/>
        <v>0</v>
      </c>
      <c r="BD1366" s="38">
        <f t="shared" si="207"/>
        <v>0</v>
      </c>
      <c r="BE1366" s="38">
        <v>0</v>
      </c>
      <c r="BF1366" s="38">
        <f t="shared" si="208"/>
        <v>0</v>
      </c>
      <c r="BH1366" s="80">
        <f t="shared" si="209"/>
        <v>0</v>
      </c>
      <c r="BI1366" s="80">
        <f t="shared" si="210"/>
        <v>0</v>
      </c>
      <c r="BJ1366" s="80">
        <f t="shared" si="211"/>
        <v>0</v>
      </c>
      <c r="BK1366" s="80"/>
      <c r="BL1366" s="38"/>
      <c r="BW1366" s="38">
        <v>21</v>
      </c>
    </row>
    <row r="1367" spans="1:75" ht="13.5" customHeight="1">
      <c r="A1367" s="78" t="s">
        <v>2649</v>
      </c>
      <c r="B1367" s="79" t="s">
        <v>93</v>
      </c>
      <c r="C1367" s="79" t="s">
        <v>2623</v>
      </c>
      <c r="D1367" s="198" t="s">
        <v>2624</v>
      </c>
      <c r="E1367" s="199"/>
      <c r="F1367" s="79" t="s">
        <v>2567</v>
      </c>
      <c r="G1367" s="80">
        <v>7</v>
      </c>
      <c r="H1367" s="81">
        <v>0</v>
      </c>
      <c r="I1367" s="80">
        <f aca="true" t="shared" si="212" ref="I1367:I1398">G1367*H1367</f>
        <v>0</v>
      </c>
      <c r="J1367" s="80">
        <v>0</v>
      </c>
      <c r="K1367" s="80">
        <f aca="true" t="shared" si="213" ref="K1367:K1398">G1367*J1367</f>
        <v>0</v>
      </c>
      <c r="L1367" s="82" t="s">
        <v>207</v>
      </c>
      <c r="Z1367" s="38">
        <f aca="true" t="shared" si="214" ref="Z1367:Z1398">IF(AQ1367="5",BJ1367,0)</f>
        <v>0</v>
      </c>
      <c r="AB1367" s="38">
        <f aca="true" t="shared" si="215" ref="AB1367:AB1398">IF(AQ1367="1",BH1367,0)</f>
        <v>0</v>
      </c>
      <c r="AC1367" s="38">
        <f aca="true" t="shared" si="216" ref="AC1367:AC1398">IF(AQ1367="1",BI1367,0)</f>
        <v>0</v>
      </c>
      <c r="AD1367" s="38">
        <f aca="true" t="shared" si="217" ref="AD1367:AD1398">IF(AQ1367="7",BH1367,0)</f>
        <v>0</v>
      </c>
      <c r="AE1367" s="38">
        <f aca="true" t="shared" si="218" ref="AE1367:AE1398">IF(AQ1367="7",BI1367,0)</f>
        <v>0</v>
      </c>
      <c r="AF1367" s="38">
        <f aca="true" t="shared" si="219" ref="AF1367:AF1398">IF(AQ1367="2",BH1367,0)</f>
        <v>0</v>
      </c>
      <c r="AG1367" s="38">
        <f aca="true" t="shared" si="220" ref="AG1367:AG1398">IF(AQ1367="2",BI1367,0)</f>
        <v>0</v>
      </c>
      <c r="AH1367" s="38">
        <f aca="true" t="shared" si="221" ref="AH1367:AH1398">IF(AQ1367="0",BJ1367,0)</f>
        <v>0</v>
      </c>
      <c r="AI1367" s="50" t="s">
        <v>93</v>
      </c>
      <c r="AJ1367" s="80">
        <f aca="true" t="shared" si="222" ref="AJ1367:AJ1398">IF(AN1367=0,I1367,0)</f>
        <v>0</v>
      </c>
      <c r="AK1367" s="80">
        <f aca="true" t="shared" si="223" ref="AK1367:AK1398">IF(AN1367=12,I1367,0)</f>
        <v>0</v>
      </c>
      <c r="AL1367" s="80">
        <f aca="true" t="shared" si="224" ref="AL1367:AL1398">IF(AN1367=21,I1367,0)</f>
        <v>0</v>
      </c>
      <c r="AN1367" s="38">
        <v>21</v>
      </c>
      <c r="AO1367" s="38">
        <f>H1367*1</f>
        <v>0</v>
      </c>
      <c r="AP1367" s="38">
        <f>H1367*(1-1)</f>
        <v>0</v>
      </c>
      <c r="AQ1367" s="83" t="s">
        <v>132</v>
      </c>
      <c r="AV1367" s="38">
        <f aca="true" t="shared" si="225" ref="AV1367:AV1398">AW1367+AX1367</f>
        <v>0</v>
      </c>
      <c r="AW1367" s="38">
        <f aca="true" t="shared" si="226" ref="AW1367:AW1398">G1367*AO1367</f>
        <v>0</v>
      </c>
      <c r="AX1367" s="38">
        <f aca="true" t="shared" si="227" ref="AX1367:AX1398">G1367*AP1367</f>
        <v>0</v>
      </c>
      <c r="AY1367" s="72" t="s">
        <v>2561</v>
      </c>
      <c r="AZ1367" s="72" t="s">
        <v>2562</v>
      </c>
      <c r="BA1367" s="50" t="s">
        <v>2563</v>
      </c>
      <c r="BC1367" s="38">
        <f aca="true" t="shared" si="228" ref="BC1367:BC1398">AW1367+AX1367</f>
        <v>0</v>
      </c>
      <c r="BD1367" s="38">
        <f aca="true" t="shared" si="229" ref="BD1367:BD1398">H1367/(100-BE1367)*100</f>
        <v>0</v>
      </c>
      <c r="BE1367" s="38">
        <v>0</v>
      </c>
      <c r="BF1367" s="38">
        <f aca="true" t="shared" si="230" ref="BF1367:BF1398">K1367</f>
        <v>0</v>
      </c>
      <c r="BH1367" s="80">
        <f aca="true" t="shared" si="231" ref="BH1367:BH1398">G1367*AO1367</f>
        <v>0</v>
      </c>
      <c r="BI1367" s="80">
        <f aca="true" t="shared" si="232" ref="BI1367:BI1398">G1367*AP1367</f>
        <v>0</v>
      </c>
      <c r="BJ1367" s="80">
        <f aca="true" t="shared" si="233" ref="BJ1367:BJ1398">G1367*H1367</f>
        <v>0</v>
      </c>
      <c r="BK1367" s="80"/>
      <c r="BL1367" s="38"/>
      <c r="BW1367" s="38">
        <v>21</v>
      </c>
    </row>
    <row r="1368" spans="1:75" ht="27" customHeight="1">
      <c r="A1368" s="1" t="s">
        <v>2650</v>
      </c>
      <c r="B1368" s="2" t="s">
        <v>93</v>
      </c>
      <c r="C1368" s="2" t="s">
        <v>2651</v>
      </c>
      <c r="D1368" s="108" t="s">
        <v>2602</v>
      </c>
      <c r="E1368" s="103"/>
      <c r="F1368" s="2" t="s">
        <v>199</v>
      </c>
      <c r="G1368" s="38">
        <v>66</v>
      </c>
      <c r="H1368" s="70">
        <v>0</v>
      </c>
      <c r="I1368" s="38">
        <f t="shared" si="212"/>
        <v>0</v>
      </c>
      <c r="J1368" s="38">
        <v>0</v>
      </c>
      <c r="K1368" s="38">
        <f t="shared" si="213"/>
        <v>0</v>
      </c>
      <c r="L1368" s="71" t="s">
        <v>207</v>
      </c>
      <c r="Z1368" s="38">
        <f t="shared" si="214"/>
        <v>0</v>
      </c>
      <c r="AB1368" s="38">
        <f t="shared" si="215"/>
        <v>0</v>
      </c>
      <c r="AC1368" s="38">
        <f t="shared" si="216"/>
        <v>0</v>
      </c>
      <c r="AD1368" s="38">
        <f t="shared" si="217"/>
        <v>0</v>
      </c>
      <c r="AE1368" s="38">
        <f t="shared" si="218"/>
        <v>0</v>
      </c>
      <c r="AF1368" s="38">
        <f t="shared" si="219"/>
        <v>0</v>
      </c>
      <c r="AG1368" s="38">
        <f t="shared" si="220"/>
        <v>0</v>
      </c>
      <c r="AH1368" s="38">
        <f t="shared" si="221"/>
        <v>0</v>
      </c>
      <c r="AI1368" s="50" t="s">
        <v>93</v>
      </c>
      <c r="AJ1368" s="38">
        <f t="shared" si="222"/>
        <v>0</v>
      </c>
      <c r="AK1368" s="38">
        <f t="shared" si="223"/>
        <v>0</v>
      </c>
      <c r="AL1368" s="38">
        <f t="shared" si="224"/>
        <v>0</v>
      </c>
      <c r="AN1368" s="38">
        <v>21</v>
      </c>
      <c r="AO1368" s="38">
        <f>H1368*0</f>
        <v>0</v>
      </c>
      <c r="AP1368" s="38">
        <f>H1368*(1-0)</f>
        <v>0</v>
      </c>
      <c r="AQ1368" s="72" t="s">
        <v>132</v>
      </c>
      <c r="AV1368" s="38">
        <f t="shared" si="225"/>
        <v>0</v>
      </c>
      <c r="AW1368" s="38">
        <f t="shared" si="226"/>
        <v>0</v>
      </c>
      <c r="AX1368" s="38">
        <f t="shared" si="227"/>
        <v>0</v>
      </c>
      <c r="AY1368" s="72" t="s">
        <v>2561</v>
      </c>
      <c r="AZ1368" s="72" t="s">
        <v>2562</v>
      </c>
      <c r="BA1368" s="50" t="s">
        <v>2563</v>
      </c>
      <c r="BC1368" s="38">
        <f t="shared" si="228"/>
        <v>0</v>
      </c>
      <c r="BD1368" s="38">
        <f t="shared" si="229"/>
        <v>0</v>
      </c>
      <c r="BE1368" s="38">
        <v>0</v>
      </c>
      <c r="BF1368" s="38">
        <f t="shared" si="230"/>
        <v>0</v>
      </c>
      <c r="BH1368" s="38">
        <f t="shared" si="231"/>
        <v>0</v>
      </c>
      <c r="BI1368" s="38">
        <f t="shared" si="232"/>
        <v>0</v>
      </c>
      <c r="BJ1368" s="38">
        <f t="shared" si="233"/>
        <v>0</v>
      </c>
      <c r="BK1368" s="38"/>
      <c r="BL1368" s="38"/>
      <c r="BW1368" s="38">
        <v>21</v>
      </c>
    </row>
    <row r="1369" spans="1:75" ht="13.5" customHeight="1">
      <c r="A1369" s="78" t="s">
        <v>2652</v>
      </c>
      <c r="B1369" s="79" t="s">
        <v>93</v>
      </c>
      <c r="C1369" s="79" t="s">
        <v>2653</v>
      </c>
      <c r="D1369" s="198" t="s">
        <v>2654</v>
      </c>
      <c r="E1369" s="199"/>
      <c r="F1369" s="79" t="s">
        <v>2567</v>
      </c>
      <c r="G1369" s="80">
        <v>66</v>
      </c>
      <c r="H1369" s="81">
        <v>0</v>
      </c>
      <c r="I1369" s="80">
        <f t="shared" si="212"/>
        <v>0</v>
      </c>
      <c r="J1369" s="80">
        <v>0</v>
      </c>
      <c r="K1369" s="80">
        <f t="shared" si="213"/>
        <v>0</v>
      </c>
      <c r="L1369" s="82" t="s">
        <v>207</v>
      </c>
      <c r="Z1369" s="38">
        <f t="shared" si="214"/>
        <v>0</v>
      </c>
      <c r="AB1369" s="38">
        <f t="shared" si="215"/>
        <v>0</v>
      </c>
      <c r="AC1369" s="38">
        <f t="shared" si="216"/>
        <v>0</v>
      </c>
      <c r="AD1369" s="38">
        <f t="shared" si="217"/>
        <v>0</v>
      </c>
      <c r="AE1369" s="38">
        <f t="shared" si="218"/>
        <v>0</v>
      </c>
      <c r="AF1369" s="38">
        <f t="shared" si="219"/>
        <v>0</v>
      </c>
      <c r="AG1369" s="38">
        <f t="shared" si="220"/>
        <v>0</v>
      </c>
      <c r="AH1369" s="38">
        <f t="shared" si="221"/>
        <v>0</v>
      </c>
      <c r="AI1369" s="50" t="s">
        <v>93</v>
      </c>
      <c r="AJ1369" s="80">
        <f t="shared" si="222"/>
        <v>0</v>
      </c>
      <c r="AK1369" s="80">
        <f t="shared" si="223"/>
        <v>0</v>
      </c>
      <c r="AL1369" s="80">
        <f t="shared" si="224"/>
        <v>0</v>
      </c>
      <c r="AN1369" s="38">
        <v>21</v>
      </c>
      <c r="AO1369" s="38">
        <f>H1369*1</f>
        <v>0</v>
      </c>
      <c r="AP1369" s="38">
        <f>H1369*(1-1)</f>
        <v>0</v>
      </c>
      <c r="AQ1369" s="83" t="s">
        <v>132</v>
      </c>
      <c r="AV1369" s="38">
        <f t="shared" si="225"/>
        <v>0</v>
      </c>
      <c r="AW1369" s="38">
        <f t="shared" si="226"/>
        <v>0</v>
      </c>
      <c r="AX1369" s="38">
        <f t="shared" si="227"/>
        <v>0</v>
      </c>
      <c r="AY1369" s="72" t="s">
        <v>2561</v>
      </c>
      <c r="AZ1369" s="72" t="s">
        <v>2562</v>
      </c>
      <c r="BA1369" s="50" t="s">
        <v>2563</v>
      </c>
      <c r="BC1369" s="38">
        <f t="shared" si="228"/>
        <v>0</v>
      </c>
      <c r="BD1369" s="38">
        <f t="shared" si="229"/>
        <v>0</v>
      </c>
      <c r="BE1369" s="38">
        <v>0</v>
      </c>
      <c r="BF1369" s="38">
        <f t="shared" si="230"/>
        <v>0</v>
      </c>
      <c r="BH1369" s="80">
        <f t="shared" si="231"/>
        <v>0</v>
      </c>
      <c r="BI1369" s="80">
        <f t="shared" si="232"/>
        <v>0</v>
      </c>
      <c r="BJ1369" s="80">
        <f t="shared" si="233"/>
        <v>0</v>
      </c>
      <c r="BK1369" s="80"/>
      <c r="BL1369" s="38"/>
      <c r="BW1369" s="38">
        <v>21</v>
      </c>
    </row>
    <row r="1370" spans="1:75" ht="27" customHeight="1">
      <c r="A1370" s="1" t="s">
        <v>2655</v>
      </c>
      <c r="B1370" s="2" t="s">
        <v>93</v>
      </c>
      <c r="C1370" s="2" t="s">
        <v>2656</v>
      </c>
      <c r="D1370" s="108" t="s">
        <v>2657</v>
      </c>
      <c r="E1370" s="103"/>
      <c r="F1370" s="2" t="s">
        <v>214</v>
      </c>
      <c r="G1370" s="38">
        <v>1</v>
      </c>
      <c r="H1370" s="70">
        <v>0</v>
      </c>
      <c r="I1370" s="38">
        <f t="shared" si="212"/>
        <v>0</v>
      </c>
      <c r="J1370" s="38">
        <v>0</v>
      </c>
      <c r="K1370" s="38">
        <f t="shared" si="213"/>
        <v>0</v>
      </c>
      <c r="L1370" s="71" t="s">
        <v>207</v>
      </c>
      <c r="Z1370" s="38">
        <f t="shared" si="214"/>
        <v>0</v>
      </c>
      <c r="AB1370" s="38">
        <f t="shared" si="215"/>
        <v>0</v>
      </c>
      <c r="AC1370" s="38">
        <f t="shared" si="216"/>
        <v>0</v>
      </c>
      <c r="AD1370" s="38">
        <f t="shared" si="217"/>
        <v>0</v>
      </c>
      <c r="AE1370" s="38">
        <f t="shared" si="218"/>
        <v>0</v>
      </c>
      <c r="AF1370" s="38">
        <f t="shared" si="219"/>
        <v>0</v>
      </c>
      <c r="AG1370" s="38">
        <f t="shared" si="220"/>
        <v>0</v>
      </c>
      <c r="AH1370" s="38">
        <f t="shared" si="221"/>
        <v>0</v>
      </c>
      <c r="AI1370" s="50" t="s">
        <v>93</v>
      </c>
      <c r="AJ1370" s="38">
        <f t="shared" si="222"/>
        <v>0</v>
      </c>
      <c r="AK1370" s="38">
        <f t="shared" si="223"/>
        <v>0</v>
      </c>
      <c r="AL1370" s="38">
        <f t="shared" si="224"/>
        <v>0</v>
      </c>
      <c r="AN1370" s="38">
        <v>21</v>
      </c>
      <c r="AO1370" s="38">
        <f>H1370*0</f>
        <v>0</v>
      </c>
      <c r="AP1370" s="38">
        <f>H1370*(1-0)</f>
        <v>0</v>
      </c>
      <c r="AQ1370" s="72" t="s">
        <v>132</v>
      </c>
      <c r="AV1370" s="38">
        <f t="shared" si="225"/>
        <v>0</v>
      </c>
      <c r="AW1370" s="38">
        <f t="shared" si="226"/>
        <v>0</v>
      </c>
      <c r="AX1370" s="38">
        <f t="shared" si="227"/>
        <v>0</v>
      </c>
      <c r="AY1370" s="72" t="s">
        <v>2561</v>
      </c>
      <c r="AZ1370" s="72" t="s">
        <v>2562</v>
      </c>
      <c r="BA1370" s="50" t="s">
        <v>2563</v>
      </c>
      <c r="BC1370" s="38">
        <f t="shared" si="228"/>
        <v>0</v>
      </c>
      <c r="BD1370" s="38">
        <f t="shared" si="229"/>
        <v>0</v>
      </c>
      <c r="BE1370" s="38">
        <v>0</v>
      </c>
      <c r="BF1370" s="38">
        <f t="shared" si="230"/>
        <v>0</v>
      </c>
      <c r="BH1370" s="38">
        <f t="shared" si="231"/>
        <v>0</v>
      </c>
      <c r="BI1370" s="38">
        <f t="shared" si="232"/>
        <v>0</v>
      </c>
      <c r="BJ1370" s="38">
        <f t="shared" si="233"/>
        <v>0</v>
      </c>
      <c r="BK1370" s="38"/>
      <c r="BL1370" s="38"/>
      <c r="BW1370" s="38">
        <v>21</v>
      </c>
    </row>
    <row r="1371" spans="1:75" ht="13.5" customHeight="1">
      <c r="A1371" s="78" t="s">
        <v>2658</v>
      </c>
      <c r="B1371" s="79" t="s">
        <v>93</v>
      </c>
      <c r="C1371" s="79" t="s">
        <v>2659</v>
      </c>
      <c r="D1371" s="198" t="s">
        <v>2660</v>
      </c>
      <c r="E1371" s="199"/>
      <c r="F1371" s="79" t="s">
        <v>2661</v>
      </c>
      <c r="G1371" s="80">
        <v>1</v>
      </c>
      <c r="H1371" s="81">
        <v>0</v>
      </c>
      <c r="I1371" s="80">
        <f t="shared" si="212"/>
        <v>0</v>
      </c>
      <c r="J1371" s="80">
        <v>0</v>
      </c>
      <c r="K1371" s="80">
        <f t="shared" si="213"/>
        <v>0</v>
      </c>
      <c r="L1371" s="82" t="s">
        <v>207</v>
      </c>
      <c r="Z1371" s="38">
        <f t="shared" si="214"/>
        <v>0</v>
      </c>
      <c r="AB1371" s="38">
        <f t="shared" si="215"/>
        <v>0</v>
      </c>
      <c r="AC1371" s="38">
        <f t="shared" si="216"/>
        <v>0</v>
      </c>
      <c r="AD1371" s="38">
        <f t="shared" si="217"/>
        <v>0</v>
      </c>
      <c r="AE1371" s="38">
        <f t="shared" si="218"/>
        <v>0</v>
      </c>
      <c r="AF1371" s="38">
        <f t="shared" si="219"/>
        <v>0</v>
      </c>
      <c r="AG1371" s="38">
        <f t="shared" si="220"/>
        <v>0</v>
      </c>
      <c r="AH1371" s="38">
        <f t="shared" si="221"/>
        <v>0</v>
      </c>
      <c r="AI1371" s="50" t="s">
        <v>93</v>
      </c>
      <c r="AJ1371" s="80">
        <f t="shared" si="222"/>
        <v>0</v>
      </c>
      <c r="AK1371" s="80">
        <f t="shared" si="223"/>
        <v>0</v>
      </c>
      <c r="AL1371" s="80">
        <f t="shared" si="224"/>
        <v>0</v>
      </c>
      <c r="AN1371" s="38">
        <v>21</v>
      </c>
      <c r="AO1371" s="38">
        <f>H1371*1</f>
        <v>0</v>
      </c>
      <c r="AP1371" s="38">
        <f>H1371*(1-1)</f>
        <v>0</v>
      </c>
      <c r="AQ1371" s="83" t="s">
        <v>132</v>
      </c>
      <c r="AV1371" s="38">
        <f t="shared" si="225"/>
        <v>0</v>
      </c>
      <c r="AW1371" s="38">
        <f t="shared" si="226"/>
        <v>0</v>
      </c>
      <c r="AX1371" s="38">
        <f t="shared" si="227"/>
        <v>0</v>
      </c>
      <c r="AY1371" s="72" t="s">
        <v>2561</v>
      </c>
      <c r="AZ1371" s="72" t="s">
        <v>2562</v>
      </c>
      <c r="BA1371" s="50" t="s">
        <v>2563</v>
      </c>
      <c r="BC1371" s="38">
        <f t="shared" si="228"/>
        <v>0</v>
      </c>
      <c r="BD1371" s="38">
        <f t="shared" si="229"/>
        <v>0</v>
      </c>
      <c r="BE1371" s="38">
        <v>0</v>
      </c>
      <c r="BF1371" s="38">
        <f t="shared" si="230"/>
        <v>0</v>
      </c>
      <c r="BH1371" s="80">
        <f t="shared" si="231"/>
        <v>0</v>
      </c>
      <c r="BI1371" s="80">
        <f t="shared" si="232"/>
        <v>0</v>
      </c>
      <c r="BJ1371" s="80">
        <f t="shared" si="233"/>
        <v>0</v>
      </c>
      <c r="BK1371" s="80"/>
      <c r="BL1371" s="38"/>
      <c r="BW1371" s="38">
        <v>21</v>
      </c>
    </row>
    <row r="1372" spans="1:75" ht="27" customHeight="1">
      <c r="A1372" s="1" t="s">
        <v>2662</v>
      </c>
      <c r="B1372" s="2" t="s">
        <v>93</v>
      </c>
      <c r="C1372" s="2" t="s">
        <v>2663</v>
      </c>
      <c r="D1372" s="108" t="s">
        <v>2664</v>
      </c>
      <c r="E1372" s="103"/>
      <c r="F1372" s="2" t="s">
        <v>199</v>
      </c>
      <c r="G1372" s="38">
        <v>12</v>
      </c>
      <c r="H1372" s="70">
        <v>0</v>
      </c>
      <c r="I1372" s="38">
        <f t="shared" si="212"/>
        <v>0</v>
      </c>
      <c r="J1372" s="38">
        <v>0</v>
      </c>
      <c r="K1372" s="38">
        <f t="shared" si="213"/>
        <v>0</v>
      </c>
      <c r="L1372" s="71" t="s">
        <v>207</v>
      </c>
      <c r="Z1372" s="38">
        <f t="shared" si="214"/>
        <v>0</v>
      </c>
      <c r="AB1372" s="38">
        <f t="shared" si="215"/>
        <v>0</v>
      </c>
      <c r="AC1372" s="38">
        <f t="shared" si="216"/>
        <v>0</v>
      </c>
      <c r="AD1372" s="38">
        <f t="shared" si="217"/>
        <v>0</v>
      </c>
      <c r="AE1372" s="38">
        <f t="shared" si="218"/>
        <v>0</v>
      </c>
      <c r="AF1372" s="38">
        <f t="shared" si="219"/>
        <v>0</v>
      </c>
      <c r="AG1372" s="38">
        <f t="shared" si="220"/>
        <v>0</v>
      </c>
      <c r="AH1372" s="38">
        <f t="shared" si="221"/>
        <v>0</v>
      </c>
      <c r="AI1372" s="50" t="s">
        <v>93</v>
      </c>
      <c r="AJ1372" s="38">
        <f t="shared" si="222"/>
        <v>0</v>
      </c>
      <c r="AK1372" s="38">
        <f t="shared" si="223"/>
        <v>0</v>
      </c>
      <c r="AL1372" s="38">
        <f t="shared" si="224"/>
        <v>0</v>
      </c>
      <c r="AN1372" s="38">
        <v>21</v>
      </c>
      <c r="AO1372" s="38">
        <f>H1372*0</f>
        <v>0</v>
      </c>
      <c r="AP1372" s="38">
        <f>H1372*(1-0)</f>
        <v>0</v>
      </c>
      <c r="AQ1372" s="72" t="s">
        <v>132</v>
      </c>
      <c r="AV1372" s="38">
        <f t="shared" si="225"/>
        <v>0</v>
      </c>
      <c r="AW1372" s="38">
        <f t="shared" si="226"/>
        <v>0</v>
      </c>
      <c r="AX1372" s="38">
        <f t="shared" si="227"/>
        <v>0</v>
      </c>
      <c r="AY1372" s="72" t="s">
        <v>2561</v>
      </c>
      <c r="AZ1372" s="72" t="s">
        <v>2562</v>
      </c>
      <c r="BA1372" s="50" t="s">
        <v>2563</v>
      </c>
      <c r="BC1372" s="38">
        <f t="shared" si="228"/>
        <v>0</v>
      </c>
      <c r="BD1372" s="38">
        <f t="shared" si="229"/>
        <v>0</v>
      </c>
      <c r="BE1372" s="38">
        <v>0</v>
      </c>
      <c r="BF1372" s="38">
        <f t="shared" si="230"/>
        <v>0</v>
      </c>
      <c r="BH1372" s="38">
        <f t="shared" si="231"/>
        <v>0</v>
      </c>
      <c r="BI1372" s="38">
        <f t="shared" si="232"/>
        <v>0</v>
      </c>
      <c r="BJ1372" s="38">
        <f t="shared" si="233"/>
        <v>0</v>
      </c>
      <c r="BK1372" s="38"/>
      <c r="BL1372" s="38"/>
      <c r="BW1372" s="38">
        <v>21</v>
      </c>
    </row>
    <row r="1373" spans="1:75" ht="13.5" customHeight="1">
      <c r="A1373" s="78" t="s">
        <v>2665</v>
      </c>
      <c r="B1373" s="79" t="s">
        <v>93</v>
      </c>
      <c r="C1373" s="79" t="s">
        <v>2666</v>
      </c>
      <c r="D1373" s="198" t="s">
        <v>2667</v>
      </c>
      <c r="E1373" s="199"/>
      <c r="F1373" s="79" t="s">
        <v>2567</v>
      </c>
      <c r="G1373" s="80">
        <v>12</v>
      </c>
      <c r="H1373" s="81">
        <v>0</v>
      </c>
      <c r="I1373" s="80">
        <f t="shared" si="212"/>
        <v>0</v>
      </c>
      <c r="J1373" s="80">
        <v>0</v>
      </c>
      <c r="K1373" s="80">
        <f t="shared" si="213"/>
        <v>0</v>
      </c>
      <c r="L1373" s="82" t="s">
        <v>207</v>
      </c>
      <c r="Z1373" s="38">
        <f t="shared" si="214"/>
        <v>0</v>
      </c>
      <c r="AB1373" s="38">
        <f t="shared" si="215"/>
        <v>0</v>
      </c>
      <c r="AC1373" s="38">
        <f t="shared" si="216"/>
        <v>0</v>
      </c>
      <c r="AD1373" s="38">
        <f t="shared" si="217"/>
        <v>0</v>
      </c>
      <c r="AE1373" s="38">
        <f t="shared" si="218"/>
        <v>0</v>
      </c>
      <c r="AF1373" s="38">
        <f t="shared" si="219"/>
        <v>0</v>
      </c>
      <c r="AG1373" s="38">
        <f t="shared" si="220"/>
        <v>0</v>
      </c>
      <c r="AH1373" s="38">
        <f t="shared" si="221"/>
        <v>0</v>
      </c>
      <c r="AI1373" s="50" t="s">
        <v>93</v>
      </c>
      <c r="AJ1373" s="80">
        <f t="shared" si="222"/>
        <v>0</v>
      </c>
      <c r="AK1373" s="80">
        <f t="shared" si="223"/>
        <v>0</v>
      </c>
      <c r="AL1373" s="80">
        <f t="shared" si="224"/>
        <v>0</v>
      </c>
      <c r="AN1373" s="38">
        <v>21</v>
      </c>
      <c r="AO1373" s="38">
        <f>H1373*1</f>
        <v>0</v>
      </c>
      <c r="AP1373" s="38">
        <f>H1373*(1-1)</f>
        <v>0</v>
      </c>
      <c r="AQ1373" s="83" t="s">
        <v>132</v>
      </c>
      <c r="AV1373" s="38">
        <f t="shared" si="225"/>
        <v>0</v>
      </c>
      <c r="AW1373" s="38">
        <f t="shared" si="226"/>
        <v>0</v>
      </c>
      <c r="AX1373" s="38">
        <f t="shared" si="227"/>
        <v>0</v>
      </c>
      <c r="AY1373" s="72" t="s">
        <v>2561</v>
      </c>
      <c r="AZ1373" s="72" t="s">
        <v>2562</v>
      </c>
      <c r="BA1373" s="50" t="s">
        <v>2563</v>
      </c>
      <c r="BC1373" s="38">
        <f t="shared" si="228"/>
        <v>0</v>
      </c>
      <c r="BD1373" s="38">
        <f t="shared" si="229"/>
        <v>0</v>
      </c>
      <c r="BE1373" s="38">
        <v>0</v>
      </c>
      <c r="BF1373" s="38">
        <f t="shared" si="230"/>
        <v>0</v>
      </c>
      <c r="BH1373" s="80">
        <f t="shared" si="231"/>
        <v>0</v>
      </c>
      <c r="BI1373" s="80">
        <f t="shared" si="232"/>
        <v>0</v>
      </c>
      <c r="BJ1373" s="80">
        <f t="shared" si="233"/>
        <v>0</v>
      </c>
      <c r="BK1373" s="80"/>
      <c r="BL1373" s="38"/>
      <c r="BW1373" s="38">
        <v>21</v>
      </c>
    </row>
    <row r="1374" spans="1:75" ht="27" customHeight="1">
      <c r="A1374" s="1" t="s">
        <v>2668</v>
      </c>
      <c r="B1374" s="2" t="s">
        <v>93</v>
      </c>
      <c r="C1374" s="2" t="s">
        <v>2669</v>
      </c>
      <c r="D1374" s="108" t="s">
        <v>2670</v>
      </c>
      <c r="E1374" s="103"/>
      <c r="F1374" s="2" t="s">
        <v>199</v>
      </c>
      <c r="G1374" s="38">
        <v>195</v>
      </c>
      <c r="H1374" s="70">
        <v>0</v>
      </c>
      <c r="I1374" s="38">
        <f t="shared" si="212"/>
        <v>0</v>
      </c>
      <c r="J1374" s="38">
        <v>0</v>
      </c>
      <c r="K1374" s="38">
        <f t="shared" si="213"/>
        <v>0</v>
      </c>
      <c r="L1374" s="71" t="s">
        <v>207</v>
      </c>
      <c r="Z1374" s="38">
        <f t="shared" si="214"/>
        <v>0</v>
      </c>
      <c r="AB1374" s="38">
        <f t="shared" si="215"/>
        <v>0</v>
      </c>
      <c r="AC1374" s="38">
        <f t="shared" si="216"/>
        <v>0</v>
      </c>
      <c r="AD1374" s="38">
        <f t="shared" si="217"/>
        <v>0</v>
      </c>
      <c r="AE1374" s="38">
        <f t="shared" si="218"/>
        <v>0</v>
      </c>
      <c r="AF1374" s="38">
        <f t="shared" si="219"/>
        <v>0</v>
      </c>
      <c r="AG1374" s="38">
        <f t="shared" si="220"/>
        <v>0</v>
      </c>
      <c r="AH1374" s="38">
        <f t="shared" si="221"/>
        <v>0</v>
      </c>
      <c r="AI1374" s="50" t="s">
        <v>93</v>
      </c>
      <c r="AJ1374" s="38">
        <f t="shared" si="222"/>
        <v>0</v>
      </c>
      <c r="AK1374" s="38">
        <f t="shared" si="223"/>
        <v>0</v>
      </c>
      <c r="AL1374" s="38">
        <f t="shared" si="224"/>
        <v>0</v>
      </c>
      <c r="AN1374" s="38">
        <v>21</v>
      </c>
      <c r="AO1374" s="38">
        <f>H1374*0</f>
        <v>0</v>
      </c>
      <c r="AP1374" s="38">
        <f>H1374*(1-0)</f>
        <v>0</v>
      </c>
      <c r="AQ1374" s="72" t="s">
        <v>132</v>
      </c>
      <c r="AV1374" s="38">
        <f t="shared" si="225"/>
        <v>0</v>
      </c>
      <c r="AW1374" s="38">
        <f t="shared" si="226"/>
        <v>0</v>
      </c>
      <c r="AX1374" s="38">
        <f t="shared" si="227"/>
        <v>0</v>
      </c>
      <c r="AY1374" s="72" t="s">
        <v>2561</v>
      </c>
      <c r="AZ1374" s="72" t="s">
        <v>2562</v>
      </c>
      <c r="BA1374" s="50" t="s">
        <v>2563</v>
      </c>
      <c r="BC1374" s="38">
        <f t="shared" si="228"/>
        <v>0</v>
      </c>
      <c r="BD1374" s="38">
        <f t="shared" si="229"/>
        <v>0</v>
      </c>
      <c r="BE1374" s="38">
        <v>0</v>
      </c>
      <c r="BF1374" s="38">
        <f t="shared" si="230"/>
        <v>0</v>
      </c>
      <c r="BH1374" s="38">
        <f t="shared" si="231"/>
        <v>0</v>
      </c>
      <c r="BI1374" s="38">
        <f t="shared" si="232"/>
        <v>0</v>
      </c>
      <c r="BJ1374" s="38">
        <f t="shared" si="233"/>
        <v>0</v>
      </c>
      <c r="BK1374" s="38"/>
      <c r="BL1374" s="38"/>
      <c r="BW1374" s="38">
        <v>21</v>
      </c>
    </row>
    <row r="1375" spans="1:75" ht="27" customHeight="1">
      <c r="A1375" s="78" t="s">
        <v>2671</v>
      </c>
      <c r="B1375" s="79" t="s">
        <v>93</v>
      </c>
      <c r="C1375" s="79" t="s">
        <v>2672</v>
      </c>
      <c r="D1375" s="198" t="s">
        <v>2673</v>
      </c>
      <c r="E1375" s="199"/>
      <c r="F1375" s="79" t="s">
        <v>2567</v>
      </c>
      <c r="G1375" s="80">
        <v>195</v>
      </c>
      <c r="H1375" s="81">
        <v>0</v>
      </c>
      <c r="I1375" s="80">
        <f t="shared" si="212"/>
        <v>0</v>
      </c>
      <c r="J1375" s="80">
        <v>0</v>
      </c>
      <c r="K1375" s="80">
        <f t="shared" si="213"/>
        <v>0</v>
      </c>
      <c r="L1375" s="82" t="s">
        <v>207</v>
      </c>
      <c r="Z1375" s="38">
        <f t="shared" si="214"/>
        <v>0</v>
      </c>
      <c r="AB1375" s="38">
        <f t="shared" si="215"/>
        <v>0</v>
      </c>
      <c r="AC1375" s="38">
        <f t="shared" si="216"/>
        <v>0</v>
      </c>
      <c r="AD1375" s="38">
        <f t="shared" si="217"/>
        <v>0</v>
      </c>
      <c r="AE1375" s="38">
        <f t="shared" si="218"/>
        <v>0</v>
      </c>
      <c r="AF1375" s="38">
        <f t="shared" si="219"/>
        <v>0</v>
      </c>
      <c r="AG1375" s="38">
        <f t="shared" si="220"/>
        <v>0</v>
      </c>
      <c r="AH1375" s="38">
        <f t="shared" si="221"/>
        <v>0</v>
      </c>
      <c r="AI1375" s="50" t="s">
        <v>93</v>
      </c>
      <c r="AJ1375" s="80">
        <f t="shared" si="222"/>
        <v>0</v>
      </c>
      <c r="AK1375" s="80">
        <f t="shared" si="223"/>
        <v>0</v>
      </c>
      <c r="AL1375" s="80">
        <f t="shared" si="224"/>
        <v>0</v>
      </c>
      <c r="AN1375" s="38">
        <v>21</v>
      </c>
      <c r="AO1375" s="38">
        <f>H1375*1</f>
        <v>0</v>
      </c>
      <c r="AP1375" s="38">
        <f>H1375*(1-1)</f>
        <v>0</v>
      </c>
      <c r="AQ1375" s="83" t="s">
        <v>132</v>
      </c>
      <c r="AV1375" s="38">
        <f t="shared" si="225"/>
        <v>0</v>
      </c>
      <c r="AW1375" s="38">
        <f t="shared" si="226"/>
        <v>0</v>
      </c>
      <c r="AX1375" s="38">
        <f t="shared" si="227"/>
        <v>0</v>
      </c>
      <c r="AY1375" s="72" t="s">
        <v>2561</v>
      </c>
      <c r="AZ1375" s="72" t="s">
        <v>2562</v>
      </c>
      <c r="BA1375" s="50" t="s">
        <v>2563</v>
      </c>
      <c r="BC1375" s="38">
        <f t="shared" si="228"/>
        <v>0</v>
      </c>
      <c r="BD1375" s="38">
        <f t="shared" si="229"/>
        <v>0</v>
      </c>
      <c r="BE1375" s="38">
        <v>0</v>
      </c>
      <c r="BF1375" s="38">
        <f t="shared" si="230"/>
        <v>0</v>
      </c>
      <c r="BH1375" s="80">
        <f t="shared" si="231"/>
        <v>0</v>
      </c>
      <c r="BI1375" s="80">
        <f t="shared" si="232"/>
        <v>0</v>
      </c>
      <c r="BJ1375" s="80">
        <f t="shared" si="233"/>
        <v>0</v>
      </c>
      <c r="BK1375" s="80"/>
      <c r="BL1375" s="38"/>
      <c r="BW1375" s="38">
        <v>21</v>
      </c>
    </row>
    <row r="1376" spans="1:75" ht="27" customHeight="1">
      <c r="A1376" s="1" t="s">
        <v>2674</v>
      </c>
      <c r="B1376" s="2" t="s">
        <v>93</v>
      </c>
      <c r="C1376" s="2" t="s">
        <v>2675</v>
      </c>
      <c r="D1376" s="108" t="s">
        <v>2676</v>
      </c>
      <c r="E1376" s="103"/>
      <c r="F1376" s="2" t="s">
        <v>214</v>
      </c>
      <c r="G1376" s="38">
        <v>106</v>
      </c>
      <c r="H1376" s="70">
        <v>0</v>
      </c>
      <c r="I1376" s="38">
        <f t="shared" si="212"/>
        <v>0</v>
      </c>
      <c r="J1376" s="38">
        <v>0</v>
      </c>
      <c r="K1376" s="38">
        <f t="shared" si="213"/>
        <v>0</v>
      </c>
      <c r="L1376" s="71" t="s">
        <v>207</v>
      </c>
      <c r="Z1376" s="38">
        <f t="shared" si="214"/>
        <v>0</v>
      </c>
      <c r="AB1376" s="38">
        <f t="shared" si="215"/>
        <v>0</v>
      </c>
      <c r="AC1376" s="38">
        <f t="shared" si="216"/>
        <v>0</v>
      </c>
      <c r="AD1376" s="38">
        <f t="shared" si="217"/>
        <v>0</v>
      </c>
      <c r="AE1376" s="38">
        <f t="shared" si="218"/>
        <v>0</v>
      </c>
      <c r="AF1376" s="38">
        <f t="shared" si="219"/>
        <v>0</v>
      </c>
      <c r="AG1376" s="38">
        <f t="shared" si="220"/>
        <v>0</v>
      </c>
      <c r="AH1376" s="38">
        <f t="shared" si="221"/>
        <v>0</v>
      </c>
      <c r="AI1376" s="50" t="s">
        <v>93</v>
      </c>
      <c r="AJ1376" s="38">
        <f t="shared" si="222"/>
        <v>0</v>
      </c>
      <c r="AK1376" s="38">
        <f t="shared" si="223"/>
        <v>0</v>
      </c>
      <c r="AL1376" s="38">
        <f t="shared" si="224"/>
        <v>0</v>
      </c>
      <c r="AN1376" s="38">
        <v>21</v>
      </c>
      <c r="AO1376" s="38">
        <f>H1376*0</f>
        <v>0</v>
      </c>
      <c r="AP1376" s="38">
        <f>H1376*(1-0)</f>
        <v>0</v>
      </c>
      <c r="AQ1376" s="72" t="s">
        <v>132</v>
      </c>
      <c r="AV1376" s="38">
        <f t="shared" si="225"/>
        <v>0</v>
      </c>
      <c r="AW1376" s="38">
        <f t="shared" si="226"/>
        <v>0</v>
      </c>
      <c r="AX1376" s="38">
        <f t="shared" si="227"/>
        <v>0</v>
      </c>
      <c r="AY1376" s="72" t="s">
        <v>2561</v>
      </c>
      <c r="AZ1376" s="72" t="s">
        <v>2562</v>
      </c>
      <c r="BA1376" s="50" t="s">
        <v>2563</v>
      </c>
      <c r="BC1376" s="38">
        <f t="shared" si="228"/>
        <v>0</v>
      </c>
      <c r="BD1376" s="38">
        <f t="shared" si="229"/>
        <v>0</v>
      </c>
      <c r="BE1376" s="38">
        <v>0</v>
      </c>
      <c r="BF1376" s="38">
        <f t="shared" si="230"/>
        <v>0</v>
      </c>
      <c r="BH1376" s="38">
        <f t="shared" si="231"/>
        <v>0</v>
      </c>
      <c r="BI1376" s="38">
        <f t="shared" si="232"/>
        <v>0</v>
      </c>
      <c r="BJ1376" s="38">
        <f t="shared" si="233"/>
        <v>0</v>
      </c>
      <c r="BK1376" s="38"/>
      <c r="BL1376" s="38"/>
      <c r="BW1376" s="38">
        <v>21</v>
      </c>
    </row>
    <row r="1377" spans="1:75" ht="13.5" customHeight="1">
      <c r="A1377" s="78" t="s">
        <v>2677</v>
      </c>
      <c r="B1377" s="79" t="s">
        <v>93</v>
      </c>
      <c r="C1377" s="79" t="s">
        <v>2678</v>
      </c>
      <c r="D1377" s="198" t="s">
        <v>2679</v>
      </c>
      <c r="E1377" s="199"/>
      <c r="F1377" s="79" t="s">
        <v>2661</v>
      </c>
      <c r="G1377" s="80">
        <v>106</v>
      </c>
      <c r="H1377" s="81">
        <v>0</v>
      </c>
      <c r="I1377" s="80">
        <f t="shared" si="212"/>
        <v>0</v>
      </c>
      <c r="J1377" s="80">
        <v>0</v>
      </c>
      <c r="K1377" s="80">
        <f t="shared" si="213"/>
        <v>0</v>
      </c>
      <c r="L1377" s="82" t="s">
        <v>207</v>
      </c>
      <c r="Z1377" s="38">
        <f t="shared" si="214"/>
        <v>0</v>
      </c>
      <c r="AB1377" s="38">
        <f t="shared" si="215"/>
        <v>0</v>
      </c>
      <c r="AC1377" s="38">
        <f t="shared" si="216"/>
        <v>0</v>
      </c>
      <c r="AD1377" s="38">
        <f t="shared" si="217"/>
        <v>0</v>
      </c>
      <c r="AE1377" s="38">
        <f t="shared" si="218"/>
        <v>0</v>
      </c>
      <c r="AF1377" s="38">
        <f t="shared" si="219"/>
        <v>0</v>
      </c>
      <c r="AG1377" s="38">
        <f t="shared" si="220"/>
        <v>0</v>
      </c>
      <c r="AH1377" s="38">
        <f t="shared" si="221"/>
        <v>0</v>
      </c>
      <c r="AI1377" s="50" t="s">
        <v>93</v>
      </c>
      <c r="AJ1377" s="80">
        <f t="shared" si="222"/>
        <v>0</v>
      </c>
      <c r="AK1377" s="80">
        <f t="shared" si="223"/>
        <v>0</v>
      </c>
      <c r="AL1377" s="80">
        <f t="shared" si="224"/>
        <v>0</v>
      </c>
      <c r="AN1377" s="38">
        <v>21</v>
      </c>
      <c r="AO1377" s="38">
        <f>H1377*1</f>
        <v>0</v>
      </c>
      <c r="AP1377" s="38">
        <f>H1377*(1-1)</f>
        <v>0</v>
      </c>
      <c r="AQ1377" s="83" t="s">
        <v>132</v>
      </c>
      <c r="AV1377" s="38">
        <f t="shared" si="225"/>
        <v>0</v>
      </c>
      <c r="AW1377" s="38">
        <f t="shared" si="226"/>
        <v>0</v>
      </c>
      <c r="AX1377" s="38">
        <f t="shared" si="227"/>
        <v>0</v>
      </c>
      <c r="AY1377" s="72" t="s">
        <v>2561</v>
      </c>
      <c r="AZ1377" s="72" t="s">
        <v>2562</v>
      </c>
      <c r="BA1377" s="50" t="s">
        <v>2563</v>
      </c>
      <c r="BC1377" s="38">
        <f t="shared" si="228"/>
        <v>0</v>
      </c>
      <c r="BD1377" s="38">
        <f t="shared" si="229"/>
        <v>0</v>
      </c>
      <c r="BE1377" s="38">
        <v>0</v>
      </c>
      <c r="BF1377" s="38">
        <f t="shared" si="230"/>
        <v>0</v>
      </c>
      <c r="BH1377" s="80">
        <f t="shared" si="231"/>
        <v>0</v>
      </c>
      <c r="BI1377" s="80">
        <f t="shared" si="232"/>
        <v>0</v>
      </c>
      <c r="BJ1377" s="80">
        <f t="shared" si="233"/>
        <v>0</v>
      </c>
      <c r="BK1377" s="80"/>
      <c r="BL1377" s="38"/>
      <c r="BW1377" s="38">
        <v>21</v>
      </c>
    </row>
    <row r="1378" spans="1:75" ht="27" customHeight="1">
      <c r="A1378" s="1" t="s">
        <v>2680</v>
      </c>
      <c r="B1378" s="2" t="s">
        <v>93</v>
      </c>
      <c r="C1378" s="2" t="s">
        <v>2681</v>
      </c>
      <c r="D1378" s="108" t="s">
        <v>2682</v>
      </c>
      <c r="E1378" s="103"/>
      <c r="F1378" s="2" t="s">
        <v>214</v>
      </c>
      <c r="G1378" s="38">
        <v>51</v>
      </c>
      <c r="H1378" s="70">
        <v>0</v>
      </c>
      <c r="I1378" s="38">
        <f t="shared" si="212"/>
        <v>0</v>
      </c>
      <c r="J1378" s="38">
        <v>0</v>
      </c>
      <c r="K1378" s="38">
        <f t="shared" si="213"/>
        <v>0</v>
      </c>
      <c r="L1378" s="71" t="s">
        <v>207</v>
      </c>
      <c r="Z1378" s="38">
        <f t="shared" si="214"/>
        <v>0</v>
      </c>
      <c r="AB1378" s="38">
        <f t="shared" si="215"/>
        <v>0</v>
      </c>
      <c r="AC1378" s="38">
        <f t="shared" si="216"/>
        <v>0</v>
      </c>
      <c r="AD1378" s="38">
        <f t="shared" si="217"/>
        <v>0</v>
      </c>
      <c r="AE1378" s="38">
        <f t="shared" si="218"/>
        <v>0</v>
      </c>
      <c r="AF1378" s="38">
        <f t="shared" si="219"/>
        <v>0</v>
      </c>
      <c r="AG1378" s="38">
        <f t="shared" si="220"/>
        <v>0</v>
      </c>
      <c r="AH1378" s="38">
        <f t="shared" si="221"/>
        <v>0</v>
      </c>
      <c r="AI1378" s="50" t="s">
        <v>93</v>
      </c>
      <c r="AJ1378" s="38">
        <f t="shared" si="222"/>
        <v>0</v>
      </c>
      <c r="AK1378" s="38">
        <f t="shared" si="223"/>
        <v>0</v>
      </c>
      <c r="AL1378" s="38">
        <f t="shared" si="224"/>
        <v>0</v>
      </c>
      <c r="AN1378" s="38">
        <v>21</v>
      </c>
      <c r="AO1378" s="38">
        <f>H1378*0</f>
        <v>0</v>
      </c>
      <c r="AP1378" s="38">
        <f>H1378*(1-0)</f>
        <v>0</v>
      </c>
      <c r="AQ1378" s="72" t="s">
        <v>132</v>
      </c>
      <c r="AV1378" s="38">
        <f t="shared" si="225"/>
        <v>0</v>
      </c>
      <c r="AW1378" s="38">
        <f t="shared" si="226"/>
        <v>0</v>
      </c>
      <c r="AX1378" s="38">
        <f t="shared" si="227"/>
        <v>0</v>
      </c>
      <c r="AY1378" s="72" t="s">
        <v>2561</v>
      </c>
      <c r="AZ1378" s="72" t="s">
        <v>2562</v>
      </c>
      <c r="BA1378" s="50" t="s">
        <v>2563</v>
      </c>
      <c r="BC1378" s="38">
        <f t="shared" si="228"/>
        <v>0</v>
      </c>
      <c r="BD1378" s="38">
        <f t="shared" si="229"/>
        <v>0</v>
      </c>
      <c r="BE1378" s="38">
        <v>0</v>
      </c>
      <c r="BF1378" s="38">
        <f t="shared" si="230"/>
        <v>0</v>
      </c>
      <c r="BH1378" s="38">
        <f t="shared" si="231"/>
        <v>0</v>
      </c>
      <c r="BI1378" s="38">
        <f t="shared" si="232"/>
        <v>0</v>
      </c>
      <c r="BJ1378" s="38">
        <f t="shared" si="233"/>
        <v>0</v>
      </c>
      <c r="BK1378" s="38"/>
      <c r="BL1378" s="38"/>
      <c r="BW1378" s="38">
        <v>21</v>
      </c>
    </row>
    <row r="1379" spans="1:75" ht="13.5" customHeight="1">
      <c r="A1379" s="78" t="s">
        <v>2683</v>
      </c>
      <c r="B1379" s="79" t="s">
        <v>93</v>
      </c>
      <c r="C1379" s="79" t="s">
        <v>2684</v>
      </c>
      <c r="D1379" s="198" t="s">
        <v>2685</v>
      </c>
      <c r="E1379" s="199"/>
      <c r="F1379" s="79" t="s">
        <v>2661</v>
      </c>
      <c r="G1379" s="80">
        <v>51</v>
      </c>
      <c r="H1379" s="81">
        <v>0</v>
      </c>
      <c r="I1379" s="80">
        <f t="shared" si="212"/>
        <v>0</v>
      </c>
      <c r="J1379" s="80">
        <v>0</v>
      </c>
      <c r="K1379" s="80">
        <f t="shared" si="213"/>
        <v>0</v>
      </c>
      <c r="L1379" s="82" t="s">
        <v>207</v>
      </c>
      <c r="Z1379" s="38">
        <f t="shared" si="214"/>
        <v>0</v>
      </c>
      <c r="AB1379" s="38">
        <f t="shared" si="215"/>
        <v>0</v>
      </c>
      <c r="AC1379" s="38">
        <f t="shared" si="216"/>
        <v>0</v>
      </c>
      <c r="AD1379" s="38">
        <f t="shared" si="217"/>
        <v>0</v>
      </c>
      <c r="AE1379" s="38">
        <f t="shared" si="218"/>
        <v>0</v>
      </c>
      <c r="AF1379" s="38">
        <f t="shared" si="219"/>
        <v>0</v>
      </c>
      <c r="AG1379" s="38">
        <f t="shared" si="220"/>
        <v>0</v>
      </c>
      <c r="AH1379" s="38">
        <f t="shared" si="221"/>
        <v>0</v>
      </c>
      <c r="AI1379" s="50" t="s">
        <v>93</v>
      </c>
      <c r="AJ1379" s="80">
        <f t="shared" si="222"/>
        <v>0</v>
      </c>
      <c r="AK1379" s="80">
        <f t="shared" si="223"/>
        <v>0</v>
      </c>
      <c r="AL1379" s="80">
        <f t="shared" si="224"/>
        <v>0</v>
      </c>
      <c r="AN1379" s="38">
        <v>21</v>
      </c>
      <c r="AO1379" s="38">
        <f>H1379*1</f>
        <v>0</v>
      </c>
      <c r="AP1379" s="38">
        <f>H1379*(1-1)</f>
        <v>0</v>
      </c>
      <c r="AQ1379" s="83" t="s">
        <v>132</v>
      </c>
      <c r="AV1379" s="38">
        <f t="shared" si="225"/>
        <v>0</v>
      </c>
      <c r="AW1379" s="38">
        <f t="shared" si="226"/>
        <v>0</v>
      </c>
      <c r="AX1379" s="38">
        <f t="shared" si="227"/>
        <v>0</v>
      </c>
      <c r="AY1379" s="72" t="s">
        <v>2561</v>
      </c>
      <c r="AZ1379" s="72" t="s">
        <v>2562</v>
      </c>
      <c r="BA1379" s="50" t="s">
        <v>2563</v>
      </c>
      <c r="BC1379" s="38">
        <f t="shared" si="228"/>
        <v>0</v>
      </c>
      <c r="BD1379" s="38">
        <f t="shared" si="229"/>
        <v>0</v>
      </c>
      <c r="BE1379" s="38">
        <v>0</v>
      </c>
      <c r="BF1379" s="38">
        <f t="shared" si="230"/>
        <v>0</v>
      </c>
      <c r="BH1379" s="80">
        <f t="shared" si="231"/>
        <v>0</v>
      </c>
      <c r="BI1379" s="80">
        <f t="shared" si="232"/>
        <v>0</v>
      </c>
      <c r="BJ1379" s="80">
        <f t="shared" si="233"/>
        <v>0</v>
      </c>
      <c r="BK1379" s="80"/>
      <c r="BL1379" s="38"/>
      <c r="BW1379" s="38">
        <v>21</v>
      </c>
    </row>
    <row r="1380" spans="1:75" ht="27" customHeight="1">
      <c r="A1380" s="1" t="s">
        <v>2686</v>
      </c>
      <c r="B1380" s="2" t="s">
        <v>93</v>
      </c>
      <c r="C1380" s="2" t="s">
        <v>2687</v>
      </c>
      <c r="D1380" s="108" t="s">
        <v>2688</v>
      </c>
      <c r="E1380" s="103"/>
      <c r="F1380" s="2" t="s">
        <v>214</v>
      </c>
      <c r="G1380" s="38">
        <v>560</v>
      </c>
      <c r="H1380" s="70">
        <v>0</v>
      </c>
      <c r="I1380" s="38">
        <f t="shared" si="212"/>
        <v>0</v>
      </c>
      <c r="J1380" s="38">
        <v>0</v>
      </c>
      <c r="K1380" s="38">
        <f t="shared" si="213"/>
        <v>0</v>
      </c>
      <c r="L1380" s="71" t="s">
        <v>207</v>
      </c>
      <c r="Z1380" s="38">
        <f t="shared" si="214"/>
        <v>0</v>
      </c>
      <c r="AB1380" s="38">
        <f t="shared" si="215"/>
        <v>0</v>
      </c>
      <c r="AC1380" s="38">
        <f t="shared" si="216"/>
        <v>0</v>
      </c>
      <c r="AD1380" s="38">
        <f t="shared" si="217"/>
        <v>0</v>
      </c>
      <c r="AE1380" s="38">
        <f t="shared" si="218"/>
        <v>0</v>
      </c>
      <c r="AF1380" s="38">
        <f t="shared" si="219"/>
        <v>0</v>
      </c>
      <c r="AG1380" s="38">
        <f t="shared" si="220"/>
        <v>0</v>
      </c>
      <c r="AH1380" s="38">
        <f t="shared" si="221"/>
        <v>0</v>
      </c>
      <c r="AI1380" s="50" t="s">
        <v>93</v>
      </c>
      <c r="AJ1380" s="38">
        <f t="shared" si="222"/>
        <v>0</v>
      </c>
      <c r="AK1380" s="38">
        <f t="shared" si="223"/>
        <v>0</v>
      </c>
      <c r="AL1380" s="38">
        <f t="shared" si="224"/>
        <v>0</v>
      </c>
      <c r="AN1380" s="38">
        <v>21</v>
      </c>
      <c r="AO1380" s="38">
        <f>H1380*0</f>
        <v>0</v>
      </c>
      <c r="AP1380" s="38">
        <f>H1380*(1-0)</f>
        <v>0</v>
      </c>
      <c r="AQ1380" s="72" t="s">
        <v>132</v>
      </c>
      <c r="AV1380" s="38">
        <f t="shared" si="225"/>
        <v>0</v>
      </c>
      <c r="AW1380" s="38">
        <f t="shared" si="226"/>
        <v>0</v>
      </c>
      <c r="AX1380" s="38">
        <f t="shared" si="227"/>
        <v>0</v>
      </c>
      <c r="AY1380" s="72" t="s">
        <v>2561</v>
      </c>
      <c r="AZ1380" s="72" t="s">
        <v>2562</v>
      </c>
      <c r="BA1380" s="50" t="s">
        <v>2563</v>
      </c>
      <c r="BC1380" s="38">
        <f t="shared" si="228"/>
        <v>0</v>
      </c>
      <c r="BD1380" s="38">
        <f t="shared" si="229"/>
        <v>0</v>
      </c>
      <c r="BE1380" s="38">
        <v>0</v>
      </c>
      <c r="BF1380" s="38">
        <f t="shared" si="230"/>
        <v>0</v>
      </c>
      <c r="BH1380" s="38">
        <f t="shared" si="231"/>
        <v>0</v>
      </c>
      <c r="BI1380" s="38">
        <f t="shared" si="232"/>
        <v>0</v>
      </c>
      <c r="BJ1380" s="38">
        <f t="shared" si="233"/>
        <v>0</v>
      </c>
      <c r="BK1380" s="38"/>
      <c r="BL1380" s="38"/>
      <c r="BW1380" s="38">
        <v>21</v>
      </c>
    </row>
    <row r="1381" spans="1:75" ht="13.5" customHeight="1">
      <c r="A1381" s="78" t="s">
        <v>2689</v>
      </c>
      <c r="B1381" s="79" t="s">
        <v>93</v>
      </c>
      <c r="C1381" s="79" t="s">
        <v>2690</v>
      </c>
      <c r="D1381" s="198" t="s">
        <v>2691</v>
      </c>
      <c r="E1381" s="199"/>
      <c r="F1381" s="79" t="s">
        <v>2661</v>
      </c>
      <c r="G1381" s="80">
        <v>560</v>
      </c>
      <c r="H1381" s="81">
        <v>0</v>
      </c>
      <c r="I1381" s="80">
        <f t="shared" si="212"/>
        <v>0</v>
      </c>
      <c r="J1381" s="80">
        <v>0</v>
      </c>
      <c r="K1381" s="80">
        <f t="shared" si="213"/>
        <v>0</v>
      </c>
      <c r="L1381" s="82" t="s">
        <v>207</v>
      </c>
      <c r="Z1381" s="38">
        <f t="shared" si="214"/>
        <v>0</v>
      </c>
      <c r="AB1381" s="38">
        <f t="shared" si="215"/>
        <v>0</v>
      </c>
      <c r="AC1381" s="38">
        <f t="shared" si="216"/>
        <v>0</v>
      </c>
      <c r="AD1381" s="38">
        <f t="shared" si="217"/>
        <v>0</v>
      </c>
      <c r="AE1381" s="38">
        <f t="shared" si="218"/>
        <v>0</v>
      </c>
      <c r="AF1381" s="38">
        <f t="shared" si="219"/>
        <v>0</v>
      </c>
      <c r="AG1381" s="38">
        <f t="shared" si="220"/>
        <v>0</v>
      </c>
      <c r="AH1381" s="38">
        <f t="shared" si="221"/>
        <v>0</v>
      </c>
      <c r="AI1381" s="50" t="s">
        <v>93</v>
      </c>
      <c r="AJ1381" s="80">
        <f t="shared" si="222"/>
        <v>0</v>
      </c>
      <c r="AK1381" s="80">
        <f t="shared" si="223"/>
        <v>0</v>
      </c>
      <c r="AL1381" s="80">
        <f t="shared" si="224"/>
        <v>0</v>
      </c>
      <c r="AN1381" s="38">
        <v>21</v>
      </c>
      <c r="AO1381" s="38">
        <f>H1381*1</f>
        <v>0</v>
      </c>
      <c r="AP1381" s="38">
        <f>H1381*(1-1)</f>
        <v>0</v>
      </c>
      <c r="AQ1381" s="83" t="s">
        <v>132</v>
      </c>
      <c r="AV1381" s="38">
        <f t="shared" si="225"/>
        <v>0</v>
      </c>
      <c r="AW1381" s="38">
        <f t="shared" si="226"/>
        <v>0</v>
      </c>
      <c r="AX1381" s="38">
        <f t="shared" si="227"/>
        <v>0</v>
      </c>
      <c r="AY1381" s="72" t="s">
        <v>2561</v>
      </c>
      <c r="AZ1381" s="72" t="s">
        <v>2562</v>
      </c>
      <c r="BA1381" s="50" t="s">
        <v>2563</v>
      </c>
      <c r="BC1381" s="38">
        <f t="shared" si="228"/>
        <v>0</v>
      </c>
      <c r="BD1381" s="38">
        <f t="shared" si="229"/>
        <v>0</v>
      </c>
      <c r="BE1381" s="38">
        <v>0</v>
      </c>
      <c r="BF1381" s="38">
        <f t="shared" si="230"/>
        <v>0</v>
      </c>
      <c r="BH1381" s="80">
        <f t="shared" si="231"/>
        <v>0</v>
      </c>
      <c r="BI1381" s="80">
        <f t="shared" si="232"/>
        <v>0</v>
      </c>
      <c r="BJ1381" s="80">
        <f t="shared" si="233"/>
        <v>0</v>
      </c>
      <c r="BK1381" s="80"/>
      <c r="BL1381" s="38"/>
      <c r="BW1381" s="38">
        <v>21</v>
      </c>
    </row>
    <row r="1382" spans="1:75" ht="27" customHeight="1">
      <c r="A1382" s="1" t="s">
        <v>2692</v>
      </c>
      <c r="B1382" s="2" t="s">
        <v>93</v>
      </c>
      <c r="C1382" s="2" t="s">
        <v>2693</v>
      </c>
      <c r="D1382" s="108" t="s">
        <v>2694</v>
      </c>
      <c r="E1382" s="103"/>
      <c r="F1382" s="2" t="s">
        <v>214</v>
      </c>
      <c r="G1382" s="38">
        <v>1063</v>
      </c>
      <c r="H1382" s="70">
        <v>0</v>
      </c>
      <c r="I1382" s="38">
        <f t="shared" si="212"/>
        <v>0</v>
      </c>
      <c r="J1382" s="38">
        <v>0</v>
      </c>
      <c r="K1382" s="38">
        <f t="shared" si="213"/>
        <v>0</v>
      </c>
      <c r="L1382" s="71" t="s">
        <v>207</v>
      </c>
      <c r="Z1382" s="38">
        <f t="shared" si="214"/>
        <v>0</v>
      </c>
      <c r="AB1382" s="38">
        <f t="shared" si="215"/>
        <v>0</v>
      </c>
      <c r="AC1382" s="38">
        <f t="shared" si="216"/>
        <v>0</v>
      </c>
      <c r="AD1382" s="38">
        <f t="shared" si="217"/>
        <v>0</v>
      </c>
      <c r="AE1382" s="38">
        <f t="shared" si="218"/>
        <v>0</v>
      </c>
      <c r="AF1382" s="38">
        <f t="shared" si="219"/>
        <v>0</v>
      </c>
      <c r="AG1382" s="38">
        <f t="shared" si="220"/>
        <v>0</v>
      </c>
      <c r="AH1382" s="38">
        <f t="shared" si="221"/>
        <v>0</v>
      </c>
      <c r="AI1382" s="50" t="s">
        <v>93</v>
      </c>
      <c r="AJ1382" s="38">
        <f t="shared" si="222"/>
        <v>0</v>
      </c>
      <c r="AK1382" s="38">
        <f t="shared" si="223"/>
        <v>0</v>
      </c>
      <c r="AL1382" s="38">
        <f t="shared" si="224"/>
        <v>0</v>
      </c>
      <c r="AN1382" s="38">
        <v>21</v>
      </c>
      <c r="AO1382" s="38">
        <f>H1382*0</f>
        <v>0</v>
      </c>
      <c r="AP1382" s="38">
        <f>H1382*(1-0)</f>
        <v>0</v>
      </c>
      <c r="AQ1382" s="72" t="s">
        <v>132</v>
      </c>
      <c r="AV1382" s="38">
        <f t="shared" si="225"/>
        <v>0</v>
      </c>
      <c r="AW1382" s="38">
        <f t="shared" si="226"/>
        <v>0</v>
      </c>
      <c r="AX1382" s="38">
        <f t="shared" si="227"/>
        <v>0</v>
      </c>
      <c r="AY1382" s="72" t="s">
        <v>2561</v>
      </c>
      <c r="AZ1382" s="72" t="s">
        <v>2562</v>
      </c>
      <c r="BA1382" s="50" t="s">
        <v>2563</v>
      </c>
      <c r="BC1382" s="38">
        <f t="shared" si="228"/>
        <v>0</v>
      </c>
      <c r="BD1382" s="38">
        <f t="shared" si="229"/>
        <v>0</v>
      </c>
      <c r="BE1382" s="38">
        <v>0</v>
      </c>
      <c r="BF1382" s="38">
        <f t="shared" si="230"/>
        <v>0</v>
      </c>
      <c r="BH1382" s="38">
        <f t="shared" si="231"/>
        <v>0</v>
      </c>
      <c r="BI1382" s="38">
        <f t="shared" si="232"/>
        <v>0</v>
      </c>
      <c r="BJ1382" s="38">
        <f t="shared" si="233"/>
        <v>0</v>
      </c>
      <c r="BK1382" s="38"/>
      <c r="BL1382" s="38"/>
      <c r="BW1382" s="38">
        <v>21</v>
      </c>
    </row>
    <row r="1383" spans="1:75" ht="13.5" customHeight="1">
      <c r="A1383" s="78" t="s">
        <v>2695</v>
      </c>
      <c r="B1383" s="79" t="s">
        <v>93</v>
      </c>
      <c r="C1383" s="79" t="s">
        <v>2696</v>
      </c>
      <c r="D1383" s="198" t="s">
        <v>2697</v>
      </c>
      <c r="E1383" s="199"/>
      <c r="F1383" s="79" t="s">
        <v>2661</v>
      </c>
      <c r="G1383" s="80">
        <v>1063</v>
      </c>
      <c r="H1383" s="81">
        <v>0</v>
      </c>
      <c r="I1383" s="80">
        <f t="shared" si="212"/>
        <v>0</v>
      </c>
      <c r="J1383" s="80">
        <v>0</v>
      </c>
      <c r="K1383" s="80">
        <f t="shared" si="213"/>
        <v>0</v>
      </c>
      <c r="L1383" s="82" t="s">
        <v>207</v>
      </c>
      <c r="Z1383" s="38">
        <f t="shared" si="214"/>
        <v>0</v>
      </c>
      <c r="AB1383" s="38">
        <f t="shared" si="215"/>
        <v>0</v>
      </c>
      <c r="AC1383" s="38">
        <f t="shared" si="216"/>
        <v>0</v>
      </c>
      <c r="AD1383" s="38">
        <f t="shared" si="217"/>
        <v>0</v>
      </c>
      <c r="AE1383" s="38">
        <f t="shared" si="218"/>
        <v>0</v>
      </c>
      <c r="AF1383" s="38">
        <f t="shared" si="219"/>
        <v>0</v>
      </c>
      <c r="AG1383" s="38">
        <f t="shared" si="220"/>
        <v>0</v>
      </c>
      <c r="AH1383" s="38">
        <f t="shared" si="221"/>
        <v>0</v>
      </c>
      <c r="AI1383" s="50" t="s">
        <v>93</v>
      </c>
      <c r="AJ1383" s="80">
        <f t="shared" si="222"/>
        <v>0</v>
      </c>
      <c r="AK1383" s="80">
        <f t="shared" si="223"/>
        <v>0</v>
      </c>
      <c r="AL1383" s="80">
        <f t="shared" si="224"/>
        <v>0</v>
      </c>
      <c r="AN1383" s="38">
        <v>21</v>
      </c>
      <c r="AO1383" s="38">
        <f>H1383*1</f>
        <v>0</v>
      </c>
      <c r="AP1383" s="38">
        <f>H1383*(1-1)</f>
        <v>0</v>
      </c>
      <c r="AQ1383" s="83" t="s">
        <v>132</v>
      </c>
      <c r="AV1383" s="38">
        <f t="shared" si="225"/>
        <v>0</v>
      </c>
      <c r="AW1383" s="38">
        <f t="shared" si="226"/>
        <v>0</v>
      </c>
      <c r="AX1383" s="38">
        <f t="shared" si="227"/>
        <v>0</v>
      </c>
      <c r="AY1383" s="72" t="s">
        <v>2561</v>
      </c>
      <c r="AZ1383" s="72" t="s">
        <v>2562</v>
      </c>
      <c r="BA1383" s="50" t="s">
        <v>2563</v>
      </c>
      <c r="BC1383" s="38">
        <f t="shared" si="228"/>
        <v>0</v>
      </c>
      <c r="BD1383" s="38">
        <f t="shared" si="229"/>
        <v>0</v>
      </c>
      <c r="BE1383" s="38">
        <v>0</v>
      </c>
      <c r="BF1383" s="38">
        <f t="shared" si="230"/>
        <v>0</v>
      </c>
      <c r="BH1383" s="80">
        <f t="shared" si="231"/>
        <v>0</v>
      </c>
      <c r="BI1383" s="80">
        <f t="shared" si="232"/>
        <v>0</v>
      </c>
      <c r="BJ1383" s="80">
        <f t="shared" si="233"/>
        <v>0</v>
      </c>
      <c r="BK1383" s="80"/>
      <c r="BL1383" s="38"/>
      <c r="BW1383" s="38">
        <v>21</v>
      </c>
    </row>
    <row r="1384" spans="1:75" ht="27" customHeight="1">
      <c r="A1384" s="1" t="s">
        <v>2698</v>
      </c>
      <c r="B1384" s="2" t="s">
        <v>93</v>
      </c>
      <c r="C1384" s="2" t="s">
        <v>2693</v>
      </c>
      <c r="D1384" s="108" t="s">
        <v>2694</v>
      </c>
      <c r="E1384" s="103"/>
      <c r="F1384" s="2" t="s">
        <v>214</v>
      </c>
      <c r="G1384" s="38">
        <v>1416</v>
      </c>
      <c r="H1384" s="70">
        <v>0</v>
      </c>
      <c r="I1384" s="38">
        <f t="shared" si="212"/>
        <v>0</v>
      </c>
      <c r="J1384" s="38">
        <v>0</v>
      </c>
      <c r="K1384" s="38">
        <f t="shared" si="213"/>
        <v>0</v>
      </c>
      <c r="L1384" s="71" t="s">
        <v>207</v>
      </c>
      <c r="Z1384" s="38">
        <f t="shared" si="214"/>
        <v>0</v>
      </c>
      <c r="AB1384" s="38">
        <f t="shared" si="215"/>
        <v>0</v>
      </c>
      <c r="AC1384" s="38">
        <f t="shared" si="216"/>
        <v>0</v>
      </c>
      <c r="AD1384" s="38">
        <f t="shared" si="217"/>
        <v>0</v>
      </c>
      <c r="AE1384" s="38">
        <f t="shared" si="218"/>
        <v>0</v>
      </c>
      <c r="AF1384" s="38">
        <f t="shared" si="219"/>
        <v>0</v>
      </c>
      <c r="AG1384" s="38">
        <f t="shared" si="220"/>
        <v>0</v>
      </c>
      <c r="AH1384" s="38">
        <f t="shared" si="221"/>
        <v>0</v>
      </c>
      <c r="AI1384" s="50" t="s">
        <v>93</v>
      </c>
      <c r="AJ1384" s="38">
        <f t="shared" si="222"/>
        <v>0</v>
      </c>
      <c r="AK1384" s="38">
        <f t="shared" si="223"/>
        <v>0</v>
      </c>
      <c r="AL1384" s="38">
        <f t="shared" si="224"/>
        <v>0</v>
      </c>
      <c r="AN1384" s="38">
        <v>21</v>
      </c>
      <c r="AO1384" s="38">
        <f>H1384*0</f>
        <v>0</v>
      </c>
      <c r="AP1384" s="38">
        <f>H1384*(1-0)</f>
        <v>0</v>
      </c>
      <c r="AQ1384" s="72" t="s">
        <v>132</v>
      </c>
      <c r="AV1384" s="38">
        <f t="shared" si="225"/>
        <v>0</v>
      </c>
      <c r="AW1384" s="38">
        <f t="shared" si="226"/>
        <v>0</v>
      </c>
      <c r="AX1384" s="38">
        <f t="shared" si="227"/>
        <v>0</v>
      </c>
      <c r="AY1384" s="72" t="s">
        <v>2561</v>
      </c>
      <c r="AZ1384" s="72" t="s">
        <v>2562</v>
      </c>
      <c r="BA1384" s="50" t="s">
        <v>2563</v>
      </c>
      <c r="BC1384" s="38">
        <f t="shared" si="228"/>
        <v>0</v>
      </c>
      <c r="BD1384" s="38">
        <f t="shared" si="229"/>
        <v>0</v>
      </c>
      <c r="BE1384" s="38">
        <v>0</v>
      </c>
      <c r="BF1384" s="38">
        <f t="shared" si="230"/>
        <v>0</v>
      </c>
      <c r="BH1384" s="38">
        <f t="shared" si="231"/>
        <v>0</v>
      </c>
      <c r="BI1384" s="38">
        <f t="shared" si="232"/>
        <v>0</v>
      </c>
      <c r="BJ1384" s="38">
        <f t="shared" si="233"/>
        <v>0</v>
      </c>
      <c r="BK1384" s="38"/>
      <c r="BL1384" s="38"/>
      <c r="BW1384" s="38">
        <v>21</v>
      </c>
    </row>
    <row r="1385" spans="1:75" ht="13.5" customHeight="1">
      <c r="A1385" s="78" t="s">
        <v>2699</v>
      </c>
      <c r="B1385" s="79" t="s">
        <v>93</v>
      </c>
      <c r="C1385" s="79" t="s">
        <v>2700</v>
      </c>
      <c r="D1385" s="198" t="s">
        <v>2701</v>
      </c>
      <c r="E1385" s="199"/>
      <c r="F1385" s="79" t="s">
        <v>2661</v>
      </c>
      <c r="G1385" s="80">
        <v>1416</v>
      </c>
      <c r="H1385" s="81">
        <v>0</v>
      </c>
      <c r="I1385" s="80">
        <f t="shared" si="212"/>
        <v>0</v>
      </c>
      <c r="J1385" s="80">
        <v>0</v>
      </c>
      <c r="K1385" s="80">
        <f t="shared" si="213"/>
        <v>0</v>
      </c>
      <c r="L1385" s="82" t="s">
        <v>207</v>
      </c>
      <c r="Z1385" s="38">
        <f t="shared" si="214"/>
        <v>0</v>
      </c>
      <c r="AB1385" s="38">
        <f t="shared" si="215"/>
        <v>0</v>
      </c>
      <c r="AC1385" s="38">
        <f t="shared" si="216"/>
        <v>0</v>
      </c>
      <c r="AD1385" s="38">
        <f t="shared" si="217"/>
        <v>0</v>
      </c>
      <c r="AE1385" s="38">
        <f t="shared" si="218"/>
        <v>0</v>
      </c>
      <c r="AF1385" s="38">
        <f t="shared" si="219"/>
        <v>0</v>
      </c>
      <c r="AG1385" s="38">
        <f t="shared" si="220"/>
        <v>0</v>
      </c>
      <c r="AH1385" s="38">
        <f t="shared" si="221"/>
        <v>0</v>
      </c>
      <c r="AI1385" s="50" t="s">
        <v>93</v>
      </c>
      <c r="AJ1385" s="80">
        <f t="shared" si="222"/>
        <v>0</v>
      </c>
      <c r="AK1385" s="80">
        <f t="shared" si="223"/>
        <v>0</v>
      </c>
      <c r="AL1385" s="80">
        <f t="shared" si="224"/>
        <v>0</v>
      </c>
      <c r="AN1385" s="38">
        <v>21</v>
      </c>
      <c r="AO1385" s="38">
        <f>H1385*1</f>
        <v>0</v>
      </c>
      <c r="AP1385" s="38">
        <f>H1385*(1-1)</f>
        <v>0</v>
      </c>
      <c r="AQ1385" s="83" t="s">
        <v>132</v>
      </c>
      <c r="AV1385" s="38">
        <f t="shared" si="225"/>
        <v>0</v>
      </c>
      <c r="AW1385" s="38">
        <f t="shared" si="226"/>
        <v>0</v>
      </c>
      <c r="AX1385" s="38">
        <f t="shared" si="227"/>
        <v>0</v>
      </c>
      <c r="AY1385" s="72" t="s">
        <v>2561</v>
      </c>
      <c r="AZ1385" s="72" t="s">
        <v>2562</v>
      </c>
      <c r="BA1385" s="50" t="s">
        <v>2563</v>
      </c>
      <c r="BC1385" s="38">
        <f t="shared" si="228"/>
        <v>0</v>
      </c>
      <c r="BD1385" s="38">
        <f t="shared" si="229"/>
        <v>0</v>
      </c>
      <c r="BE1385" s="38">
        <v>0</v>
      </c>
      <c r="BF1385" s="38">
        <f t="shared" si="230"/>
        <v>0</v>
      </c>
      <c r="BH1385" s="80">
        <f t="shared" si="231"/>
        <v>0</v>
      </c>
      <c r="BI1385" s="80">
        <f t="shared" si="232"/>
        <v>0</v>
      </c>
      <c r="BJ1385" s="80">
        <f t="shared" si="233"/>
        <v>0</v>
      </c>
      <c r="BK1385" s="80"/>
      <c r="BL1385" s="38"/>
      <c r="BW1385" s="38">
        <v>21</v>
      </c>
    </row>
    <row r="1386" spans="1:75" ht="27" customHeight="1">
      <c r="A1386" s="1" t="s">
        <v>2702</v>
      </c>
      <c r="B1386" s="2" t="s">
        <v>93</v>
      </c>
      <c r="C1386" s="2" t="s">
        <v>2703</v>
      </c>
      <c r="D1386" s="108" t="s">
        <v>2704</v>
      </c>
      <c r="E1386" s="103"/>
      <c r="F1386" s="2" t="s">
        <v>214</v>
      </c>
      <c r="G1386" s="38">
        <v>343</v>
      </c>
      <c r="H1386" s="70">
        <v>0</v>
      </c>
      <c r="I1386" s="38">
        <f t="shared" si="212"/>
        <v>0</v>
      </c>
      <c r="J1386" s="38">
        <v>0</v>
      </c>
      <c r="K1386" s="38">
        <f t="shared" si="213"/>
        <v>0</v>
      </c>
      <c r="L1386" s="71" t="s">
        <v>207</v>
      </c>
      <c r="Z1386" s="38">
        <f t="shared" si="214"/>
        <v>0</v>
      </c>
      <c r="AB1386" s="38">
        <f t="shared" si="215"/>
        <v>0</v>
      </c>
      <c r="AC1386" s="38">
        <f t="shared" si="216"/>
        <v>0</v>
      </c>
      <c r="AD1386" s="38">
        <f t="shared" si="217"/>
        <v>0</v>
      </c>
      <c r="AE1386" s="38">
        <f t="shared" si="218"/>
        <v>0</v>
      </c>
      <c r="AF1386" s="38">
        <f t="shared" si="219"/>
        <v>0</v>
      </c>
      <c r="AG1386" s="38">
        <f t="shared" si="220"/>
        <v>0</v>
      </c>
      <c r="AH1386" s="38">
        <f t="shared" si="221"/>
        <v>0</v>
      </c>
      <c r="AI1386" s="50" t="s">
        <v>93</v>
      </c>
      <c r="AJ1386" s="38">
        <f t="shared" si="222"/>
        <v>0</v>
      </c>
      <c r="AK1386" s="38">
        <f t="shared" si="223"/>
        <v>0</v>
      </c>
      <c r="AL1386" s="38">
        <f t="shared" si="224"/>
        <v>0</v>
      </c>
      <c r="AN1386" s="38">
        <v>21</v>
      </c>
      <c r="AO1386" s="38">
        <f>H1386*0</f>
        <v>0</v>
      </c>
      <c r="AP1386" s="38">
        <f>H1386*(1-0)</f>
        <v>0</v>
      </c>
      <c r="AQ1386" s="72" t="s">
        <v>132</v>
      </c>
      <c r="AV1386" s="38">
        <f t="shared" si="225"/>
        <v>0</v>
      </c>
      <c r="AW1386" s="38">
        <f t="shared" si="226"/>
        <v>0</v>
      </c>
      <c r="AX1386" s="38">
        <f t="shared" si="227"/>
        <v>0</v>
      </c>
      <c r="AY1386" s="72" t="s">
        <v>2561</v>
      </c>
      <c r="AZ1386" s="72" t="s">
        <v>2562</v>
      </c>
      <c r="BA1386" s="50" t="s">
        <v>2563</v>
      </c>
      <c r="BC1386" s="38">
        <f t="shared" si="228"/>
        <v>0</v>
      </c>
      <c r="BD1386" s="38">
        <f t="shared" si="229"/>
        <v>0</v>
      </c>
      <c r="BE1386" s="38">
        <v>0</v>
      </c>
      <c r="BF1386" s="38">
        <f t="shared" si="230"/>
        <v>0</v>
      </c>
      <c r="BH1386" s="38">
        <f t="shared" si="231"/>
        <v>0</v>
      </c>
      <c r="BI1386" s="38">
        <f t="shared" si="232"/>
        <v>0</v>
      </c>
      <c r="BJ1386" s="38">
        <f t="shared" si="233"/>
        <v>0</v>
      </c>
      <c r="BK1386" s="38"/>
      <c r="BL1386" s="38"/>
      <c r="BW1386" s="38">
        <v>21</v>
      </c>
    </row>
    <row r="1387" spans="1:75" ht="13.5" customHeight="1">
      <c r="A1387" s="78" t="s">
        <v>2705</v>
      </c>
      <c r="B1387" s="79" t="s">
        <v>93</v>
      </c>
      <c r="C1387" s="79" t="s">
        <v>2706</v>
      </c>
      <c r="D1387" s="198" t="s">
        <v>2707</v>
      </c>
      <c r="E1387" s="199"/>
      <c r="F1387" s="79" t="s">
        <v>2661</v>
      </c>
      <c r="G1387" s="80">
        <v>220</v>
      </c>
      <c r="H1387" s="81">
        <v>0</v>
      </c>
      <c r="I1387" s="80">
        <f t="shared" si="212"/>
        <v>0</v>
      </c>
      <c r="J1387" s="80">
        <v>0</v>
      </c>
      <c r="K1387" s="80">
        <f t="shared" si="213"/>
        <v>0</v>
      </c>
      <c r="L1387" s="82" t="s">
        <v>207</v>
      </c>
      <c r="Z1387" s="38">
        <f t="shared" si="214"/>
        <v>0</v>
      </c>
      <c r="AB1387" s="38">
        <f t="shared" si="215"/>
        <v>0</v>
      </c>
      <c r="AC1387" s="38">
        <f t="shared" si="216"/>
        <v>0</v>
      </c>
      <c r="AD1387" s="38">
        <f t="shared" si="217"/>
        <v>0</v>
      </c>
      <c r="AE1387" s="38">
        <f t="shared" si="218"/>
        <v>0</v>
      </c>
      <c r="AF1387" s="38">
        <f t="shared" si="219"/>
        <v>0</v>
      </c>
      <c r="AG1387" s="38">
        <f t="shared" si="220"/>
        <v>0</v>
      </c>
      <c r="AH1387" s="38">
        <f t="shared" si="221"/>
        <v>0</v>
      </c>
      <c r="AI1387" s="50" t="s">
        <v>93</v>
      </c>
      <c r="AJ1387" s="80">
        <f t="shared" si="222"/>
        <v>0</v>
      </c>
      <c r="AK1387" s="80">
        <f t="shared" si="223"/>
        <v>0</v>
      </c>
      <c r="AL1387" s="80">
        <f t="shared" si="224"/>
        <v>0</v>
      </c>
      <c r="AN1387" s="38">
        <v>21</v>
      </c>
      <c r="AO1387" s="38">
        <f>H1387*1</f>
        <v>0</v>
      </c>
      <c r="AP1387" s="38">
        <f>H1387*(1-1)</f>
        <v>0</v>
      </c>
      <c r="AQ1387" s="83" t="s">
        <v>132</v>
      </c>
      <c r="AV1387" s="38">
        <f t="shared" si="225"/>
        <v>0</v>
      </c>
      <c r="AW1387" s="38">
        <f t="shared" si="226"/>
        <v>0</v>
      </c>
      <c r="AX1387" s="38">
        <f t="shared" si="227"/>
        <v>0</v>
      </c>
      <c r="AY1387" s="72" t="s">
        <v>2561</v>
      </c>
      <c r="AZ1387" s="72" t="s">
        <v>2562</v>
      </c>
      <c r="BA1387" s="50" t="s">
        <v>2563</v>
      </c>
      <c r="BC1387" s="38">
        <f t="shared" si="228"/>
        <v>0</v>
      </c>
      <c r="BD1387" s="38">
        <f t="shared" si="229"/>
        <v>0</v>
      </c>
      <c r="BE1387" s="38">
        <v>0</v>
      </c>
      <c r="BF1387" s="38">
        <f t="shared" si="230"/>
        <v>0</v>
      </c>
      <c r="BH1387" s="80">
        <f t="shared" si="231"/>
        <v>0</v>
      </c>
      <c r="BI1387" s="80">
        <f t="shared" si="232"/>
        <v>0</v>
      </c>
      <c r="BJ1387" s="80">
        <f t="shared" si="233"/>
        <v>0</v>
      </c>
      <c r="BK1387" s="80"/>
      <c r="BL1387" s="38"/>
      <c r="BW1387" s="38">
        <v>21</v>
      </c>
    </row>
    <row r="1388" spans="1:75" ht="13.5" customHeight="1">
      <c r="A1388" s="78" t="s">
        <v>2708</v>
      </c>
      <c r="B1388" s="79" t="s">
        <v>93</v>
      </c>
      <c r="C1388" s="79" t="s">
        <v>2709</v>
      </c>
      <c r="D1388" s="198" t="s">
        <v>2710</v>
      </c>
      <c r="E1388" s="199"/>
      <c r="F1388" s="79" t="s">
        <v>2661</v>
      </c>
      <c r="G1388" s="80">
        <v>123</v>
      </c>
      <c r="H1388" s="81">
        <v>0</v>
      </c>
      <c r="I1388" s="80">
        <f t="shared" si="212"/>
        <v>0</v>
      </c>
      <c r="J1388" s="80">
        <v>0</v>
      </c>
      <c r="K1388" s="80">
        <f t="shared" si="213"/>
        <v>0</v>
      </c>
      <c r="L1388" s="82" t="s">
        <v>207</v>
      </c>
      <c r="Z1388" s="38">
        <f t="shared" si="214"/>
        <v>0</v>
      </c>
      <c r="AB1388" s="38">
        <f t="shared" si="215"/>
        <v>0</v>
      </c>
      <c r="AC1388" s="38">
        <f t="shared" si="216"/>
        <v>0</v>
      </c>
      <c r="AD1388" s="38">
        <f t="shared" si="217"/>
        <v>0</v>
      </c>
      <c r="AE1388" s="38">
        <f t="shared" si="218"/>
        <v>0</v>
      </c>
      <c r="AF1388" s="38">
        <f t="shared" si="219"/>
        <v>0</v>
      </c>
      <c r="AG1388" s="38">
        <f t="shared" si="220"/>
        <v>0</v>
      </c>
      <c r="AH1388" s="38">
        <f t="shared" si="221"/>
        <v>0</v>
      </c>
      <c r="AI1388" s="50" t="s">
        <v>93</v>
      </c>
      <c r="AJ1388" s="80">
        <f t="shared" si="222"/>
        <v>0</v>
      </c>
      <c r="AK1388" s="80">
        <f t="shared" si="223"/>
        <v>0</v>
      </c>
      <c r="AL1388" s="80">
        <f t="shared" si="224"/>
        <v>0</v>
      </c>
      <c r="AN1388" s="38">
        <v>21</v>
      </c>
      <c r="AO1388" s="38">
        <f>H1388*1</f>
        <v>0</v>
      </c>
      <c r="AP1388" s="38">
        <f>H1388*(1-1)</f>
        <v>0</v>
      </c>
      <c r="AQ1388" s="83" t="s">
        <v>132</v>
      </c>
      <c r="AV1388" s="38">
        <f t="shared" si="225"/>
        <v>0</v>
      </c>
      <c r="AW1388" s="38">
        <f t="shared" si="226"/>
        <v>0</v>
      </c>
      <c r="AX1388" s="38">
        <f t="shared" si="227"/>
        <v>0</v>
      </c>
      <c r="AY1388" s="72" t="s">
        <v>2561</v>
      </c>
      <c r="AZ1388" s="72" t="s">
        <v>2562</v>
      </c>
      <c r="BA1388" s="50" t="s">
        <v>2563</v>
      </c>
      <c r="BC1388" s="38">
        <f t="shared" si="228"/>
        <v>0</v>
      </c>
      <c r="BD1388" s="38">
        <f t="shared" si="229"/>
        <v>0</v>
      </c>
      <c r="BE1388" s="38">
        <v>0</v>
      </c>
      <c r="BF1388" s="38">
        <f t="shared" si="230"/>
        <v>0</v>
      </c>
      <c r="BH1388" s="80">
        <f t="shared" si="231"/>
        <v>0</v>
      </c>
      <c r="BI1388" s="80">
        <f t="shared" si="232"/>
        <v>0</v>
      </c>
      <c r="BJ1388" s="80">
        <f t="shared" si="233"/>
        <v>0</v>
      </c>
      <c r="BK1388" s="80"/>
      <c r="BL1388" s="38"/>
      <c r="BW1388" s="38">
        <v>21</v>
      </c>
    </row>
    <row r="1389" spans="1:75" ht="27" customHeight="1">
      <c r="A1389" s="1" t="s">
        <v>2711</v>
      </c>
      <c r="B1389" s="2" t="s">
        <v>93</v>
      </c>
      <c r="C1389" s="2" t="s">
        <v>2712</v>
      </c>
      <c r="D1389" s="108" t="s">
        <v>2713</v>
      </c>
      <c r="E1389" s="103"/>
      <c r="F1389" s="2" t="s">
        <v>214</v>
      </c>
      <c r="G1389" s="38">
        <v>105</v>
      </c>
      <c r="H1389" s="70">
        <v>0</v>
      </c>
      <c r="I1389" s="38">
        <f t="shared" si="212"/>
        <v>0</v>
      </c>
      <c r="J1389" s="38">
        <v>0</v>
      </c>
      <c r="K1389" s="38">
        <f t="shared" si="213"/>
        <v>0</v>
      </c>
      <c r="L1389" s="71" t="s">
        <v>207</v>
      </c>
      <c r="Z1389" s="38">
        <f t="shared" si="214"/>
        <v>0</v>
      </c>
      <c r="AB1389" s="38">
        <f t="shared" si="215"/>
        <v>0</v>
      </c>
      <c r="AC1389" s="38">
        <f t="shared" si="216"/>
        <v>0</v>
      </c>
      <c r="AD1389" s="38">
        <f t="shared" si="217"/>
        <v>0</v>
      </c>
      <c r="AE1389" s="38">
        <f t="shared" si="218"/>
        <v>0</v>
      </c>
      <c r="AF1389" s="38">
        <f t="shared" si="219"/>
        <v>0</v>
      </c>
      <c r="AG1389" s="38">
        <f t="shared" si="220"/>
        <v>0</v>
      </c>
      <c r="AH1389" s="38">
        <f t="shared" si="221"/>
        <v>0</v>
      </c>
      <c r="AI1389" s="50" t="s">
        <v>93</v>
      </c>
      <c r="AJ1389" s="38">
        <f t="shared" si="222"/>
        <v>0</v>
      </c>
      <c r="AK1389" s="38">
        <f t="shared" si="223"/>
        <v>0</v>
      </c>
      <c r="AL1389" s="38">
        <f t="shared" si="224"/>
        <v>0</v>
      </c>
      <c r="AN1389" s="38">
        <v>21</v>
      </c>
      <c r="AO1389" s="38">
        <f>H1389*0</f>
        <v>0</v>
      </c>
      <c r="AP1389" s="38">
        <f>H1389*(1-0)</f>
        <v>0</v>
      </c>
      <c r="AQ1389" s="72" t="s">
        <v>132</v>
      </c>
      <c r="AV1389" s="38">
        <f t="shared" si="225"/>
        <v>0</v>
      </c>
      <c r="AW1389" s="38">
        <f t="shared" si="226"/>
        <v>0</v>
      </c>
      <c r="AX1389" s="38">
        <f t="shared" si="227"/>
        <v>0</v>
      </c>
      <c r="AY1389" s="72" t="s">
        <v>2561</v>
      </c>
      <c r="AZ1389" s="72" t="s">
        <v>2562</v>
      </c>
      <c r="BA1389" s="50" t="s">
        <v>2563</v>
      </c>
      <c r="BC1389" s="38">
        <f t="shared" si="228"/>
        <v>0</v>
      </c>
      <c r="BD1389" s="38">
        <f t="shared" si="229"/>
        <v>0</v>
      </c>
      <c r="BE1389" s="38">
        <v>0</v>
      </c>
      <c r="BF1389" s="38">
        <f t="shared" si="230"/>
        <v>0</v>
      </c>
      <c r="BH1389" s="38">
        <f t="shared" si="231"/>
        <v>0</v>
      </c>
      <c r="BI1389" s="38">
        <f t="shared" si="232"/>
        <v>0</v>
      </c>
      <c r="BJ1389" s="38">
        <f t="shared" si="233"/>
        <v>0</v>
      </c>
      <c r="BK1389" s="38"/>
      <c r="BL1389" s="38"/>
      <c r="BW1389" s="38">
        <v>21</v>
      </c>
    </row>
    <row r="1390" spans="1:75" ht="13.5" customHeight="1">
      <c r="A1390" s="78" t="s">
        <v>2714</v>
      </c>
      <c r="B1390" s="79" t="s">
        <v>93</v>
      </c>
      <c r="C1390" s="79" t="s">
        <v>2715</v>
      </c>
      <c r="D1390" s="198" t="s">
        <v>2716</v>
      </c>
      <c r="E1390" s="199"/>
      <c r="F1390" s="79" t="s">
        <v>2661</v>
      </c>
      <c r="G1390" s="80">
        <v>105</v>
      </c>
      <c r="H1390" s="81">
        <v>0</v>
      </c>
      <c r="I1390" s="80">
        <f t="shared" si="212"/>
        <v>0</v>
      </c>
      <c r="J1390" s="80">
        <v>0</v>
      </c>
      <c r="K1390" s="80">
        <f t="shared" si="213"/>
        <v>0</v>
      </c>
      <c r="L1390" s="82" t="s">
        <v>207</v>
      </c>
      <c r="Z1390" s="38">
        <f t="shared" si="214"/>
        <v>0</v>
      </c>
      <c r="AB1390" s="38">
        <f t="shared" si="215"/>
        <v>0</v>
      </c>
      <c r="AC1390" s="38">
        <f t="shared" si="216"/>
        <v>0</v>
      </c>
      <c r="AD1390" s="38">
        <f t="shared" si="217"/>
        <v>0</v>
      </c>
      <c r="AE1390" s="38">
        <f t="shared" si="218"/>
        <v>0</v>
      </c>
      <c r="AF1390" s="38">
        <f t="shared" si="219"/>
        <v>0</v>
      </c>
      <c r="AG1390" s="38">
        <f t="shared" si="220"/>
        <v>0</v>
      </c>
      <c r="AH1390" s="38">
        <f t="shared" si="221"/>
        <v>0</v>
      </c>
      <c r="AI1390" s="50" t="s">
        <v>93</v>
      </c>
      <c r="AJ1390" s="80">
        <f t="shared" si="222"/>
        <v>0</v>
      </c>
      <c r="AK1390" s="80">
        <f t="shared" si="223"/>
        <v>0</v>
      </c>
      <c r="AL1390" s="80">
        <f t="shared" si="224"/>
        <v>0</v>
      </c>
      <c r="AN1390" s="38">
        <v>21</v>
      </c>
      <c r="AO1390" s="38">
        <f>H1390*1</f>
        <v>0</v>
      </c>
      <c r="AP1390" s="38">
        <f>H1390*(1-1)</f>
        <v>0</v>
      </c>
      <c r="AQ1390" s="83" t="s">
        <v>132</v>
      </c>
      <c r="AV1390" s="38">
        <f t="shared" si="225"/>
        <v>0</v>
      </c>
      <c r="AW1390" s="38">
        <f t="shared" si="226"/>
        <v>0</v>
      </c>
      <c r="AX1390" s="38">
        <f t="shared" si="227"/>
        <v>0</v>
      </c>
      <c r="AY1390" s="72" t="s">
        <v>2561</v>
      </c>
      <c r="AZ1390" s="72" t="s">
        <v>2562</v>
      </c>
      <c r="BA1390" s="50" t="s">
        <v>2563</v>
      </c>
      <c r="BC1390" s="38">
        <f t="shared" si="228"/>
        <v>0</v>
      </c>
      <c r="BD1390" s="38">
        <f t="shared" si="229"/>
        <v>0</v>
      </c>
      <c r="BE1390" s="38">
        <v>0</v>
      </c>
      <c r="BF1390" s="38">
        <f t="shared" si="230"/>
        <v>0</v>
      </c>
      <c r="BH1390" s="80">
        <f t="shared" si="231"/>
        <v>0</v>
      </c>
      <c r="BI1390" s="80">
        <f t="shared" si="232"/>
        <v>0</v>
      </c>
      <c r="BJ1390" s="80">
        <f t="shared" si="233"/>
        <v>0</v>
      </c>
      <c r="BK1390" s="80"/>
      <c r="BL1390" s="38"/>
      <c r="BW1390" s="38">
        <v>21</v>
      </c>
    </row>
    <row r="1391" spans="1:75" ht="27" customHeight="1">
      <c r="A1391" s="1" t="s">
        <v>2717</v>
      </c>
      <c r="B1391" s="2" t="s">
        <v>93</v>
      </c>
      <c r="C1391" s="2" t="s">
        <v>2718</v>
      </c>
      <c r="D1391" s="108" t="s">
        <v>2719</v>
      </c>
      <c r="E1391" s="103"/>
      <c r="F1391" s="2" t="s">
        <v>214</v>
      </c>
      <c r="G1391" s="38">
        <v>60</v>
      </c>
      <c r="H1391" s="70">
        <v>0</v>
      </c>
      <c r="I1391" s="38">
        <f t="shared" si="212"/>
        <v>0</v>
      </c>
      <c r="J1391" s="38">
        <v>0</v>
      </c>
      <c r="K1391" s="38">
        <f t="shared" si="213"/>
        <v>0</v>
      </c>
      <c r="L1391" s="71" t="s">
        <v>207</v>
      </c>
      <c r="Z1391" s="38">
        <f t="shared" si="214"/>
        <v>0</v>
      </c>
      <c r="AB1391" s="38">
        <f t="shared" si="215"/>
        <v>0</v>
      </c>
      <c r="AC1391" s="38">
        <f t="shared" si="216"/>
        <v>0</v>
      </c>
      <c r="AD1391" s="38">
        <f t="shared" si="217"/>
        <v>0</v>
      </c>
      <c r="AE1391" s="38">
        <f t="shared" si="218"/>
        <v>0</v>
      </c>
      <c r="AF1391" s="38">
        <f t="shared" si="219"/>
        <v>0</v>
      </c>
      <c r="AG1391" s="38">
        <f t="shared" si="220"/>
        <v>0</v>
      </c>
      <c r="AH1391" s="38">
        <f t="shared" si="221"/>
        <v>0</v>
      </c>
      <c r="AI1391" s="50" t="s">
        <v>93</v>
      </c>
      <c r="AJ1391" s="38">
        <f t="shared" si="222"/>
        <v>0</v>
      </c>
      <c r="AK1391" s="38">
        <f t="shared" si="223"/>
        <v>0</v>
      </c>
      <c r="AL1391" s="38">
        <f t="shared" si="224"/>
        <v>0</v>
      </c>
      <c r="AN1391" s="38">
        <v>21</v>
      </c>
      <c r="AO1391" s="38">
        <f>H1391*0</f>
        <v>0</v>
      </c>
      <c r="AP1391" s="38">
        <f>H1391*(1-0)</f>
        <v>0</v>
      </c>
      <c r="AQ1391" s="72" t="s">
        <v>132</v>
      </c>
      <c r="AV1391" s="38">
        <f t="shared" si="225"/>
        <v>0</v>
      </c>
      <c r="AW1391" s="38">
        <f t="shared" si="226"/>
        <v>0</v>
      </c>
      <c r="AX1391" s="38">
        <f t="shared" si="227"/>
        <v>0</v>
      </c>
      <c r="AY1391" s="72" t="s">
        <v>2561</v>
      </c>
      <c r="AZ1391" s="72" t="s">
        <v>2562</v>
      </c>
      <c r="BA1391" s="50" t="s">
        <v>2563</v>
      </c>
      <c r="BC1391" s="38">
        <f t="shared" si="228"/>
        <v>0</v>
      </c>
      <c r="BD1391" s="38">
        <f t="shared" si="229"/>
        <v>0</v>
      </c>
      <c r="BE1391" s="38">
        <v>0</v>
      </c>
      <c r="BF1391" s="38">
        <f t="shared" si="230"/>
        <v>0</v>
      </c>
      <c r="BH1391" s="38">
        <f t="shared" si="231"/>
        <v>0</v>
      </c>
      <c r="BI1391" s="38">
        <f t="shared" si="232"/>
        <v>0</v>
      </c>
      <c r="BJ1391" s="38">
        <f t="shared" si="233"/>
        <v>0</v>
      </c>
      <c r="BK1391" s="38"/>
      <c r="BL1391" s="38"/>
      <c r="BW1391" s="38">
        <v>21</v>
      </c>
    </row>
    <row r="1392" spans="1:75" ht="13.5" customHeight="1">
      <c r="A1392" s="78" t="s">
        <v>2720</v>
      </c>
      <c r="B1392" s="79" t="s">
        <v>93</v>
      </c>
      <c r="C1392" s="79" t="s">
        <v>2721</v>
      </c>
      <c r="D1392" s="198" t="s">
        <v>2722</v>
      </c>
      <c r="E1392" s="199"/>
      <c r="F1392" s="79" t="s">
        <v>2661</v>
      </c>
      <c r="G1392" s="80">
        <v>60</v>
      </c>
      <c r="H1392" s="81">
        <v>0</v>
      </c>
      <c r="I1392" s="80">
        <f t="shared" si="212"/>
        <v>0</v>
      </c>
      <c r="J1392" s="80">
        <v>0</v>
      </c>
      <c r="K1392" s="80">
        <f t="shared" si="213"/>
        <v>0</v>
      </c>
      <c r="L1392" s="82" t="s">
        <v>207</v>
      </c>
      <c r="Z1392" s="38">
        <f t="shared" si="214"/>
        <v>0</v>
      </c>
      <c r="AB1392" s="38">
        <f t="shared" si="215"/>
        <v>0</v>
      </c>
      <c r="AC1392" s="38">
        <f t="shared" si="216"/>
        <v>0</v>
      </c>
      <c r="AD1392" s="38">
        <f t="shared" si="217"/>
        <v>0</v>
      </c>
      <c r="AE1392" s="38">
        <f t="shared" si="218"/>
        <v>0</v>
      </c>
      <c r="AF1392" s="38">
        <f t="shared" si="219"/>
        <v>0</v>
      </c>
      <c r="AG1392" s="38">
        <f t="shared" si="220"/>
        <v>0</v>
      </c>
      <c r="AH1392" s="38">
        <f t="shared" si="221"/>
        <v>0</v>
      </c>
      <c r="AI1392" s="50" t="s">
        <v>93</v>
      </c>
      <c r="AJ1392" s="80">
        <f t="shared" si="222"/>
        <v>0</v>
      </c>
      <c r="AK1392" s="80">
        <f t="shared" si="223"/>
        <v>0</v>
      </c>
      <c r="AL1392" s="80">
        <f t="shared" si="224"/>
        <v>0</v>
      </c>
      <c r="AN1392" s="38">
        <v>21</v>
      </c>
      <c r="AO1392" s="38">
        <f>H1392*1</f>
        <v>0</v>
      </c>
      <c r="AP1392" s="38">
        <f>H1392*(1-1)</f>
        <v>0</v>
      </c>
      <c r="AQ1392" s="83" t="s">
        <v>132</v>
      </c>
      <c r="AV1392" s="38">
        <f t="shared" si="225"/>
        <v>0</v>
      </c>
      <c r="AW1392" s="38">
        <f t="shared" si="226"/>
        <v>0</v>
      </c>
      <c r="AX1392" s="38">
        <f t="shared" si="227"/>
        <v>0</v>
      </c>
      <c r="AY1392" s="72" t="s">
        <v>2561</v>
      </c>
      <c r="AZ1392" s="72" t="s">
        <v>2562</v>
      </c>
      <c r="BA1392" s="50" t="s">
        <v>2563</v>
      </c>
      <c r="BC1392" s="38">
        <f t="shared" si="228"/>
        <v>0</v>
      </c>
      <c r="BD1392" s="38">
        <f t="shared" si="229"/>
        <v>0</v>
      </c>
      <c r="BE1392" s="38">
        <v>0</v>
      </c>
      <c r="BF1392" s="38">
        <f t="shared" si="230"/>
        <v>0</v>
      </c>
      <c r="BH1392" s="80">
        <f t="shared" si="231"/>
        <v>0</v>
      </c>
      <c r="BI1392" s="80">
        <f t="shared" si="232"/>
        <v>0</v>
      </c>
      <c r="BJ1392" s="80">
        <f t="shared" si="233"/>
        <v>0</v>
      </c>
      <c r="BK1392" s="80"/>
      <c r="BL1392" s="38"/>
      <c r="BW1392" s="38">
        <v>21</v>
      </c>
    </row>
    <row r="1393" spans="1:75" ht="27" customHeight="1">
      <c r="A1393" s="1" t="s">
        <v>2723</v>
      </c>
      <c r="B1393" s="2" t="s">
        <v>93</v>
      </c>
      <c r="C1393" s="2" t="s">
        <v>2724</v>
      </c>
      <c r="D1393" s="108" t="s">
        <v>2725</v>
      </c>
      <c r="E1393" s="103"/>
      <c r="F1393" s="2" t="s">
        <v>214</v>
      </c>
      <c r="G1393" s="38">
        <v>60</v>
      </c>
      <c r="H1393" s="70">
        <v>0</v>
      </c>
      <c r="I1393" s="38">
        <f t="shared" si="212"/>
        <v>0</v>
      </c>
      <c r="J1393" s="38">
        <v>0</v>
      </c>
      <c r="K1393" s="38">
        <f t="shared" si="213"/>
        <v>0</v>
      </c>
      <c r="L1393" s="71" t="s">
        <v>207</v>
      </c>
      <c r="Z1393" s="38">
        <f t="shared" si="214"/>
        <v>0</v>
      </c>
      <c r="AB1393" s="38">
        <f t="shared" si="215"/>
        <v>0</v>
      </c>
      <c r="AC1393" s="38">
        <f t="shared" si="216"/>
        <v>0</v>
      </c>
      <c r="AD1393" s="38">
        <f t="shared" si="217"/>
        <v>0</v>
      </c>
      <c r="AE1393" s="38">
        <f t="shared" si="218"/>
        <v>0</v>
      </c>
      <c r="AF1393" s="38">
        <f t="shared" si="219"/>
        <v>0</v>
      </c>
      <c r="AG1393" s="38">
        <f t="shared" si="220"/>
        <v>0</v>
      </c>
      <c r="AH1393" s="38">
        <f t="shared" si="221"/>
        <v>0</v>
      </c>
      <c r="AI1393" s="50" t="s">
        <v>93</v>
      </c>
      <c r="AJ1393" s="38">
        <f t="shared" si="222"/>
        <v>0</v>
      </c>
      <c r="AK1393" s="38">
        <f t="shared" si="223"/>
        <v>0</v>
      </c>
      <c r="AL1393" s="38">
        <f t="shared" si="224"/>
        <v>0</v>
      </c>
      <c r="AN1393" s="38">
        <v>21</v>
      </c>
      <c r="AO1393" s="38">
        <f>H1393*0</f>
        <v>0</v>
      </c>
      <c r="AP1393" s="38">
        <f>H1393*(1-0)</f>
        <v>0</v>
      </c>
      <c r="AQ1393" s="72" t="s">
        <v>132</v>
      </c>
      <c r="AV1393" s="38">
        <f t="shared" si="225"/>
        <v>0</v>
      </c>
      <c r="AW1393" s="38">
        <f t="shared" si="226"/>
        <v>0</v>
      </c>
      <c r="AX1393" s="38">
        <f t="shared" si="227"/>
        <v>0</v>
      </c>
      <c r="AY1393" s="72" t="s">
        <v>2561</v>
      </c>
      <c r="AZ1393" s="72" t="s">
        <v>2562</v>
      </c>
      <c r="BA1393" s="50" t="s">
        <v>2563</v>
      </c>
      <c r="BC1393" s="38">
        <f t="shared" si="228"/>
        <v>0</v>
      </c>
      <c r="BD1393" s="38">
        <f t="shared" si="229"/>
        <v>0</v>
      </c>
      <c r="BE1393" s="38">
        <v>0</v>
      </c>
      <c r="BF1393" s="38">
        <f t="shared" si="230"/>
        <v>0</v>
      </c>
      <c r="BH1393" s="38">
        <f t="shared" si="231"/>
        <v>0</v>
      </c>
      <c r="BI1393" s="38">
        <f t="shared" si="232"/>
        <v>0</v>
      </c>
      <c r="BJ1393" s="38">
        <f t="shared" si="233"/>
        <v>0</v>
      </c>
      <c r="BK1393" s="38"/>
      <c r="BL1393" s="38"/>
      <c r="BW1393" s="38">
        <v>21</v>
      </c>
    </row>
    <row r="1394" spans="1:75" ht="13.5" customHeight="1">
      <c r="A1394" s="78" t="s">
        <v>2726</v>
      </c>
      <c r="B1394" s="79" t="s">
        <v>93</v>
      </c>
      <c r="C1394" s="79" t="s">
        <v>2727</v>
      </c>
      <c r="D1394" s="198" t="s">
        <v>2728</v>
      </c>
      <c r="E1394" s="199"/>
      <c r="F1394" s="79" t="s">
        <v>2661</v>
      </c>
      <c r="G1394" s="80">
        <v>60</v>
      </c>
      <c r="H1394" s="81">
        <v>0</v>
      </c>
      <c r="I1394" s="80">
        <f t="shared" si="212"/>
        <v>0</v>
      </c>
      <c r="J1394" s="80">
        <v>0</v>
      </c>
      <c r="K1394" s="80">
        <f t="shared" si="213"/>
        <v>0</v>
      </c>
      <c r="L1394" s="82" t="s">
        <v>207</v>
      </c>
      <c r="Z1394" s="38">
        <f t="shared" si="214"/>
        <v>0</v>
      </c>
      <c r="AB1394" s="38">
        <f t="shared" si="215"/>
        <v>0</v>
      </c>
      <c r="AC1394" s="38">
        <f t="shared" si="216"/>
        <v>0</v>
      </c>
      <c r="AD1394" s="38">
        <f t="shared" si="217"/>
        <v>0</v>
      </c>
      <c r="AE1394" s="38">
        <f t="shared" si="218"/>
        <v>0</v>
      </c>
      <c r="AF1394" s="38">
        <f t="shared" si="219"/>
        <v>0</v>
      </c>
      <c r="AG1394" s="38">
        <f t="shared" si="220"/>
        <v>0</v>
      </c>
      <c r="AH1394" s="38">
        <f t="shared" si="221"/>
        <v>0</v>
      </c>
      <c r="AI1394" s="50" t="s">
        <v>93</v>
      </c>
      <c r="AJ1394" s="80">
        <f t="shared" si="222"/>
        <v>0</v>
      </c>
      <c r="AK1394" s="80">
        <f t="shared" si="223"/>
        <v>0</v>
      </c>
      <c r="AL1394" s="80">
        <f t="shared" si="224"/>
        <v>0</v>
      </c>
      <c r="AN1394" s="38">
        <v>21</v>
      </c>
      <c r="AO1394" s="38">
        <f>H1394*1</f>
        <v>0</v>
      </c>
      <c r="AP1394" s="38">
        <f>H1394*(1-1)</f>
        <v>0</v>
      </c>
      <c r="AQ1394" s="83" t="s">
        <v>132</v>
      </c>
      <c r="AV1394" s="38">
        <f t="shared" si="225"/>
        <v>0</v>
      </c>
      <c r="AW1394" s="38">
        <f t="shared" si="226"/>
        <v>0</v>
      </c>
      <c r="AX1394" s="38">
        <f t="shared" si="227"/>
        <v>0</v>
      </c>
      <c r="AY1394" s="72" t="s">
        <v>2561</v>
      </c>
      <c r="AZ1394" s="72" t="s">
        <v>2562</v>
      </c>
      <c r="BA1394" s="50" t="s">
        <v>2563</v>
      </c>
      <c r="BC1394" s="38">
        <f t="shared" si="228"/>
        <v>0</v>
      </c>
      <c r="BD1394" s="38">
        <f t="shared" si="229"/>
        <v>0</v>
      </c>
      <c r="BE1394" s="38">
        <v>0</v>
      </c>
      <c r="BF1394" s="38">
        <f t="shared" si="230"/>
        <v>0</v>
      </c>
      <c r="BH1394" s="80">
        <f t="shared" si="231"/>
        <v>0</v>
      </c>
      <c r="BI1394" s="80">
        <f t="shared" si="232"/>
        <v>0</v>
      </c>
      <c r="BJ1394" s="80">
        <f t="shared" si="233"/>
        <v>0</v>
      </c>
      <c r="BK1394" s="80"/>
      <c r="BL1394" s="38"/>
      <c r="BW1394" s="38">
        <v>21</v>
      </c>
    </row>
    <row r="1395" spans="1:75" ht="27" customHeight="1">
      <c r="A1395" s="1" t="s">
        <v>2729</v>
      </c>
      <c r="B1395" s="2" t="s">
        <v>93</v>
      </c>
      <c r="C1395" s="2" t="s">
        <v>2687</v>
      </c>
      <c r="D1395" s="108" t="s">
        <v>2688</v>
      </c>
      <c r="E1395" s="103"/>
      <c r="F1395" s="2" t="s">
        <v>214</v>
      </c>
      <c r="G1395" s="38">
        <v>70</v>
      </c>
      <c r="H1395" s="70">
        <v>0</v>
      </c>
      <c r="I1395" s="38">
        <f t="shared" si="212"/>
        <v>0</v>
      </c>
      <c r="J1395" s="38">
        <v>0</v>
      </c>
      <c r="K1395" s="38">
        <f t="shared" si="213"/>
        <v>0</v>
      </c>
      <c r="L1395" s="71" t="s">
        <v>207</v>
      </c>
      <c r="Z1395" s="38">
        <f t="shared" si="214"/>
        <v>0</v>
      </c>
      <c r="AB1395" s="38">
        <f t="shared" si="215"/>
        <v>0</v>
      </c>
      <c r="AC1395" s="38">
        <f t="shared" si="216"/>
        <v>0</v>
      </c>
      <c r="AD1395" s="38">
        <f t="shared" si="217"/>
        <v>0</v>
      </c>
      <c r="AE1395" s="38">
        <f t="shared" si="218"/>
        <v>0</v>
      </c>
      <c r="AF1395" s="38">
        <f t="shared" si="219"/>
        <v>0</v>
      </c>
      <c r="AG1395" s="38">
        <f t="shared" si="220"/>
        <v>0</v>
      </c>
      <c r="AH1395" s="38">
        <f t="shared" si="221"/>
        <v>0</v>
      </c>
      <c r="AI1395" s="50" t="s">
        <v>93</v>
      </c>
      <c r="AJ1395" s="38">
        <f t="shared" si="222"/>
        <v>0</v>
      </c>
      <c r="AK1395" s="38">
        <f t="shared" si="223"/>
        <v>0</v>
      </c>
      <c r="AL1395" s="38">
        <f t="shared" si="224"/>
        <v>0</v>
      </c>
      <c r="AN1395" s="38">
        <v>21</v>
      </c>
      <c r="AO1395" s="38">
        <f>H1395*0</f>
        <v>0</v>
      </c>
      <c r="AP1395" s="38">
        <f>H1395*(1-0)</f>
        <v>0</v>
      </c>
      <c r="AQ1395" s="72" t="s">
        <v>132</v>
      </c>
      <c r="AV1395" s="38">
        <f t="shared" si="225"/>
        <v>0</v>
      </c>
      <c r="AW1395" s="38">
        <f t="shared" si="226"/>
        <v>0</v>
      </c>
      <c r="AX1395" s="38">
        <f t="shared" si="227"/>
        <v>0</v>
      </c>
      <c r="AY1395" s="72" t="s">
        <v>2561</v>
      </c>
      <c r="AZ1395" s="72" t="s">
        <v>2562</v>
      </c>
      <c r="BA1395" s="50" t="s">
        <v>2563</v>
      </c>
      <c r="BC1395" s="38">
        <f t="shared" si="228"/>
        <v>0</v>
      </c>
      <c r="BD1395" s="38">
        <f t="shared" si="229"/>
        <v>0</v>
      </c>
      <c r="BE1395" s="38">
        <v>0</v>
      </c>
      <c r="BF1395" s="38">
        <f t="shared" si="230"/>
        <v>0</v>
      </c>
      <c r="BH1395" s="38">
        <f t="shared" si="231"/>
        <v>0</v>
      </c>
      <c r="BI1395" s="38">
        <f t="shared" si="232"/>
        <v>0</v>
      </c>
      <c r="BJ1395" s="38">
        <f t="shared" si="233"/>
        <v>0</v>
      </c>
      <c r="BK1395" s="38"/>
      <c r="BL1395" s="38"/>
      <c r="BW1395" s="38">
        <v>21</v>
      </c>
    </row>
    <row r="1396" spans="1:75" ht="27" customHeight="1">
      <c r="A1396" s="78" t="s">
        <v>2730</v>
      </c>
      <c r="B1396" s="79" t="s">
        <v>93</v>
      </c>
      <c r="C1396" s="79" t="s">
        <v>2731</v>
      </c>
      <c r="D1396" s="198" t="s">
        <v>2732</v>
      </c>
      <c r="E1396" s="199"/>
      <c r="F1396" s="79" t="s">
        <v>2661</v>
      </c>
      <c r="G1396" s="80">
        <v>70</v>
      </c>
      <c r="H1396" s="81">
        <v>0</v>
      </c>
      <c r="I1396" s="80">
        <f t="shared" si="212"/>
        <v>0</v>
      </c>
      <c r="J1396" s="80">
        <v>0</v>
      </c>
      <c r="K1396" s="80">
        <f t="shared" si="213"/>
        <v>0</v>
      </c>
      <c r="L1396" s="82" t="s">
        <v>207</v>
      </c>
      <c r="Z1396" s="38">
        <f t="shared" si="214"/>
        <v>0</v>
      </c>
      <c r="AB1396" s="38">
        <f t="shared" si="215"/>
        <v>0</v>
      </c>
      <c r="AC1396" s="38">
        <f t="shared" si="216"/>
        <v>0</v>
      </c>
      <c r="AD1396" s="38">
        <f t="shared" si="217"/>
        <v>0</v>
      </c>
      <c r="AE1396" s="38">
        <f t="shared" si="218"/>
        <v>0</v>
      </c>
      <c r="AF1396" s="38">
        <f t="shared" si="219"/>
        <v>0</v>
      </c>
      <c r="AG1396" s="38">
        <f t="shared" si="220"/>
        <v>0</v>
      </c>
      <c r="AH1396" s="38">
        <f t="shared" si="221"/>
        <v>0</v>
      </c>
      <c r="AI1396" s="50" t="s">
        <v>93</v>
      </c>
      <c r="AJ1396" s="80">
        <f t="shared" si="222"/>
        <v>0</v>
      </c>
      <c r="AK1396" s="80">
        <f t="shared" si="223"/>
        <v>0</v>
      </c>
      <c r="AL1396" s="80">
        <f t="shared" si="224"/>
        <v>0</v>
      </c>
      <c r="AN1396" s="38">
        <v>21</v>
      </c>
      <c r="AO1396" s="38">
        <f>H1396*1</f>
        <v>0</v>
      </c>
      <c r="AP1396" s="38">
        <f>H1396*(1-1)</f>
        <v>0</v>
      </c>
      <c r="AQ1396" s="83" t="s">
        <v>132</v>
      </c>
      <c r="AV1396" s="38">
        <f t="shared" si="225"/>
        <v>0</v>
      </c>
      <c r="AW1396" s="38">
        <f t="shared" si="226"/>
        <v>0</v>
      </c>
      <c r="AX1396" s="38">
        <f t="shared" si="227"/>
        <v>0</v>
      </c>
      <c r="AY1396" s="72" t="s">
        <v>2561</v>
      </c>
      <c r="AZ1396" s="72" t="s">
        <v>2562</v>
      </c>
      <c r="BA1396" s="50" t="s">
        <v>2563</v>
      </c>
      <c r="BC1396" s="38">
        <f t="shared" si="228"/>
        <v>0</v>
      </c>
      <c r="BD1396" s="38">
        <f t="shared" si="229"/>
        <v>0</v>
      </c>
      <c r="BE1396" s="38">
        <v>0</v>
      </c>
      <c r="BF1396" s="38">
        <f t="shared" si="230"/>
        <v>0</v>
      </c>
      <c r="BH1396" s="80">
        <f t="shared" si="231"/>
        <v>0</v>
      </c>
      <c r="BI1396" s="80">
        <f t="shared" si="232"/>
        <v>0</v>
      </c>
      <c r="BJ1396" s="80">
        <f t="shared" si="233"/>
        <v>0</v>
      </c>
      <c r="BK1396" s="80"/>
      <c r="BL1396" s="38"/>
      <c r="BW1396" s="38">
        <v>21</v>
      </c>
    </row>
    <row r="1397" spans="1:75" ht="27" customHeight="1">
      <c r="A1397" s="1" t="s">
        <v>2733</v>
      </c>
      <c r="B1397" s="2" t="s">
        <v>93</v>
      </c>
      <c r="C1397" s="2" t="s">
        <v>2734</v>
      </c>
      <c r="D1397" s="108" t="s">
        <v>2735</v>
      </c>
      <c r="E1397" s="103"/>
      <c r="F1397" s="2" t="s">
        <v>199</v>
      </c>
      <c r="G1397" s="38">
        <v>111</v>
      </c>
      <c r="H1397" s="70">
        <v>0</v>
      </c>
      <c r="I1397" s="38">
        <f t="shared" si="212"/>
        <v>0</v>
      </c>
      <c r="J1397" s="38">
        <v>0</v>
      </c>
      <c r="K1397" s="38">
        <f t="shared" si="213"/>
        <v>0</v>
      </c>
      <c r="L1397" s="71" t="s">
        <v>207</v>
      </c>
      <c r="Z1397" s="38">
        <f t="shared" si="214"/>
        <v>0</v>
      </c>
      <c r="AB1397" s="38">
        <f t="shared" si="215"/>
        <v>0</v>
      </c>
      <c r="AC1397" s="38">
        <f t="shared" si="216"/>
        <v>0</v>
      </c>
      <c r="AD1397" s="38">
        <f t="shared" si="217"/>
        <v>0</v>
      </c>
      <c r="AE1397" s="38">
        <f t="shared" si="218"/>
        <v>0</v>
      </c>
      <c r="AF1397" s="38">
        <f t="shared" si="219"/>
        <v>0</v>
      </c>
      <c r="AG1397" s="38">
        <f t="shared" si="220"/>
        <v>0</v>
      </c>
      <c r="AH1397" s="38">
        <f t="shared" si="221"/>
        <v>0</v>
      </c>
      <c r="AI1397" s="50" t="s">
        <v>93</v>
      </c>
      <c r="AJ1397" s="38">
        <f t="shared" si="222"/>
        <v>0</v>
      </c>
      <c r="AK1397" s="38">
        <f t="shared" si="223"/>
        <v>0</v>
      </c>
      <c r="AL1397" s="38">
        <f t="shared" si="224"/>
        <v>0</v>
      </c>
      <c r="AN1397" s="38">
        <v>21</v>
      </c>
      <c r="AO1397" s="38">
        <f>H1397*0</f>
        <v>0</v>
      </c>
      <c r="AP1397" s="38">
        <f>H1397*(1-0)</f>
        <v>0</v>
      </c>
      <c r="AQ1397" s="72" t="s">
        <v>132</v>
      </c>
      <c r="AV1397" s="38">
        <f t="shared" si="225"/>
        <v>0</v>
      </c>
      <c r="AW1397" s="38">
        <f t="shared" si="226"/>
        <v>0</v>
      </c>
      <c r="AX1397" s="38">
        <f t="shared" si="227"/>
        <v>0</v>
      </c>
      <c r="AY1397" s="72" t="s">
        <v>2561</v>
      </c>
      <c r="AZ1397" s="72" t="s">
        <v>2562</v>
      </c>
      <c r="BA1397" s="50" t="s">
        <v>2563</v>
      </c>
      <c r="BC1397" s="38">
        <f t="shared" si="228"/>
        <v>0</v>
      </c>
      <c r="BD1397" s="38">
        <f t="shared" si="229"/>
        <v>0</v>
      </c>
      <c r="BE1397" s="38">
        <v>0</v>
      </c>
      <c r="BF1397" s="38">
        <f t="shared" si="230"/>
        <v>0</v>
      </c>
      <c r="BH1397" s="38">
        <f t="shared" si="231"/>
        <v>0</v>
      </c>
      <c r="BI1397" s="38">
        <f t="shared" si="232"/>
        <v>0</v>
      </c>
      <c r="BJ1397" s="38">
        <f t="shared" si="233"/>
        <v>0</v>
      </c>
      <c r="BK1397" s="38"/>
      <c r="BL1397" s="38"/>
      <c r="BW1397" s="38">
        <v>21</v>
      </c>
    </row>
    <row r="1398" spans="1:75" ht="13.5" customHeight="1">
      <c r="A1398" s="78" t="s">
        <v>2736</v>
      </c>
      <c r="B1398" s="79" t="s">
        <v>93</v>
      </c>
      <c r="C1398" s="79" t="s">
        <v>2737</v>
      </c>
      <c r="D1398" s="198" t="s">
        <v>2738</v>
      </c>
      <c r="E1398" s="199"/>
      <c r="F1398" s="79" t="s">
        <v>2567</v>
      </c>
      <c r="G1398" s="80">
        <v>111</v>
      </c>
      <c r="H1398" s="81">
        <v>0</v>
      </c>
      <c r="I1398" s="80">
        <f t="shared" si="212"/>
        <v>0</v>
      </c>
      <c r="J1398" s="80">
        <v>0</v>
      </c>
      <c r="K1398" s="80">
        <f t="shared" si="213"/>
        <v>0</v>
      </c>
      <c r="L1398" s="82" t="s">
        <v>207</v>
      </c>
      <c r="Z1398" s="38">
        <f t="shared" si="214"/>
        <v>0</v>
      </c>
      <c r="AB1398" s="38">
        <f t="shared" si="215"/>
        <v>0</v>
      </c>
      <c r="AC1398" s="38">
        <f t="shared" si="216"/>
        <v>0</v>
      </c>
      <c r="AD1398" s="38">
        <f t="shared" si="217"/>
        <v>0</v>
      </c>
      <c r="AE1398" s="38">
        <f t="shared" si="218"/>
        <v>0</v>
      </c>
      <c r="AF1398" s="38">
        <f t="shared" si="219"/>
        <v>0</v>
      </c>
      <c r="AG1398" s="38">
        <f t="shared" si="220"/>
        <v>0</v>
      </c>
      <c r="AH1398" s="38">
        <f t="shared" si="221"/>
        <v>0</v>
      </c>
      <c r="AI1398" s="50" t="s">
        <v>93</v>
      </c>
      <c r="AJ1398" s="80">
        <f t="shared" si="222"/>
        <v>0</v>
      </c>
      <c r="AK1398" s="80">
        <f t="shared" si="223"/>
        <v>0</v>
      </c>
      <c r="AL1398" s="80">
        <f t="shared" si="224"/>
        <v>0</v>
      </c>
      <c r="AN1398" s="38">
        <v>21</v>
      </c>
      <c r="AO1398" s="38">
        <f>H1398*1</f>
        <v>0</v>
      </c>
      <c r="AP1398" s="38">
        <f>H1398*(1-1)</f>
        <v>0</v>
      </c>
      <c r="AQ1398" s="83" t="s">
        <v>132</v>
      </c>
      <c r="AV1398" s="38">
        <f t="shared" si="225"/>
        <v>0</v>
      </c>
      <c r="AW1398" s="38">
        <f t="shared" si="226"/>
        <v>0</v>
      </c>
      <c r="AX1398" s="38">
        <f t="shared" si="227"/>
        <v>0</v>
      </c>
      <c r="AY1398" s="72" t="s">
        <v>2561</v>
      </c>
      <c r="AZ1398" s="72" t="s">
        <v>2562</v>
      </c>
      <c r="BA1398" s="50" t="s">
        <v>2563</v>
      </c>
      <c r="BC1398" s="38">
        <f t="shared" si="228"/>
        <v>0</v>
      </c>
      <c r="BD1398" s="38">
        <f t="shared" si="229"/>
        <v>0</v>
      </c>
      <c r="BE1398" s="38">
        <v>0</v>
      </c>
      <c r="BF1398" s="38">
        <f t="shared" si="230"/>
        <v>0</v>
      </c>
      <c r="BH1398" s="80">
        <f t="shared" si="231"/>
        <v>0</v>
      </c>
      <c r="BI1398" s="80">
        <f t="shared" si="232"/>
        <v>0</v>
      </c>
      <c r="BJ1398" s="80">
        <f t="shared" si="233"/>
        <v>0</v>
      </c>
      <c r="BK1398" s="80"/>
      <c r="BL1398" s="38"/>
      <c r="BW1398" s="38">
        <v>21</v>
      </c>
    </row>
    <row r="1399" spans="1:75" ht="27" customHeight="1">
      <c r="A1399" s="1" t="s">
        <v>2739</v>
      </c>
      <c r="B1399" s="2" t="s">
        <v>93</v>
      </c>
      <c r="C1399" s="2" t="s">
        <v>2740</v>
      </c>
      <c r="D1399" s="108" t="s">
        <v>2741</v>
      </c>
      <c r="E1399" s="103"/>
      <c r="F1399" s="2" t="s">
        <v>199</v>
      </c>
      <c r="G1399" s="38">
        <v>10</v>
      </c>
      <c r="H1399" s="70">
        <v>0</v>
      </c>
      <c r="I1399" s="38">
        <f aca="true" t="shared" si="234" ref="I1399:I1430">G1399*H1399</f>
        <v>0</v>
      </c>
      <c r="J1399" s="38">
        <v>0</v>
      </c>
      <c r="K1399" s="38">
        <f aca="true" t="shared" si="235" ref="K1399:K1430">G1399*J1399</f>
        <v>0</v>
      </c>
      <c r="L1399" s="71" t="s">
        <v>207</v>
      </c>
      <c r="Z1399" s="38">
        <f aca="true" t="shared" si="236" ref="Z1399:Z1428">IF(AQ1399="5",BJ1399,0)</f>
        <v>0</v>
      </c>
      <c r="AB1399" s="38">
        <f aca="true" t="shared" si="237" ref="AB1399:AB1428">IF(AQ1399="1",BH1399,0)</f>
        <v>0</v>
      </c>
      <c r="AC1399" s="38">
        <f aca="true" t="shared" si="238" ref="AC1399:AC1428">IF(AQ1399="1",BI1399,0)</f>
        <v>0</v>
      </c>
      <c r="AD1399" s="38">
        <f aca="true" t="shared" si="239" ref="AD1399:AD1428">IF(AQ1399="7",BH1399,0)</f>
        <v>0</v>
      </c>
      <c r="AE1399" s="38">
        <f aca="true" t="shared" si="240" ref="AE1399:AE1428">IF(AQ1399="7",BI1399,0)</f>
        <v>0</v>
      </c>
      <c r="AF1399" s="38">
        <f aca="true" t="shared" si="241" ref="AF1399:AF1428">IF(AQ1399="2",BH1399,0)</f>
        <v>0</v>
      </c>
      <c r="AG1399" s="38">
        <f aca="true" t="shared" si="242" ref="AG1399:AG1428">IF(AQ1399="2",BI1399,0)</f>
        <v>0</v>
      </c>
      <c r="AH1399" s="38">
        <f aca="true" t="shared" si="243" ref="AH1399:AH1428">IF(AQ1399="0",BJ1399,0)</f>
        <v>0</v>
      </c>
      <c r="AI1399" s="50" t="s">
        <v>93</v>
      </c>
      <c r="AJ1399" s="38">
        <f aca="true" t="shared" si="244" ref="AJ1399:AJ1428">IF(AN1399=0,I1399,0)</f>
        <v>0</v>
      </c>
      <c r="AK1399" s="38">
        <f aca="true" t="shared" si="245" ref="AK1399:AK1428">IF(AN1399=12,I1399,0)</f>
        <v>0</v>
      </c>
      <c r="AL1399" s="38">
        <f aca="true" t="shared" si="246" ref="AL1399:AL1428">IF(AN1399=21,I1399,0)</f>
        <v>0</v>
      </c>
      <c r="AN1399" s="38">
        <v>21</v>
      </c>
      <c r="AO1399" s="38">
        <f>H1399*0</f>
        <v>0</v>
      </c>
      <c r="AP1399" s="38">
        <f>H1399*(1-0)</f>
        <v>0</v>
      </c>
      <c r="AQ1399" s="72" t="s">
        <v>132</v>
      </c>
      <c r="AV1399" s="38">
        <f aca="true" t="shared" si="247" ref="AV1399:AV1430">AW1399+AX1399</f>
        <v>0</v>
      </c>
      <c r="AW1399" s="38">
        <f aca="true" t="shared" si="248" ref="AW1399:AW1428">G1399*AO1399</f>
        <v>0</v>
      </c>
      <c r="AX1399" s="38">
        <f aca="true" t="shared" si="249" ref="AX1399:AX1428">G1399*AP1399</f>
        <v>0</v>
      </c>
      <c r="AY1399" s="72" t="s">
        <v>2561</v>
      </c>
      <c r="AZ1399" s="72" t="s">
        <v>2562</v>
      </c>
      <c r="BA1399" s="50" t="s">
        <v>2563</v>
      </c>
      <c r="BC1399" s="38">
        <f aca="true" t="shared" si="250" ref="BC1399:BC1428">AW1399+AX1399</f>
        <v>0</v>
      </c>
      <c r="BD1399" s="38">
        <f aca="true" t="shared" si="251" ref="BD1399:BD1430">H1399/(100-BE1399)*100</f>
        <v>0</v>
      </c>
      <c r="BE1399" s="38">
        <v>0</v>
      </c>
      <c r="BF1399" s="38">
        <f aca="true" t="shared" si="252" ref="BF1399:BF1428">K1399</f>
        <v>0</v>
      </c>
      <c r="BH1399" s="38">
        <f aca="true" t="shared" si="253" ref="BH1399:BH1428">G1399*AO1399</f>
        <v>0</v>
      </c>
      <c r="BI1399" s="38">
        <f aca="true" t="shared" si="254" ref="BI1399:BI1428">G1399*AP1399</f>
        <v>0</v>
      </c>
      <c r="BJ1399" s="38">
        <f aca="true" t="shared" si="255" ref="BJ1399:BJ1428">G1399*H1399</f>
        <v>0</v>
      </c>
      <c r="BK1399" s="38"/>
      <c r="BL1399" s="38"/>
      <c r="BW1399" s="38">
        <v>21</v>
      </c>
    </row>
    <row r="1400" spans="1:75" ht="27" customHeight="1">
      <c r="A1400" s="78" t="s">
        <v>2742</v>
      </c>
      <c r="B1400" s="79" t="s">
        <v>93</v>
      </c>
      <c r="C1400" s="79" t="s">
        <v>2743</v>
      </c>
      <c r="D1400" s="198" t="s">
        <v>2744</v>
      </c>
      <c r="E1400" s="199"/>
      <c r="F1400" s="79" t="s">
        <v>2567</v>
      </c>
      <c r="G1400" s="80">
        <v>10</v>
      </c>
      <c r="H1400" s="81">
        <v>0</v>
      </c>
      <c r="I1400" s="80">
        <f t="shared" si="234"/>
        <v>0</v>
      </c>
      <c r="J1400" s="80">
        <v>0</v>
      </c>
      <c r="K1400" s="80">
        <f t="shared" si="235"/>
        <v>0</v>
      </c>
      <c r="L1400" s="82" t="s">
        <v>207</v>
      </c>
      <c r="Z1400" s="38">
        <f t="shared" si="236"/>
        <v>0</v>
      </c>
      <c r="AB1400" s="38">
        <f t="shared" si="237"/>
        <v>0</v>
      </c>
      <c r="AC1400" s="38">
        <f t="shared" si="238"/>
        <v>0</v>
      </c>
      <c r="AD1400" s="38">
        <f t="shared" si="239"/>
        <v>0</v>
      </c>
      <c r="AE1400" s="38">
        <f t="shared" si="240"/>
        <v>0</v>
      </c>
      <c r="AF1400" s="38">
        <f t="shared" si="241"/>
        <v>0</v>
      </c>
      <c r="AG1400" s="38">
        <f t="shared" si="242"/>
        <v>0</v>
      </c>
      <c r="AH1400" s="38">
        <f t="shared" si="243"/>
        <v>0</v>
      </c>
      <c r="AI1400" s="50" t="s">
        <v>93</v>
      </c>
      <c r="AJ1400" s="80">
        <f t="shared" si="244"/>
        <v>0</v>
      </c>
      <c r="AK1400" s="80">
        <f t="shared" si="245"/>
        <v>0</v>
      </c>
      <c r="AL1400" s="80">
        <f t="shared" si="246"/>
        <v>0</v>
      </c>
      <c r="AN1400" s="38">
        <v>21</v>
      </c>
      <c r="AO1400" s="38">
        <f>H1400*1</f>
        <v>0</v>
      </c>
      <c r="AP1400" s="38">
        <f>H1400*(1-1)</f>
        <v>0</v>
      </c>
      <c r="AQ1400" s="83" t="s">
        <v>132</v>
      </c>
      <c r="AV1400" s="38">
        <f t="shared" si="247"/>
        <v>0</v>
      </c>
      <c r="AW1400" s="38">
        <f t="shared" si="248"/>
        <v>0</v>
      </c>
      <c r="AX1400" s="38">
        <f t="shared" si="249"/>
        <v>0</v>
      </c>
      <c r="AY1400" s="72" t="s">
        <v>2561</v>
      </c>
      <c r="AZ1400" s="72" t="s">
        <v>2562</v>
      </c>
      <c r="BA1400" s="50" t="s">
        <v>2563</v>
      </c>
      <c r="BC1400" s="38">
        <f t="shared" si="250"/>
        <v>0</v>
      </c>
      <c r="BD1400" s="38">
        <f t="shared" si="251"/>
        <v>0</v>
      </c>
      <c r="BE1400" s="38">
        <v>0</v>
      </c>
      <c r="BF1400" s="38">
        <f t="shared" si="252"/>
        <v>0</v>
      </c>
      <c r="BH1400" s="80">
        <f t="shared" si="253"/>
        <v>0</v>
      </c>
      <c r="BI1400" s="80">
        <f t="shared" si="254"/>
        <v>0</v>
      </c>
      <c r="BJ1400" s="80">
        <f t="shared" si="255"/>
        <v>0</v>
      </c>
      <c r="BK1400" s="80"/>
      <c r="BL1400" s="38"/>
      <c r="BW1400" s="38">
        <v>21</v>
      </c>
    </row>
    <row r="1401" spans="1:75" ht="27" customHeight="1">
      <c r="A1401" s="1" t="s">
        <v>2745</v>
      </c>
      <c r="B1401" s="2" t="s">
        <v>93</v>
      </c>
      <c r="C1401" s="2" t="s">
        <v>2746</v>
      </c>
      <c r="D1401" s="108" t="s">
        <v>2747</v>
      </c>
      <c r="E1401" s="103"/>
      <c r="F1401" s="2" t="s">
        <v>199</v>
      </c>
      <c r="G1401" s="38">
        <v>89</v>
      </c>
      <c r="H1401" s="70">
        <v>0</v>
      </c>
      <c r="I1401" s="38">
        <f t="shared" si="234"/>
        <v>0</v>
      </c>
      <c r="J1401" s="38">
        <v>0</v>
      </c>
      <c r="K1401" s="38">
        <f t="shared" si="235"/>
        <v>0</v>
      </c>
      <c r="L1401" s="71" t="s">
        <v>207</v>
      </c>
      <c r="Z1401" s="38">
        <f t="shared" si="236"/>
        <v>0</v>
      </c>
      <c r="AB1401" s="38">
        <f t="shared" si="237"/>
        <v>0</v>
      </c>
      <c r="AC1401" s="38">
        <f t="shared" si="238"/>
        <v>0</v>
      </c>
      <c r="AD1401" s="38">
        <f t="shared" si="239"/>
        <v>0</v>
      </c>
      <c r="AE1401" s="38">
        <f t="shared" si="240"/>
        <v>0</v>
      </c>
      <c r="AF1401" s="38">
        <f t="shared" si="241"/>
        <v>0</v>
      </c>
      <c r="AG1401" s="38">
        <f t="shared" si="242"/>
        <v>0</v>
      </c>
      <c r="AH1401" s="38">
        <f t="shared" si="243"/>
        <v>0</v>
      </c>
      <c r="AI1401" s="50" t="s">
        <v>93</v>
      </c>
      <c r="AJ1401" s="38">
        <f t="shared" si="244"/>
        <v>0</v>
      </c>
      <c r="AK1401" s="38">
        <f t="shared" si="245"/>
        <v>0</v>
      </c>
      <c r="AL1401" s="38">
        <f t="shared" si="246"/>
        <v>0</v>
      </c>
      <c r="AN1401" s="38">
        <v>21</v>
      </c>
      <c r="AO1401" s="38">
        <f>H1401*0</f>
        <v>0</v>
      </c>
      <c r="AP1401" s="38">
        <f>H1401*(1-0)</f>
        <v>0</v>
      </c>
      <c r="AQ1401" s="72" t="s">
        <v>132</v>
      </c>
      <c r="AV1401" s="38">
        <f t="shared" si="247"/>
        <v>0</v>
      </c>
      <c r="AW1401" s="38">
        <f t="shared" si="248"/>
        <v>0</v>
      </c>
      <c r="AX1401" s="38">
        <f t="shared" si="249"/>
        <v>0</v>
      </c>
      <c r="AY1401" s="72" t="s">
        <v>2561</v>
      </c>
      <c r="AZ1401" s="72" t="s">
        <v>2562</v>
      </c>
      <c r="BA1401" s="50" t="s">
        <v>2563</v>
      </c>
      <c r="BC1401" s="38">
        <f t="shared" si="250"/>
        <v>0</v>
      </c>
      <c r="BD1401" s="38">
        <f t="shared" si="251"/>
        <v>0</v>
      </c>
      <c r="BE1401" s="38">
        <v>0</v>
      </c>
      <c r="BF1401" s="38">
        <f t="shared" si="252"/>
        <v>0</v>
      </c>
      <c r="BH1401" s="38">
        <f t="shared" si="253"/>
        <v>0</v>
      </c>
      <c r="BI1401" s="38">
        <f t="shared" si="254"/>
        <v>0</v>
      </c>
      <c r="BJ1401" s="38">
        <f t="shared" si="255"/>
        <v>0</v>
      </c>
      <c r="BK1401" s="38"/>
      <c r="BL1401" s="38"/>
      <c r="BW1401" s="38">
        <v>21</v>
      </c>
    </row>
    <row r="1402" spans="1:75" ht="27" customHeight="1">
      <c r="A1402" s="1" t="s">
        <v>2748</v>
      </c>
      <c r="B1402" s="2" t="s">
        <v>93</v>
      </c>
      <c r="C1402" s="2" t="s">
        <v>2749</v>
      </c>
      <c r="D1402" s="108" t="s">
        <v>2750</v>
      </c>
      <c r="E1402" s="103"/>
      <c r="F1402" s="2" t="s">
        <v>199</v>
      </c>
      <c r="G1402" s="38">
        <v>10</v>
      </c>
      <c r="H1402" s="70">
        <v>0</v>
      </c>
      <c r="I1402" s="38">
        <f t="shared" si="234"/>
        <v>0</v>
      </c>
      <c r="J1402" s="38">
        <v>0</v>
      </c>
      <c r="K1402" s="38">
        <f t="shared" si="235"/>
        <v>0</v>
      </c>
      <c r="L1402" s="71" t="s">
        <v>207</v>
      </c>
      <c r="Z1402" s="38">
        <f t="shared" si="236"/>
        <v>0</v>
      </c>
      <c r="AB1402" s="38">
        <f t="shared" si="237"/>
        <v>0</v>
      </c>
      <c r="AC1402" s="38">
        <f t="shared" si="238"/>
        <v>0</v>
      </c>
      <c r="AD1402" s="38">
        <f t="shared" si="239"/>
        <v>0</v>
      </c>
      <c r="AE1402" s="38">
        <f t="shared" si="240"/>
        <v>0</v>
      </c>
      <c r="AF1402" s="38">
        <f t="shared" si="241"/>
        <v>0</v>
      </c>
      <c r="AG1402" s="38">
        <f t="shared" si="242"/>
        <v>0</v>
      </c>
      <c r="AH1402" s="38">
        <f t="shared" si="243"/>
        <v>0</v>
      </c>
      <c r="AI1402" s="50" t="s">
        <v>93</v>
      </c>
      <c r="AJ1402" s="38">
        <f t="shared" si="244"/>
        <v>0</v>
      </c>
      <c r="AK1402" s="38">
        <f t="shared" si="245"/>
        <v>0</v>
      </c>
      <c r="AL1402" s="38">
        <f t="shared" si="246"/>
        <v>0</v>
      </c>
      <c r="AN1402" s="38">
        <v>21</v>
      </c>
      <c r="AO1402" s="38">
        <f>H1402*0</f>
        <v>0</v>
      </c>
      <c r="AP1402" s="38">
        <f>H1402*(1-0)</f>
        <v>0</v>
      </c>
      <c r="AQ1402" s="72" t="s">
        <v>132</v>
      </c>
      <c r="AV1402" s="38">
        <f t="shared" si="247"/>
        <v>0</v>
      </c>
      <c r="AW1402" s="38">
        <f t="shared" si="248"/>
        <v>0</v>
      </c>
      <c r="AX1402" s="38">
        <f t="shared" si="249"/>
        <v>0</v>
      </c>
      <c r="AY1402" s="72" t="s">
        <v>2561</v>
      </c>
      <c r="AZ1402" s="72" t="s">
        <v>2562</v>
      </c>
      <c r="BA1402" s="50" t="s">
        <v>2563</v>
      </c>
      <c r="BC1402" s="38">
        <f t="shared" si="250"/>
        <v>0</v>
      </c>
      <c r="BD1402" s="38">
        <f t="shared" si="251"/>
        <v>0</v>
      </c>
      <c r="BE1402" s="38">
        <v>0</v>
      </c>
      <c r="BF1402" s="38">
        <f t="shared" si="252"/>
        <v>0</v>
      </c>
      <c r="BH1402" s="38">
        <f t="shared" si="253"/>
        <v>0</v>
      </c>
      <c r="BI1402" s="38">
        <f t="shared" si="254"/>
        <v>0</v>
      </c>
      <c r="BJ1402" s="38">
        <f t="shared" si="255"/>
        <v>0</v>
      </c>
      <c r="BK1402" s="38"/>
      <c r="BL1402" s="38"/>
      <c r="BW1402" s="38">
        <v>21</v>
      </c>
    </row>
    <row r="1403" spans="1:75" ht="27" customHeight="1">
      <c r="A1403" s="1" t="s">
        <v>2751</v>
      </c>
      <c r="B1403" s="2" t="s">
        <v>93</v>
      </c>
      <c r="C1403" s="2" t="s">
        <v>2752</v>
      </c>
      <c r="D1403" s="108" t="s">
        <v>2753</v>
      </c>
      <c r="E1403" s="103"/>
      <c r="F1403" s="2" t="s">
        <v>199</v>
      </c>
      <c r="G1403" s="38">
        <v>2</v>
      </c>
      <c r="H1403" s="70">
        <v>0</v>
      </c>
      <c r="I1403" s="38">
        <f t="shared" si="234"/>
        <v>0</v>
      </c>
      <c r="J1403" s="38">
        <v>0</v>
      </c>
      <c r="K1403" s="38">
        <f t="shared" si="235"/>
        <v>0</v>
      </c>
      <c r="L1403" s="71" t="s">
        <v>207</v>
      </c>
      <c r="Z1403" s="38">
        <f t="shared" si="236"/>
        <v>0</v>
      </c>
      <c r="AB1403" s="38">
        <f t="shared" si="237"/>
        <v>0</v>
      </c>
      <c r="AC1403" s="38">
        <f t="shared" si="238"/>
        <v>0</v>
      </c>
      <c r="AD1403" s="38">
        <f t="shared" si="239"/>
        <v>0</v>
      </c>
      <c r="AE1403" s="38">
        <f t="shared" si="240"/>
        <v>0</v>
      </c>
      <c r="AF1403" s="38">
        <f t="shared" si="241"/>
        <v>0</v>
      </c>
      <c r="AG1403" s="38">
        <f t="shared" si="242"/>
        <v>0</v>
      </c>
      <c r="AH1403" s="38">
        <f t="shared" si="243"/>
        <v>0</v>
      </c>
      <c r="AI1403" s="50" t="s">
        <v>93</v>
      </c>
      <c r="AJ1403" s="38">
        <f t="shared" si="244"/>
        <v>0</v>
      </c>
      <c r="AK1403" s="38">
        <f t="shared" si="245"/>
        <v>0</v>
      </c>
      <c r="AL1403" s="38">
        <f t="shared" si="246"/>
        <v>0</v>
      </c>
      <c r="AN1403" s="38">
        <v>21</v>
      </c>
      <c r="AO1403" s="38">
        <f>H1403*0</f>
        <v>0</v>
      </c>
      <c r="AP1403" s="38">
        <f>H1403*(1-0)</f>
        <v>0</v>
      </c>
      <c r="AQ1403" s="72" t="s">
        <v>132</v>
      </c>
      <c r="AV1403" s="38">
        <f t="shared" si="247"/>
        <v>0</v>
      </c>
      <c r="AW1403" s="38">
        <f t="shared" si="248"/>
        <v>0</v>
      </c>
      <c r="AX1403" s="38">
        <f t="shared" si="249"/>
        <v>0</v>
      </c>
      <c r="AY1403" s="72" t="s">
        <v>2561</v>
      </c>
      <c r="AZ1403" s="72" t="s">
        <v>2562</v>
      </c>
      <c r="BA1403" s="50" t="s">
        <v>2563</v>
      </c>
      <c r="BC1403" s="38">
        <f t="shared" si="250"/>
        <v>0</v>
      </c>
      <c r="BD1403" s="38">
        <f t="shared" si="251"/>
        <v>0</v>
      </c>
      <c r="BE1403" s="38">
        <v>0</v>
      </c>
      <c r="BF1403" s="38">
        <f t="shared" si="252"/>
        <v>0</v>
      </c>
      <c r="BH1403" s="38">
        <f t="shared" si="253"/>
        <v>0</v>
      </c>
      <c r="BI1403" s="38">
        <f t="shared" si="254"/>
        <v>0</v>
      </c>
      <c r="BJ1403" s="38">
        <f t="shared" si="255"/>
        <v>0</v>
      </c>
      <c r="BK1403" s="38"/>
      <c r="BL1403" s="38"/>
      <c r="BW1403" s="38">
        <v>21</v>
      </c>
    </row>
    <row r="1404" spans="1:75" ht="13.5" customHeight="1">
      <c r="A1404" s="78" t="s">
        <v>2754</v>
      </c>
      <c r="B1404" s="79" t="s">
        <v>93</v>
      </c>
      <c r="C1404" s="79" t="s">
        <v>2755</v>
      </c>
      <c r="D1404" s="198" t="s">
        <v>2756</v>
      </c>
      <c r="E1404" s="199"/>
      <c r="F1404" s="79" t="s">
        <v>2567</v>
      </c>
      <c r="G1404" s="80">
        <v>2</v>
      </c>
      <c r="H1404" s="81">
        <v>0</v>
      </c>
      <c r="I1404" s="80">
        <f t="shared" si="234"/>
        <v>0</v>
      </c>
      <c r="J1404" s="80">
        <v>0</v>
      </c>
      <c r="K1404" s="80">
        <f t="shared" si="235"/>
        <v>0</v>
      </c>
      <c r="L1404" s="82" t="s">
        <v>207</v>
      </c>
      <c r="Z1404" s="38">
        <f t="shared" si="236"/>
        <v>0</v>
      </c>
      <c r="AB1404" s="38">
        <f t="shared" si="237"/>
        <v>0</v>
      </c>
      <c r="AC1404" s="38">
        <f t="shared" si="238"/>
        <v>0</v>
      </c>
      <c r="AD1404" s="38">
        <f t="shared" si="239"/>
        <v>0</v>
      </c>
      <c r="AE1404" s="38">
        <f t="shared" si="240"/>
        <v>0</v>
      </c>
      <c r="AF1404" s="38">
        <f t="shared" si="241"/>
        <v>0</v>
      </c>
      <c r="AG1404" s="38">
        <f t="shared" si="242"/>
        <v>0</v>
      </c>
      <c r="AH1404" s="38">
        <f t="shared" si="243"/>
        <v>0</v>
      </c>
      <c r="AI1404" s="50" t="s">
        <v>93</v>
      </c>
      <c r="AJ1404" s="80">
        <f t="shared" si="244"/>
        <v>0</v>
      </c>
      <c r="AK1404" s="80">
        <f t="shared" si="245"/>
        <v>0</v>
      </c>
      <c r="AL1404" s="80">
        <f t="shared" si="246"/>
        <v>0</v>
      </c>
      <c r="AN1404" s="38">
        <v>21</v>
      </c>
      <c r="AO1404" s="38">
        <f>H1404*1</f>
        <v>0</v>
      </c>
      <c r="AP1404" s="38">
        <f>H1404*(1-1)</f>
        <v>0</v>
      </c>
      <c r="AQ1404" s="83" t="s">
        <v>132</v>
      </c>
      <c r="AV1404" s="38">
        <f t="shared" si="247"/>
        <v>0</v>
      </c>
      <c r="AW1404" s="38">
        <f t="shared" si="248"/>
        <v>0</v>
      </c>
      <c r="AX1404" s="38">
        <f t="shared" si="249"/>
        <v>0</v>
      </c>
      <c r="AY1404" s="72" t="s">
        <v>2561</v>
      </c>
      <c r="AZ1404" s="72" t="s">
        <v>2562</v>
      </c>
      <c r="BA1404" s="50" t="s">
        <v>2563</v>
      </c>
      <c r="BC1404" s="38">
        <f t="shared" si="250"/>
        <v>0</v>
      </c>
      <c r="BD1404" s="38">
        <f t="shared" si="251"/>
        <v>0</v>
      </c>
      <c r="BE1404" s="38">
        <v>0</v>
      </c>
      <c r="BF1404" s="38">
        <f t="shared" si="252"/>
        <v>0</v>
      </c>
      <c r="BH1404" s="80">
        <f t="shared" si="253"/>
        <v>0</v>
      </c>
      <c r="BI1404" s="80">
        <f t="shared" si="254"/>
        <v>0</v>
      </c>
      <c r="BJ1404" s="80">
        <f t="shared" si="255"/>
        <v>0</v>
      </c>
      <c r="BK1404" s="80"/>
      <c r="BL1404" s="38"/>
      <c r="BW1404" s="38">
        <v>21</v>
      </c>
    </row>
    <row r="1405" spans="1:75" ht="27" customHeight="1">
      <c r="A1405" s="1" t="s">
        <v>2757</v>
      </c>
      <c r="B1405" s="2" t="s">
        <v>93</v>
      </c>
      <c r="C1405" s="2" t="s">
        <v>2758</v>
      </c>
      <c r="D1405" s="108" t="s">
        <v>2759</v>
      </c>
      <c r="E1405" s="103"/>
      <c r="F1405" s="2" t="s">
        <v>189</v>
      </c>
      <c r="G1405" s="38">
        <v>0.3</v>
      </c>
      <c r="H1405" s="70">
        <v>0</v>
      </c>
      <c r="I1405" s="38">
        <f t="shared" si="234"/>
        <v>0</v>
      </c>
      <c r="J1405" s="38">
        <v>0</v>
      </c>
      <c r="K1405" s="38">
        <f t="shared" si="235"/>
        <v>0</v>
      </c>
      <c r="L1405" s="71" t="s">
        <v>207</v>
      </c>
      <c r="Z1405" s="38">
        <f t="shared" si="236"/>
        <v>0</v>
      </c>
      <c r="AB1405" s="38">
        <f t="shared" si="237"/>
        <v>0</v>
      </c>
      <c r="AC1405" s="38">
        <f t="shared" si="238"/>
        <v>0</v>
      </c>
      <c r="AD1405" s="38">
        <f t="shared" si="239"/>
        <v>0</v>
      </c>
      <c r="AE1405" s="38">
        <f t="shared" si="240"/>
        <v>0</v>
      </c>
      <c r="AF1405" s="38">
        <f t="shared" si="241"/>
        <v>0</v>
      </c>
      <c r="AG1405" s="38">
        <f t="shared" si="242"/>
        <v>0</v>
      </c>
      <c r="AH1405" s="38">
        <f t="shared" si="243"/>
        <v>0</v>
      </c>
      <c r="AI1405" s="50" t="s">
        <v>93</v>
      </c>
      <c r="AJ1405" s="38">
        <f t="shared" si="244"/>
        <v>0</v>
      </c>
      <c r="AK1405" s="38">
        <f t="shared" si="245"/>
        <v>0</v>
      </c>
      <c r="AL1405" s="38">
        <f t="shared" si="246"/>
        <v>0</v>
      </c>
      <c r="AN1405" s="38">
        <v>21</v>
      </c>
      <c r="AO1405" s="38">
        <f>H1405*0</f>
        <v>0</v>
      </c>
      <c r="AP1405" s="38">
        <f>H1405*(1-0)</f>
        <v>0</v>
      </c>
      <c r="AQ1405" s="72" t="s">
        <v>162</v>
      </c>
      <c r="AV1405" s="38">
        <f t="shared" si="247"/>
        <v>0</v>
      </c>
      <c r="AW1405" s="38">
        <f t="shared" si="248"/>
        <v>0</v>
      </c>
      <c r="AX1405" s="38">
        <f t="shared" si="249"/>
        <v>0</v>
      </c>
      <c r="AY1405" s="72" t="s">
        <v>2561</v>
      </c>
      <c r="AZ1405" s="72" t="s">
        <v>2562</v>
      </c>
      <c r="BA1405" s="50" t="s">
        <v>2563</v>
      </c>
      <c r="BC1405" s="38">
        <f t="shared" si="250"/>
        <v>0</v>
      </c>
      <c r="BD1405" s="38">
        <f t="shared" si="251"/>
        <v>0</v>
      </c>
      <c r="BE1405" s="38">
        <v>0</v>
      </c>
      <c r="BF1405" s="38">
        <f t="shared" si="252"/>
        <v>0</v>
      </c>
      <c r="BH1405" s="38">
        <f t="shared" si="253"/>
        <v>0</v>
      </c>
      <c r="BI1405" s="38">
        <f t="shared" si="254"/>
        <v>0</v>
      </c>
      <c r="BJ1405" s="38">
        <f t="shared" si="255"/>
        <v>0</v>
      </c>
      <c r="BK1405" s="38"/>
      <c r="BL1405" s="38"/>
      <c r="BW1405" s="38">
        <v>21</v>
      </c>
    </row>
    <row r="1406" spans="1:75" ht="27" customHeight="1">
      <c r="A1406" s="1" t="s">
        <v>2760</v>
      </c>
      <c r="B1406" s="2" t="s">
        <v>93</v>
      </c>
      <c r="C1406" s="2" t="s">
        <v>2761</v>
      </c>
      <c r="D1406" s="108" t="s">
        <v>2762</v>
      </c>
      <c r="E1406" s="103"/>
      <c r="F1406" s="2" t="s">
        <v>199</v>
      </c>
      <c r="G1406" s="38">
        <v>159</v>
      </c>
      <c r="H1406" s="70">
        <v>0</v>
      </c>
      <c r="I1406" s="38">
        <f t="shared" si="234"/>
        <v>0</v>
      </c>
      <c r="J1406" s="38">
        <v>0</v>
      </c>
      <c r="K1406" s="38">
        <f t="shared" si="235"/>
        <v>0</v>
      </c>
      <c r="L1406" s="71" t="s">
        <v>207</v>
      </c>
      <c r="Z1406" s="38">
        <f t="shared" si="236"/>
        <v>0</v>
      </c>
      <c r="AB1406" s="38">
        <f t="shared" si="237"/>
        <v>0</v>
      </c>
      <c r="AC1406" s="38">
        <f t="shared" si="238"/>
        <v>0</v>
      </c>
      <c r="AD1406" s="38">
        <f t="shared" si="239"/>
        <v>0</v>
      </c>
      <c r="AE1406" s="38">
        <f t="shared" si="240"/>
        <v>0</v>
      </c>
      <c r="AF1406" s="38">
        <f t="shared" si="241"/>
        <v>0</v>
      </c>
      <c r="AG1406" s="38">
        <f t="shared" si="242"/>
        <v>0</v>
      </c>
      <c r="AH1406" s="38">
        <f t="shared" si="243"/>
        <v>0</v>
      </c>
      <c r="AI1406" s="50" t="s">
        <v>93</v>
      </c>
      <c r="AJ1406" s="38">
        <f t="shared" si="244"/>
        <v>0</v>
      </c>
      <c r="AK1406" s="38">
        <f t="shared" si="245"/>
        <v>0</v>
      </c>
      <c r="AL1406" s="38">
        <f t="shared" si="246"/>
        <v>0</v>
      </c>
      <c r="AN1406" s="38">
        <v>21</v>
      </c>
      <c r="AO1406" s="38">
        <f>H1406*0</f>
        <v>0</v>
      </c>
      <c r="AP1406" s="38">
        <f>H1406*(1-0)</f>
        <v>0</v>
      </c>
      <c r="AQ1406" s="72" t="s">
        <v>132</v>
      </c>
      <c r="AV1406" s="38">
        <f t="shared" si="247"/>
        <v>0</v>
      </c>
      <c r="AW1406" s="38">
        <f t="shared" si="248"/>
        <v>0</v>
      </c>
      <c r="AX1406" s="38">
        <f t="shared" si="249"/>
        <v>0</v>
      </c>
      <c r="AY1406" s="72" t="s">
        <v>2561</v>
      </c>
      <c r="AZ1406" s="72" t="s">
        <v>2562</v>
      </c>
      <c r="BA1406" s="50" t="s">
        <v>2563</v>
      </c>
      <c r="BC1406" s="38">
        <f t="shared" si="250"/>
        <v>0</v>
      </c>
      <c r="BD1406" s="38">
        <f t="shared" si="251"/>
        <v>0</v>
      </c>
      <c r="BE1406" s="38">
        <v>0</v>
      </c>
      <c r="BF1406" s="38">
        <f t="shared" si="252"/>
        <v>0</v>
      </c>
      <c r="BH1406" s="38">
        <f t="shared" si="253"/>
        <v>0</v>
      </c>
      <c r="BI1406" s="38">
        <f t="shared" si="254"/>
        <v>0</v>
      </c>
      <c r="BJ1406" s="38">
        <f t="shared" si="255"/>
        <v>0</v>
      </c>
      <c r="BK1406" s="38"/>
      <c r="BL1406" s="38"/>
      <c r="BW1406" s="38">
        <v>21</v>
      </c>
    </row>
    <row r="1407" spans="1:75" ht="13.5" customHeight="1">
      <c r="A1407" s="78" t="s">
        <v>2763</v>
      </c>
      <c r="B1407" s="79" t="s">
        <v>93</v>
      </c>
      <c r="C1407" s="79" t="s">
        <v>2764</v>
      </c>
      <c r="D1407" s="198" t="s">
        <v>2765</v>
      </c>
      <c r="E1407" s="199"/>
      <c r="F1407" s="79" t="s">
        <v>2567</v>
      </c>
      <c r="G1407" s="80">
        <v>35</v>
      </c>
      <c r="H1407" s="81">
        <v>0</v>
      </c>
      <c r="I1407" s="80">
        <f t="shared" si="234"/>
        <v>0</v>
      </c>
      <c r="J1407" s="80">
        <v>0</v>
      </c>
      <c r="K1407" s="80">
        <f t="shared" si="235"/>
        <v>0</v>
      </c>
      <c r="L1407" s="82" t="s">
        <v>207</v>
      </c>
      <c r="Z1407" s="38">
        <f t="shared" si="236"/>
        <v>0</v>
      </c>
      <c r="AB1407" s="38">
        <f t="shared" si="237"/>
        <v>0</v>
      </c>
      <c r="AC1407" s="38">
        <f t="shared" si="238"/>
        <v>0</v>
      </c>
      <c r="AD1407" s="38">
        <f t="shared" si="239"/>
        <v>0</v>
      </c>
      <c r="AE1407" s="38">
        <f t="shared" si="240"/>
        <v>0</v>
      </c>
      <c r="AF1407" s="38">
        <f t="shared" si="241"/>
        <v>0</v>
      </c>
      <c r="AG1407" s="38">
        <f t="shared" si="242"/>
        <v>0</v>
      </c>
      <c r="AH1407" s="38">
        <f t="shared" si="243"/>
        <v>0</v>
      </c>
      <c r="AI1407" s="50" t="s">
        <v>93</v>
      </c>
      <c r="AJ1407" s="80">
        <f t="shared" si="244"/>
        <v>0</v>
      </c>
      <c r="AK1407" s="80">
        <f t="shared" si="245"/>
        <v>0</v>
      </c>
      <c r="AL1407" s="80">
        <f t="shared" si="246"/>
        <v>0</v>
      </c>
      <c r="AN1407" s="38">
        <v>21</v>
      </c>
      <c r="AO1407" s="38">
        <f aca="true" t="shared" si="256" ref="AO1407:AO1420">H1407*1</f>
        <v>0</v>
      </c>
      <c r="AP1407" s="38">
        <f aca="true" t="shared" si="257" ref="AP1407:AP1420">H1407*(1-1)</f>
        <v>0</v>
      </c>
      <c r="AQ1407" s="83" t="s">
        <v>132</v>
      </c>
      <c r="AV1407" s="38">
        <f t="shared" si="247"/>
        <v>0</v>
      </c>
      <c r="AW1407" s="38">
        <f t="shared" si="248"/>
        <v>0</v>
      </c>
      <c r="AX1407" s="38">
        <f t="shared" si="249"/>
        <v>0</v>
      </c>
      <c r="AY1407" s="72" t="s">
        <v>2561</v>
      </c>
      <c r="AZ1407" s="72" t="s">
        <v>2562</v>
      </c>
      <c r="BA1407" s="50" t="s">
        <v>2563</v>
      </c>
      <c r="BC1407" s="38">
        <f t="shared" si="250"/>
        <v>0</v>
      </c>
      <c r="BD1407" s="38">
        <f t="shared" si="251"/>
        <v>0</v>
      </c>
      <c r="BE1407" s="38">
        <v>0</v>
      </c>
      <c r="BF1407" s="38">
        <f t="shared" si="252"/>
        <v>0</v>
      </c>
      <c r="BH1407" s="80">
        <f t="shared" si="253"/>
        <v>0</v>
      </c>
      <c r="BI1407" s="80">
        <f t="shared" si="254"/>
        <v>0</v>
      </c>
      <c r="BJ1407" s="80">
        <f t="shared" si="255"/>
        <v>0</v>
      </c>
      <c r="BK1407" s="80"/>
      <c r="BL1407" s="38"/>
      <c r="BW1407" s="38">
        <v>21</v>
      </c>
    </row>
    <row r="1408" spans="1:75" ht="13.5" customHeight="1">
      <c r="A1408" s="78" t="s">
        <v>2766</v>
      </c>
      <c r="B1408" s="79" t="s">
        <v>93</v>
      </c>
      <c r="C1408" s="79" t="s">
        <v>2767</v>
      </c>
      <c r="D1408" s="198" t="s">
        <v>2768</v>
      </c>
      <c r="E1408" s="199"/>
      <c r="F1408" s="79" t="s">
        <v>2567</v>
      </c>
      <c r="G1408" s="80">
        <v>1</v>
      </c>
      <c r="H1408" s="81">
        <v>0</v>
      </c>
      <c r="I1408" s="80">
        <f t="shared" si="234"/>
        <v>0</v>
      </c>
      <c r="J1408" s="80">
        <v>0</v>
      </c>
      <c r="K1408" s="80">
        <f t="shared" si="235"/>
        <v>0</v>
      </c>
      <c r="L1408" s="82" t="s">
        <v>207</v>
      </c>
      <c r="Z1408" s="38">
        <f t="shared" si="236"/>
        <v>0</v>
      </c>
      <c r="AB1408" s="38">
        <f t="shared" si="237"/>
        <v>0</v>
      </c>
      <c r="AC1408" s="38">
        <f t="shared" si="238"/>
        <v>0</v>
      </c>
      <c r="AD1408" s="38">
        <f t="shared" si="239"/>
        <v>0</v>
      </c>
      <c r="AE1408" s="38">
        <f t="shared" si="240"/>
        <v>0</v>
      </c>
      <c r="AF1408" s="38">
        <f t="shared" si="241"/>
        <v>0</v>
      </c>
      <c r="AG1408" s="38">
        <f t="shared" si="242"/>
        <v>0</v>
      </c>
      <c r="AH1408" s="38">
        <f t="shared" si="243"/>
        <v>0</v>
      </c>
      <c r="AI1408" s="50" t="s">
        <v>93</v>
      </c>
      <c r="AJ1408" s="80">
        <f t="shared" si="244"/>
        <v>0</v>
      </c>
      <c r="AK1408" s="80">
        <f t="shared" si="245"/>
        <v>0</v>
      </c>
      <c r="AL1408" s="80">
        <f t="shared" si="246"/>
        <v>0</v>
      </c>
      <c r="AN1408" s="38">
        <v>21</v>
      </c>
      <c r="AO1408" s="38">
        <f t="shared" si="256"/>
        <v>0</v>
      </c>
      <c r="AP1408" s="38">
        <f t="shared" si="257"/>
        <v>0</v>
      </c>
      <c r="AQ1408" s="83" t="s">
        <v>132</v>
      </c>
      <c r="AV1408" s="38">
        <f t="shared" si="247"/>
        <v>0</v>
      </c>
      <c r="AW1408" s="38">
        <f t="shared" si="248"/>
        <v>0</v>
      </c>
      <c r="AX1408" s="38">
        <f t="shared" si="249"/>
        <v>0</v>
      </c>
      <c r="AY1408" s="72" t="s">
        <v>2561</v>
      </c>
      <c r="AZ1408" s="72" t="s">
        <v>2562</v>
      </c>
      <c r="BA1408" s="50" t="s">
        <v>2563</v>
      </c>
      <c r="BC1408" s="38">
        <f t="shared" si="250"/>
        <v>0</v>
      </c>
      <c r="BD1408" s="38">
        <f t="shared" si="251"/>
        <v>0</v>
      </c>
      <c r="BE1408" s="38">
        <v>0</v>
      </c>
      <c r="BF1408" s="38">
        <f t="shared" si="252"/>
        <v>0</v>
      </c>
      <c r="BH1408" s="80">
        <f t="shared" si="253"/>
        <v>0</v>
      </c>
      <c r="BI1408" s="80">
        <f t="shared" si="254"/>
        <v>0</v>
      </c>
      <c r="BJ1408" s="80">
        <f t="shared" si="255"/>
        <v>0</v>
      </c>
      <c r="BK1408" s="80"/>
      <c r="BL1408" s="38"/>
      <c r="BW1408" s="38">
        <v>21</v>
      </c>
    </row>
    <row r="1409" spans="1:75" ht="13.5" customHeight="1">
      <c r="A1409" s="78" t="s">
        <v>2769</v>
      </c>
      <c r="B1409" s="79" t="s">
        <v>93</v>
      </c>
      <c r="C1409" s="79" t="s">
        <v>2770</v>
      </c>
      <c r="D1409" s="198" t="s">
        <v>2771</v>
      </c>
      <c r="E1409" s="199"/>
      <c r="F1409" s="79" t="s">
        <v>1097</v>
      </c>
      <c r="G1409" s="80">
        <v>26</v>
      </c>
      <c r="H1409" s="81">
        <v>0</v>
      </c>
      <c r="I1409" s="80">
        <f t="shared" si="234"/>
        <v>0</v>
      </c>
      <c r="J1409" s="80">
        <v>0</v>
      </c>
      <c r="K1409" s="80">
        <f t="shared" si="235"/>
        <v>0</v>
      </c>
      <c r="L1409" s="82" t="s">
        <v>207</v>
      </c>
      <c r="Z1409" s="38">
        <f t="shared" si="236"/>
        <v>0</v>
      </c>
      <c r="AB1409" s="38">
        <f t="shared" si="237"/>
        <v>0</v>
      </c>
      <c r="AC1409" s="38">
        <f t="shared" si="238"/>
        <v>0</v>
      </c>
      <c r="AD1409" s="38">
        <f t="shared" si="239"/>
        <v>0</v>
      </c>
      <c r="AE1409" s="38">
        <f t="shared" si="240"/>
        <v>0</v>
      </c>
      <c r="AF1409" s="38">
        <f t="shared" si="241"/>
        <v>0</v>
      </c>
      <c r="AG1409" s="38">
        <f t="shared" si="242"/>
        <v>0</v>
      </c>
      <c r="AH1409" s="38">
        <f t="shared" si="243"/>
        <v>0</v>
      </c>
      <c r="AI1409" s="50" t="s">
        <v>93</v>
      </c>
      <c r="AJ1409" s="80">
        <f t="shared" si="244"/>
        <v>0</v>
      </c>
      <c r="AK1409" s="80">
        <f t="shared" si="245"/>
        <v>0</v>
      </c>
      <c r="AL1409" s="80">
        <f t="shared" si="246"/>
        <v>0</v>
      </c>
      <c r="AN1409" s="38">
        <v>21</v>
      </c>
      <c r="AO1409" s="38">
        <f t="shared" si="256"/>
        <v>0</v>
      </c>
      <c r="AP1409" s="38">
        <f t="shared" si="257"/>
        <v>0</v>
      </c>
      <c r="AQ1409" s="83" t="s">
        <v>132</v>
      </c>
      <c r="AV1409" s="38">
        <f t="shared" si="247"/>
        <v>0</v>
      </c>
      <c r="AW1409" s="38">
        <f t="shared" si="248"/>
        <v>0</v>
      </c>
      <c r="AX1409" s="38">
        <f t="shared" si="249"/>
        <v>0</v>
      </c>
      <c r="AY1409" s="72" t="s">
        <v>2561</v>
      </c>
      <c r="AZ1409" s="72" t="s">
        <v>2562</v>
      </c>
      <c r="BA1409" s="50" t="s">
        <v>2563</v>
      </c>
      <c r="BC1409" s="38">
        <f t="shared" si="250"/>
        <v>0</v>
      </c>
      <c r="BD1409" s="38">
        <f t="shared" si="251"/>
        <v>0</v>
      </c>
      <c r="BE1409" s="38">
        <v>0</v>
      </c>
      <c r="BF1409" s="38">
        <f t="shared" si="252"/>
        <v>0</v>
      </c>
      <c r="BH1409" s="80">
        <f t="shared" si="253"/>
        <v>0</v>
      </c>
      <c r="BI1409" s="80">
        <f t="shared" si="254"/>
        <v>0</v>
      </c>
      <c r="BJ1409" s="80">
        <f t="shared" si="255"/>
        <v>0</v>
      </c>
      <c r="BK1409" s="80"/>
      <c r="BL1409" s="38"/>
      <c r="BW1409" s="38">
        <v>21</v>
      </c>
    </row>
    <row r="1410" spans="1:75" ht="13.5" customHeight="1">
      <c r="A1410" s="78" t="s">
        <v>2772</v>
      </c>
      <c r="B1410" s="79" t="s">
        <v>93</v>
      </c>
      <c r="C1410" s="79" t="s">
        <v>2773</v>
      </c>
      <c r="D1410" s="198" t="s">
        <v>2774</v>
      </c>
      <c r="E1410" s="199"/>
      <c r="F1410" s="79" t="s">
        <v>2567</v>
      </c>
      <c r="G1410" s="80">
        <v>3</v>
      </c>
      <c r="H1410" s="81">
        <v>0</v>
      </c>
      <c r="I1410" s="80">
        <f t="shared" si="234"/>
        <v>0</v>
      </c>
      <c r="J1410" s="80">
        <v>0</v>
      </c>
      <c r="K1410" s="80">
        <f t="shared" si="235"/>
        <v>0</v>
      </c>
      <c r="L1410" s="82" t="s">
        <v>207</v>
      </c>
      <c r="Z1410" s="38">
        <f t="shared" si="236"/>
        <v>0</v>
      </c>
      <c r="AB1410" s="38">
        <f t="shared" si="237"/>
        <v>0</v>
      </c>
      <c r="AC1410" s="38">
        <f t="shared" si="238"/>
        <v>0</v>
      </c>
      <c r="AD1410" s="38">
        <f t="shared" si="239"/>
        <v>0</v>
      </c>
      <c r="AE1410" s="38">
        <f t="shared" si="240"/>
        <v>0</v>
      </c>
      <c r="AF1410" s="38">
        <f t="shared" si="241"/>
        <v>0</v>
      </c>
      <c r="AG1410" s="38">
        <f t="shared" si="242"/>
        <v>0</v>
      </c>
      <c r="AH1410" s="38">
        <f t="shared" si="243"/>
        <v>0</v>
      </c>
      <c r="AI1410" s="50" t="s">
        <v>93</v>
      </c>
      <c r="AJ1410" s="80">
        <f t="shared" si="244"/>
        <v>0</v>
      </c>
      <c r="AK1410" s="80">
        <f t="shared" si="245"/>
        <v>0</v>
      </c>
      <c r="AL1410" s="80">
        <f t="shared" si="246"/>
        <v>0</v>
      </c>
      <c r="AN1410" s="38">
        <v>21</v>
      </c>
      <c r="AO1410" s="38">
        <f t="shared" si="256"/>
        <v>0</v>
      </c>
      <c r="AP1410" s="38">
        <f t="shared" si="257"/>
        <v>0</v>
      </c>
      <c r="AQ1410" s="83" t="s">
        <v>132</v>
      </c>
      <c r="AV1410" s="38">
        <f t="shared" si="247"/>
        <v>0</v>
      </c>
      <c r="AW1410" s="38">
        <f t="shared" si="248"/>
        <v>0</v>
      </c>
      <c r="AX1410" s="38">
        <f t="shared" si="249"/>
        <v>0</v>
      </c>
      <c r="AY1410" s="72" t="s">
        <v>2561</v>
      </c>
      <c r="AZ1410" s="72" t="s">
        <v>2562</v>
      </c>
      <c r="BA1410" s="50" t="s">
        <v>2563</v>
      </c>
      <c r="BC1410" s="38">
        <f t="shared" si="250"/>
        <v>0</v>
      </c>
      <c r="BD1410" s="38">
        <f t="shared" si="251"/>
        <v>0</v>
      </c>
      <c r="BE1410" s="38">
        <v>0</v>
      </c>
      <c r="BF1410" s="38">
        <f t="shared" si="252"/>
        <v>0</v>
      </c>
      <c r="BH1410" s="80">
        <f t="shared" si="253"/>
        <v>0</v>
      </c>
      <c r="BI1410" s="80">
        <f t="shared" si="254"/>
        <v>0</v>
      </c>
      <c r="BJ1410" s="80">
        <f t="shared" si="255"/>
        <v>0</v>
      </c>
      <c r="BK1410" s="80"/>
      <c r="BL1410" s="38"/>
      <c r="BW1410" s="38">
        <v>21</v>
      </c>
    </row>
    <row r="1411" spans="1:75" ht="13.5" customHeight="1">
      <c r="A1411" s="78" t="s">
        <v>2775</v>
      </c>
      <c r="B1411" s="79" t="s">
        <v>93</v>
      </c>
      <c r="C1411" s="79" t="s">
        <v>2776</v>
      </c>
      <c r="D1411" s="198" t="s">
        <v>2777</v>
      </c>
      <c r="E1411" s="199"/>
      <c r="F1411" s="79" t="s">
        <v>2567</v>
      </c>
      <c r="G1411" s="80">
        <v>11</v>
      </c>
      <c r="H1411" s="81">
        <v>0</v>
      </c>
      <c r="I1411" s="80">
        <f t="shared" si="234"/>
        <v>0</v>
      </c>
      <c r="J1411" s="80">
        <v>0</v>
      </c>
      <c r="K1411" s="80">
        <f t="shared" si="235"/>
        <v>0</v>
      </c>
      <c r="L1411" s="82" t="s">
        <v>207</v>
      </c>
      <c r="Z1411" s="38">
        <f t="shared" si="236"/>
        <v>0</v>
      </c>
      <c r="AB1411" s="38">
        <f t="shared" si="237"/>
        <v>0</v>
      </c>
      <c r="AC1411" s="38">
        <f t="shared" si="238"/>
        <v>0</v>
      </c>
      <c r="AD1411" s="38">
        <f t="shared" si="239"/>
        <v>0</v>
      </c>
      <c r="AE1411" s="38">
        <f t="shared" si="240"/>
        <v>0</v>
      </c>
      <c r="AF1411" s="38">
        <f t="shared" si="241"/>
        <v>0</v>
      </c>
      <c r="AG1411" s="38">
        <f t="shared" si="242"/>
        <v>0</v>
      </c>
      <c r="AH1411" s="38">
        <f t="shared" si="243"/>
        <v>0</v>
      </c>
      <c r="AI1411" s="50" t="s">
        <v>93</v>
      </c>
      <c r="AJ1411" s="80">
        <f t="shared" si="244"/>
        <v>0</v>
      </c>
      <c r="AK1411" s="80">
        <f t="shared" si="245"/>
        <v>0</v>
      </c>
      <c r="AL1411" s="80">
        <f t="shared" si="246"/>
        <v>0</v>
      </c>
      <c r="AN1411" s="38">
        <v>21</v>
      </c>
      <c r="AO1411" s="38">
        <f t="shared" si="256"/>
        <v>0</v>
      </c>
      <c r="AP1411" s="38">
        <f t="shared" si="257"/>
        <v>0</v>
      </c>
      <c r="AQ1411" s="83" t="s">
        <v>132</v>
      </c>
      <c r="AV1411" s="38">
        <f t="shared" si="247"/>
        <v>0</v>
      </c>
      <c r="AW1411" s="38">
        <f t="shared" si="248"/>
        <v>0</v>
      </c>
      <c r="AX1411" s="38">
        <f t="shared" si="249"/>
        <v>0</v>
      </c>
      <c r="AY1411" s="72" t="s">
        <v>2561</v>
      </c>
      <c r="AZ1411" s="72" t="s">
        <v>2562</v>
      </c>
      <c r="BA1411" s="50" t="s">
        <v>2563</v>
      </c>
      <c r="BC1411" s="38">
        <f t="shared" si="250"/>
        <v>0</v>
      </c>
      <c r="BD1411" s="38">
        <f t="shared" si="251"/>
        <v>0</v>
      </c>
      <c r="BE1411" s="38">
        <v>0</v>
      </c>
      <c r="BF1411" s="38">
        <f t="shared" si="252"/>
        <v>0</v>
      </c>
      <c r="BH1411" s="80">
        <f t="shared" si="253"/>
        <v>0</v>
      </c>
      <c r="BI1411" s="80">
        <f t="shared" si="254"/>
        <v>0</v>
      </c>
      <c r="BJ1411" s="80">
        <f t="shared" si="255"/>
        <v>0</v>
      </c>
      <c r="BK1411" s="80"/>
      <c r="BL1411" s="38"/>
      <c r="BW1411" s="38">
        <v>21</v>
      </c>
    </row>
    <row r="1412" spans="1:75" ht="13.5" customHeight="1">
      <c r="A1412" s="78" t="s">
        <v>2778</v>
      </c>
      <c r="B1412" s="79" t="s">
        <v>93</v>
      </c>
      <c r="C1412" s="79" t="s">
        <v>2779</v>
      </c>
      <c r="D1412" s="198" t="s">
        <v>2780</v>
      </c>
      <c r="E1412" s="199"/>
      <c r="F1412" s="79" t="s">
        <v>2567</v>
      </c>
      <c r="G1412" s="80">
        <v>29</v>
      </c>
      <c r="H1412" s="81">
        <v>0</v>
      </c>
      <c r="I1412" s="80">
        <f t="shared" si="234"/>
        <v>0</v>
      </c>
      <c r="J1412" s="80">
        <v>0</v>
      </c>
      <c r="K1412" s="80">
        <f t="shared" si="235"/>
        <v>0</v>
      </c>
      <c r="L1412" s="82" t="s">
        <v>207</v>
      </c>
      <c r="Z1412" s="38">
        <f t="shared" si="236"/>
        <v>0</v>
      </c>
      <c r="AB1412" s="38">
        <f t="shared" si="237"/>
        <v>0</v>
      </c>
      <c r="AC1412" s="38">
        <f t="shared" si="238"/>
        <v>0</v>
      </c>
      <c r="AD1412" s="38">
        <f t="shared" si="239"/>
        <v>0</v>
      </c>
      <c r="AE1412" s="38">
        <f t="shared" si="240"/>
        <v>0</v>
      </c>
      <c r="AF1412" s="38">
        <f t="shared" si="241"/>
        <v>0</v>
      </c>
      <c r="AG1412" s="38">
        <f t="shared" si="242"/>
        <v>0</v>
      </c>
      <c r="AH1412" s="38">
        <f t="shared" si="243"/>
        <v>0</v>
      </c>
      <c r="AI1412" s="50" t="s">
        <v>93</v>
      </c>
      <c r="AJ1412" s="80">
        <f t="shared" si="244"/>
        <v>0</v>
      </c>
      <c r="AK1412" s="80">
        <f t="shared" si="245"/>
        <v>0</v>
      </c>
      <c r="AL1412" s="80">
        <f t="shared" si="246"/>
        <v>0</v>
      </c>
      <c r="AN1412" s="38">
        <v>21</v>
      </c>
      <c r="AO1412" s="38">
        <f t="shared" si="256"/>
        <v>0</v>
      </c>
      <c r="AP1412" s="38">
        <f t="shared" si="257"/>
        <v>0</v>
      </c>
      <c r="AQ1412" s="83" t="s">
        <v>132</v>
      </c>
      <c r="AV1412" s="38">
        <f t="shared" si="247"/>
        <v>0</v>
      </c>
      <c r="AW1412" s="38">
        <f t="shared" si="248"/>
        <v>0</v>
      </c>
      <c r="AX1412" s="38">
        <f t="shared" si="249"/>
        <v>0</v>
      </c>
      <c r="AY1412" s="72" t="s">
        <v>2561</v>
      </c>
      <c r="AZ1412" s="72" t="s">
        <v>2562</v>
      </c>
      <c r="BA1412" s="50" t="s">
        <v>2563</v>
      </c>
      <c r="BC1412" s="38">
        <f t="shared" si="250"/>
        <v>0</v>
      </c>
      <c r="BD1412" s="38">
        <f t="shared" si="251"/>
        <v>0</v>
      </c>
      <c r="BE1412" s="38">
        <v>0</v>
      </c>
      <c r="BF1412" s="38">
        <f t="shared" si="252"/>
        <v>0</v>
      </c>
      <c r="BH1412" s="80">
        <f t="shared" si="253"/>
        <v>0</v>
      </c>
      <c r="BI1412" s="80">
        <f t="shared" si="254"/>
        <v>0</v>
      </c>
      <c r="BJ1412" s="80">
        <f t="shared" si="255"/>
        <v>0</v>
      </c>
      <c r="BK1412" s="80"/>
      <c r="BL1412" s="38"/>
      <c r="BW1412" s="38">
        <v>21</v>
      </c>
    </row>
    <row r="1413" spans="1:75" ht="13.5" customHeight="1">
      <c r="A1413" s="78" t="s">
        <v>2781</v>
      </c>
      <c r="B1413" s="79" t="s">
        <v>93</v>
      </c>
      <c r="C1413" s="79" t="s">
        <v>2782</v>
      </c>
      <c r="D1413" s="198" t="s">
        <v>2783</v>
      </c>
      <c r="E1413" s="199"/>
      <c r="F1413" s="79" t="s">
        <v>2567</v>
      </c>
      <c r="G1413" s="80">
        <v>4</v>
      </c>
      <c r="H1413" s="81">
        <v>0</v>
      </c>
      <c r="I1413" s="80">
        <f t="shared" si="234"/>
        <v>0</v>
      </c>
      <c r="J1413" s="80">
        <v>0</v>
      </c>
      <c r="K1413" s="80">
        <f t="shared" si="235"/>
        <v>0</v>
      </c>
      <c r="L1413" s="82" t="s">
        <v>207</v>
      </c>
      <c r="Z1413" s="38">
        <f t="shared" si="236"/>
        <v>0</v>
      </c>
      <c r="AB1413" s="38">
        <f t="shared" si="237"/>
        <v>0</v>
      </c>
      <c r="AC1413" s="38">
        <f t="shared" si="238"/>
        <v>0</v>
      </c>
      <c r="AD1413" s="38">
        <f t="shared" si="239"/>
        <v>0</v>
      </c>
      <c r="AE1413" s="38">
        <f t="shared" si="240"/>
        <v>0</v>
      </c>
      <c r="AF1413" s="38">
        <f t="shared" si="241"/>
        <v>0</v>
      </c>
      <c r="AG1413" s="38">
        <f t="shared" si="242"/>
        <v>0</v>
      </c>
      <c r="AH1413" s="38">
        <f t="shared" si="243"/>
        <v>0</v>
      </c>
      <c r="AI1413" s="50" t="s">
        <v>93</v>
      </c>
      <c r="AJ1413" s="80">
        <f t="shared" si="244"/>
        <v>0</v>
      </c>
      <c r="AK1413" s="80">
        <f t="shared" si="245"/>
        <v>0</v>
      </c>
      <c r="AL1413" s="80">
        <f t="shared" si="246"/>
        <v>0</v>
      </c>
      <c r="AN1413" s="38">
        <v>21</v>
      </c>
      <c r="AO1413" s="38">
        <f t="shared" si="256"/>
        <v>0</v>
      </c>
      <c r="AP1413" s="38">
        <f t="shared" si="257"/>
        <v>0</v>
      </c>
      <c r="AQ1413" s="83" t="s">
        <v>132</v>
      </c>
      <c r="AV1413" s="38">
        <f t="shared" si="247"/>
        <v>0</v>
      </c>
      <c r="AW1413" s="38">
        <f t="shared" si="248"/>
        <v>0</v>
      </c>
      <c r="AX1413" s="38">
        <f t="shared" si="249"/>
        <v>0</v>
      </c>
      <c r="AY1413" s="72" t="s">
        <v>2561</v>
      </c>
      <c r="AZ1413" s="72" t="s">
        <v>2562</v>
      </c>
      <c r="BA1413" s="50" t="s">
        <v>2563</v>
      </c>
      <c r="BC1413" s="38">
        <f t="shared" si="250"/>
        <v>0</v>
      </c>
      <c r="BD1413" s="38">
        <f t="shared" si="251"/>
        <v>0</v>
      </c>
      <c r="BE1413" s="38">
        <v>0</v>
      </c>
      <c r="BF1413" s="38">
        <f t="shared" si="252"/>
        <v>0</v>
      </c>
      <c r="BH1413" s="80">
        <f t="shared" si="253"/>
        <v>0</v>
      </c>
      <c r="BI1413" s="80">
        <f t="shared" si="254"/>
        <v>0</v>
      </c>
      <c r="BJ1413" s="80">
        <f t="shared" si="255"/>
        <v>0</v>
      </c>
      <c r="BK1413" s="80"/>
      <c r="BL1413" s="38"/>
      <c r="BW1413" s="38">
        <v>21</v>
      </c>
    </row>
    <row r="1414" spans="1:75" ht="13.5" customHeight="1">
      <c r="A1414" s="78" t="s">
        <v>2784</v>
      </c>
      <c r="B1414" s="79" t="s">
        <v>93</v>
      </c>
      <c r="C1414" s="79" t="s">
        <v>2785</v>
      </c>
      <c r="D1414" s="198" t="s">
        <v>2786</v>
      </c>
      <c r="E1414" s="199"/>
      <c r="F1414" s="79" t="s">
        <v>2567</v>
      </c>
      <c r="G1414" s="80">
        <v>16</v>
      </c>
      <c r="H1414" s="81">
        <v>0</v>
      </c>
      <c r="I1414" s="80">
        <f t="shared" si="234"/>
        <v>0</v>
      </c>
      <c r="J1414" s="80">
        <v>0</v>
      </c>
      <c r="K1414" s="80">
        <f t="shared" si="235"/>
        <v>0</v>
      </c>
      <c r="L1414" s="82" t="s">
        <v>207</v>
      </c>
      <c r="Z1414" s="38">
        <f t="shared" si="236"/>
        <v>0</v>
      </c>
      <c r="AB1414" s="38">
        <f t="shared" si="237"/>
        <v>0</v>
      </c>
      <c r="AC1414" s="38">
        <f t="shared" si="238"/>
        <v>0</v>
      </c>
      <c r="AD1414" s="38">
        <f t="shared" si="239"/>
        <v>0</v>
      </c>
      <c r="AE1414" s="38">
        <f t="shared" si="240"/>
        <v>0</v>
      </c>
      <c r="AF1414" s="38">
        <f t="shared" si="241"/>
        <v>0</v>
      </c>
      <c r="AG1414" s="38">
        <f t="shared" si="242"/>
        <v>0</v>
      </c>
      <c r="AH1414" s="38">
        <f t="shared" si="243"/>
        <v>0</v>
      </c>
      <c r="AI1414" s="50" t="s">
        <v>93</v>
      </c>
      <c r="AJ1414" s="80">
        <f t="shared" si="244"/>
        <v>0</v>
      </c>
      <c r="AK1414" s="80">
        <f t="shared" si="245"/>
        <v>0</v>
      </c>
      <c r="AL1414" s="80">
        <f t="shared" si="246"/>
        <v>0</v>
      </c>
      <c r="AN1414" s="38">
        <v>21</v>
      </c>
      <c r="AO1414" s="38">
        <f t="shared" si="256"/>
        <v>0</v>
      </c>
      <c r="AP1414" s="38">
        <f t="shared" si="257"/>
        <v>0</v>
      </c>
      <c r="AQ1414" s="83" t="s">
        <v>132</v>
      </c>
      <c r="AV1414" s="38">
        <f t="shared" si="247"/>
        <v>0</v>
      </c>
      <c r="AW1414" s="38">
        <f t="shared" si="248"/>
        <v>0</v>
      </c>
      <c r="AX1414" s="38">
        <f t="shared" si="249"/>
        <v>0</v>
      </c>
      <c r="AY1414" s="72" t="s">
        <v>2561</v>
      </c>
      <c r="AZ1414" s="72" t="s">
        <v>2562</v>
      </c>
      <c r="BA1414" s="50" t="s">
        <v>2563</v>
      </c>
      <c r="BC1414" s="38">
        <f t="shared" si="250"/>
        <v>0</v>
      </c>
      <c r="BD1414" s="38">
        <f t="shared" si="251"/>
        <v>0</v>
      </c>
      <c r="BE1414" s="38">
        <v>0</v>
      </c>
      <c r="BF1414" s="38">
        <f t="shared" si="252"/>
        <v>0</v>
      </c>
      <c r="BH1414" s="80">
        <f t="shared" si="253"/>
        <v>0</v>
      </c>
      <c r="BI1414" s="80">
        <f t="shared" si="254"/>
        <v>0</v>
      </c>
      <c r="BJ1414" s="80">
        <f t="shared" si="255"/>
        <v>0</v>
      </c>
      <c r="BK1414" s="80"/>
      <c r="BL1414" s="38"/>
      <c r="BW1414" s="38">
        <v>21</v>
      </c>
    </row>
    <row r="1415" spans="1:75" ht="13.5" customHeight="1">
      <c r="A1415" s="78" t="s">
        <v>2787</v>
      </c>
      <c r="B1415" s="79" t="s">
        <v>93</v>
      </c>
      <c r="C1415" s="79" t="s">
        <v>2788</v>
      </c>
      <c r="D1415" s="198" t="s">
        <v>2789</v>
      </c>
      <c r="E1415" s="199"/>
      <c r="F1415" s="79" t="s">
        <v>2567</v>
      </c>
      <c r="G1415" s="80">
        <v>1</v>
      </c>
      <c r="H1415" s="81">
        <v>0</v>
      </c>
      <c r="I1415" s="80">
        <f t="shared" si="234"/>
        <v>0</v>
      </c>
      <c r="J1415" s="80">
        <v>0</v>
      </c>
      <c r="K1415" s="80">
        <f t="shared" si="235"/>
        <v>0</v>
      </c>
      <c r="L1415" s="82" t="s">
        <v>207</v>
      </c>
      <c r="Z1415" s="38">
        <f t="shared" si="236"/>
        <v>0</v>
      </c>
      <c r="AB1415" s="38">
        <f t="shared" si="237"/>
        <v>0</v>
      </c>
      <c r="AC1415" s="38">
        <f t="shared" si="238"/>
        <v>0</v>
      </c>
      <c r="AD1415" s="38">
        <f t="shared" si="239"/>
        <v>0</v>
      </c>
      <c r="AE1415" s="38">
        <f t="shared" si="240"/>
        <v>0</v>
      </c>
      <c r="AF1415" s="38">
        <f t="shared" si="241"/>
        <v>0</v>
      </c>
      <c r="AG1415" s="38">
        <f t="shared" si="242"/>
        <v>0</v>
      </c>
      <c r="AH1415" s="38">
        <f t="shared" si="243"/>
        <v>0</v>
      </c>
      <c r="AI1415" s="50" t="s">
        <v>93</v>
      </c>
      <c r="AJ1415" s="80">
        <f t="shared" si="244"/>
        <v>0</v>
      </c>
      <c r="AK1415" s="80">
        <f t="shared" si="245"/>
        <v>0</v>
      </c>
      <c r="AL1415" s="80">
        <f t="shared" si="246"/>
        <v>0</v>
      </c>
      <c r="AN1415" s="38">
        <v>21</v>
      </c>
      <c r="AO1415" s="38">
        <f t="shared" si="256"/>
        <v>0</v>
      </c>
      <c r="AP1415" s="38">
        <f t="shared" si="257"/>
        <v>0</v>
      </c>
      <c r="AQ1415" s="83" t="s">
        <v>132</v>
      </c>
      <c r="AV1415" s="38">
        <f t="shared" si="247"/>
        <v>0</v>
      </c>
      <c r="AW1415" s="38">
        <f t="shared" si="248"/>
        <v>0</v>
      </c>
      <c r="AX1415" s="38">
        <f t="shared" si="249"/>
        <v>0</v>
      </c>
      <c r="AY1415" s="72" t="s">
        <v>2561</v>
      </c>
      <c r="AZ1415" s="72" t="s">
        <v>2562</v>
      </c>
      <c r="BA1415" s="50" t="s">
        <v>2563</v>
      </c>
      <c r="BC1415" s="38">
        <f t="shared" si="250"/>
        <v>0</v>
      </c>
      <c r="BD1415" s="38">
        <f t="shared" si="251"/>
        <v>0</v>
      </c>
      <c r="BE1415" s="38">
        <v>0</v>
      </c>
      <c r="BF1415" s="38">
        <f t="shared" si="252"/>
        <v>0</v>
      </c>
      <c r="BH1415" s="80">
        <f t="shared" si="253"/>
        <v>0</v>
      </c>
      <c r="BI1415" s="80">
        <f t="shared" si="254"/>
        <v>0</v>
      </c>
      <c r="BJ1415" s="80">
        <f t="shared" si="255"/>
        <v>0</v>
      </c>
      <c r="BK1415" s="80"/>
      <c r="BL1415" s="38"/>
      <c r="BW1415" s="38">
        <v>21</v>
      </c>
    </row>
    <row r="1416" spans="1:75" ht="13.5" customHeight="1">
      <c r="A1416" s="78" t="s">
        <v>2790</v>
      </c>
      <c r="B1416" s="79" t="s">
        <v>93</v>
      </c>
      <c r="C1416" s="79" t="s">
        <v>2791</v>
      </c>
      <c r="D1416" s="198" t="s">
        <v>2792</v>
      </c>
      <c r="E1416" s="199"/>
      <c r="F1416" s="79" t="s">
        <v>2567</v>
      </c>
      <c r="G1416" s="80">
        <v>7</v>
      </c>
      <c r="H1416" s="81">
        <v>0</v>
      </c>
      <c r="I1416" s="80">
        <f t="shared" si="234"/>
        <v>0</v>
      </c>
      <c r="J1416" s="80">
        <v>0</v>
      </c>
      <c r="K1416" s="80">
        <f t="shared" si="235"/>
        <v>0</v>
      </c>
      <c r="L1416" s="82" t="s">
        <v>207</v>
      </c>
      <c r="Z1416" s="38">
        <f t="shared" si="236"/>
        <v>0</v>
      </c>
      <c r="AB1416" s="38">
        <f t="shared" si="237"/>
        <v>0</v>
      </c>
      <c r="AC1416" s="38">
        <f t="shared" si="238"/>
        <v>0</v>
      </c>
      <c r="AD1416" s="38">
        <f t="shared" si="239"/>
        <v>0</v>
      </c>
      <c r="AE1416" s="38">
        <f t="shared" si="240"/>
        <v>0</v>
      </c>
      <c r="AF1416" s="38">
        <f t="shared" si="241"/>
        <v>0</v>
      </c>
      <c r="AG1416" s="38">
        <f t="shared" si="242"/>
        <v>0</v>
      </c>
      <c r="AH1416" s="38">
        <f t="shared" si="243"/>
        <v>0</v>
      </c>
      <c r="AI1416" s="50" t="s">
        <v>93</v>
      </c>
      <c r="AJ1416" s="80">
        <f t="shared" si="244"/>
        <v>0</v>
      </c>
      <c r="AK1416" s="80">
        <f t="shared" si="245"/>
        <v>0</v>
      </c>
      <c r="AL1416" s="80">
        <f t="shared" si="246"/>
        <v>0</v>
      </c>
      <c r="AN1416" s="38">
        <v>21</v>
      </c>
      <c r="AO1416" s="38">
        <f t="shared" si="256"/>
        <v>0</v>
      </c>
      <c r="AP1416" s="38">
        <f t="shared" si="257"/>
        <v>0</v>
      </c>
      <c r="AQ1416" s="83" t="s">
        <v>132</v>
      </c>
      <c r="AV1416" s="38">
        <f t="shared" si="247"/>
        <v>0</v>
      </c>
      <c r="AW1416" s="38">
        <f t="shared" si="248"/>
        <v>0</v>
      </c>
      <c r="AX1416" s="38">
        <f t="shared" si="249"/>
        <v>0</v>
      </c>
      <c r="AY1416" s="72" t="s">
        <v>2561</v>
      </c>
      <c r="AZ1416" s="72" t="s">
        <v>2562</v>
      </c>
      <c r="BA1416" s="50" t="s">
        <v>2563</v>
      </c>
      <c r="BC1416" s="38">
        <f t="shared" si="250"/>
        <v>0</v>
      </c>
      <c r="BD1416" s="38">
        <f t="shared" si="251"/>
        <v>0</v>
      </c>
      <c r="BE1416" s="38">
        <v>0</v>
      </c>
      <c r="BF1416" s="38">
        <f t="shared" si="252"/>
        <v>0</v>
      </c>
      <c r="BH1416" s="80">
        <f t="shared" si="253"/>
        <v>0</v>
      </c>
      <c r="BI1416" s="80">
        <f t="shared" si="254"/>
        <v>0</v>
      </c>
      <c r="BJ1416" s="80">
        <f t="shared" si="255"/>
        <v>0</v>
      </c>
      <c r="BK1416" s="80"/>
      <c r="BL1416" s="38"/>
      <c r="BW1416" s="38">
        <v>21</v>
      </c>
    </row>
    <row r="1417" spans="1:75" ht="13.5" customHeight="1">
      <c r="A1417" s="78" t="s">
        <v>2793</v>
      </c>
      <c r="B1417" s="79" t="s">
        <v>93</v>
      </c>
      <c r="C1417" s="79" t="s">
        <v>2794</v>
      </c>
      <c r="D1417" s="198" t="s">
        <v>2795</v>
      </c>
      <c r="E1417" s="199"/>
      <c r="F1417" s="79" t="s">
        <v>2567</v>
      </c>
      <c r="G1417" s="80">
        <v>9</v>
      </c>
      <c r="H1417" s="81">
        <v>0</v>
      </c>
      <c r="I1417" s="80">
        <f t="shared" si="234"/>
        <v>0</v>
      </c>
      <c r="J1417" s="80">
        <v>0</v>
      </c>
      <c r="K1417" s="80">
        <f t="shared" si="235"/>
        <v>0</v>
      </c>
      <c r="L1417" s="82" t="s">
        <v>207</v>
      </c>
      <c r="Z1417" s="38">
        <f t="shared" si="236"/>
        <v>0</v>
      </c>
      <c r="AB1417" s="38">
        <f t="shared" si="237"/>
        <v>0</v>
      </c>
      <c r="AC1417" s="38">
        <f t="shared" si="238"/>
        <v>0</v>
      </c>
      <c r="AD1417" s="38">
        <f t="shared" si="239"/>
        <v>0</v>
      </c>
      <c r="AE1417" s="38">
        <f t="shared" si="240"/>
        <v>0</v>
      </c>
      <c r="AF1417" s="38">
        <f t="shared" si="241"/>
        <v>0</v>
      </c>
      <c r="AG1417" s="38">
        <f t="shared" si="242"/>
        <v>0</v>
      </c>
      <c r="AH1417" s="38">
        <f t="shared" si="243"/>
        <v>0</v>
      </c>
      <c r="AI1417" s="50" t="s">
        <v>93</v>
      </c>
      <c r="AJ1417" s="80">
        <f t="shared" si="244"/>
        <v>0</v>
      </c>
      <c r="AK1417" s="80">
        <f t="shared" si="245"/>
        <v>0</v>
      </c>
      <c r="AL1417" s="80">
        <f t="shared" si="246"/>
        <v>0</v>
      </c>
      <c r="AN1417" s="38">
        <v>21</v>
      </c>
      <c r="AO1417" s="38">
        <f t="shared" si="256"/>
        <v>0</v>
      </c>
      <c r="AP1417" s="38">
        <f t="shared" si="257"/>
        <v>0</v>
      </c>
      <c r="AQ1417" s="83" t="s">
        <v>132</v>
      </c>
      <c r="AV1417" s="38">
        <f t="shared" si="247"/>
        <v>0</v>
      </c>
      <c r="AW1417" s="38">
        <f t="shared" si="248"/>
        <v>0</v>
      </c>
      <c r="AX1417" s="38">
        <f t="shared" si="249"/>
        <v>0</v>
      </c>
      <c r="AY1417" s="72" t="s">
        <v>2561</v>
      </c>
      <c r="AZ1417" s="72" t="s">
        <v>2562</v>
      </c>
      <c r="BA1417" s="50" t="s">
        <v>2563</v>
      </c>
      <c r="BC1417" s="38">
        <f t="shared" si="250"/>
        <v>0</v>
      </c>
      <c r="BD1417" s="38">
        <f t="shared" si="251"/>
        <v>0</v>
      </c>
      <c r="BE1417" s="38">
        <v>0</v>
      </c>
      <c r="BF1417" s="38">
        <f t="shared" si="252"/>
        <v>0</v>
      </c>
      <c r="BH1417" s="80">
        <f t="shared" si="253"/>
        <v>0</v>
      </c>
      <c r="BI1417" s="80">
        <f t="shared" si="254"/>
        <v>0</v>
      </c>
      <c r="BJ1417" s="80">
        <f t="shared" si="255"/>
        <v>0</v>
      </c>
      <c r="BK1417" s="80"/>
      <c r="BL1417" s="38"/>
      <c r="BW1417" s="38">
        <v>21</v>
      </c>
    </row>
    <row r="1418" spans="1:75" ht="13.5" customHeight="1">
      <c r="A1418" s="78" t="s">
        <v>2796</v>
      </c>
      <c r="B1418" s="79" t="s">
        <v>93</v>
      </c>
      <c r="C1418" s="79" t="s">
        <v>2797</v>
      </c>
      <c r="D1418" s="198" t="s">
        <v>2798</v>
      </c>
      <c r="E1418" s="199"/>
      <c r="F1418" s="79" t="s">
        <v>2567</v>
      </c>
      <c r="G1418" s="80">
        <v>9</v>
      </c>
      <c r="H1418" s="81">
        <v>0</v>
      </c>
      <c r="I1418" s="80">
        <f t="shared" si="234"/>
        <v>0</v>
      </c>
      <c r="J1418" s="80">
        <v>0</v>
      </c>
      <c r="K1418" s="80">
        <f t="shared" si="235"/>
        <v>0</v>
      </c>
      <c r="L1418" s="82" t="s">
        <v>207</v>
      </c>
      <c r="Z1418" s="38">
        <f t="shared" si="236"/>
        <v>0</v>
      </c>
      <c r="AB1418" s="38">
        <f t="shared" si="237"/>
        <v>0</v>
      </c>
      <c r="AC1418" s="38">
        <f t="shared" si="238"/>
        <v>0</v>
      </c>
      <c r="AD1418" s="38">
        <f t="shared" si="239"/>
        <v>0</v>
      </c>
      <c r="AE1418" s="38">
        <f t="shared" si="240"/>
        <v>0</v>
      </c>
      <c r="AF1418" s="38">
        <f t="shared" si="241"/>
        <v>0</v>
      </c>
      <c r="AG1418" s="38">
        <f t="shared" si="242"/>
        <v>0</v>
      </c>
      <c r="AH1418" s="38">
        <f t="shared" si="243"/>
        <v>0</v>
      </c>
      <c r="AI1418" s="50" t="s">
        <v>93</v>
      </c>
      <c r="AJ1418" s="80">
        <f t="shared" si="244"/>
        <v>0</v>
      </c>
      <c r="AK1418" s="80">
        <f t="shared" si="245"/>
        <v>0</v>
      </c>
      <c r="AL1418" s="80">
        <f t="shared" si="246"/>
        <v>0</v>
      </c>
      <c r="AN1418" s="38">
        <v>21</v>
      </c>
      <c r="AO1418" s="38">
        <f t="shared" si="256"/>
        <v>0</v>
      </c>
      <c r="AP1418" s="38">
        <f t="shared" si="257"/>
        <v>0</v>
      </c>
      <c r="AQ1418" s="83" t="s">
        <v>132</v>
      </c>
      <c r="AV1418" s="38">
        <f t="shared" si="247"/>
        <v>0</v>
      </c>
      <c r="AW1418" s="38">
        <f t="shared" si="248"/>
        <v>0</v>
      </c>
      <c r="AX1418" s="38">
        <f t="shared" si="249"/>
        <v>0</v>
      </c>
      <c r="AY1418" s="72" t="s">
        <v>2561</v>
      </c>
      <c r="AZ1418" s="72" t="s">
        <v>2562</v>
      </c>
      <c r="BA1418" s="50" t="s">
        <v>2563</v>
      </c>
      <c r="BC1418" s="38">
        <f t="shared" si="250"/>
        <v>0</v>
      </c>
      <c r="BD1418" s="38">
        <f t="shared" si="251"/>
        <v>0</v>
      </c>
      <c r="BE1418" s="38">
        <v>0</v>
      </c>
      <c r="BF1418" s="38">
        <f t="shared" si="252"/>
        <v>0</v>
      </c>
      <c r="BH1418" s="80">
        <f t="shared" si="253"/>
        <v>0</v>
      </c>
      <c r="BI1418" s="80">
        <f t="shared" si="254"/>
        <v>0</v>
      </c>
      <c r="BJ1418" s="80">
        <f t="shared" si="255"/>
        <v>0</v>
      </c>
      <c r="BK1418" s="80"/>
      <c r="BL1418" s="38"/>
      <c r="BW1418" s="38">
        <v>21</v>
      </c>
    </row>
    <row r="1419" spans="1:75" ht="13.5" customHeight="1">
      <c r="A1419" s="78" t="s">
        <v>2799</v>
      </c>
      <c r="B1419" s="79" t="s">
        <v>93</v>
      </c>
      <c r="C1419" s="79" t="s">
        <v>2800</v>
      </c>
      <c r="D1419" s="198" t="s">
        <v>2801</v>
      </c>
      <c r="E1419" s="199"/>
      <c r="F1419" s="79" t="s">
        <v>2567</v>
      </c>
      <c r="G1419" s="80">
        <v>4</v>
      </c>
      <c r="H1419" s="81">
        <v>0</v>
      </c>
      <c r="I1419" s="80">
        <f t="shared" si="234"/>
        <v>0</v>
      </c>
      <c r="J1419" s="80">
        <v>0</v>
      </c>
      <c r="K1419" s="80">
        <f t="shared" si="235"/>
        <v>0</v>
      </c>
      <c r="L1419" s="82" t="s">
        <v>207</v>
      </c>
      <c r="Z1419" s="38">
        <f t="shared" si="236"/>
        <v>0</v>
      </c>
      <c r="AB1419" s="38">
        <f t="shared" si="237"/>
        <v>0</v>
      </c>
      <c r="AC1419" s="38">
        <f t="shared" si="238"/>
        <v>0</v>
      </c>
      <c r="AD1419" s="38">
        <f t="shared" si="239"/>
        <v>0</v>
      </c>
      <c r="AE1419" s="38">
        <f t="shared" si="240"/>
        <v>0</v>
      </c>
      <c r="AF1419" s="38">
        <f t="shared" si="241"/>
        <v>0</v>
      </c>
      <c r="AG1419" s="38">
        <f t="shared" si="242"/>
        <v>0</v>
      </c>
      <c r="AH1419" s="38">
        <f t="shared" si="243"/>
        <v>0</v>
      </c>
      <c r="AI1419" s="50" t="s">
        <v>93</v>
      </c>
      <c r="AJ1419" s="80">
        <f t="shared" si="244"/>
        <v>0</v>
      </c>
      <c r="AK1419" s="80">
        <f t="shared" si="245"/>
        <v>0</v>
      </c>
      <c r="AL1419" s="80">
        <f t="shared" si="246"/>
        <v>0</v>
      </c>
      <c r="AN1419" s="38">
        <v>21</v>
      </c>
      <c r="AO1419" s="38">
        <f t="shared" si="256"/>
        <v>0</v>
      </c>
      <c r="AP1419" s="38">
        <f t="shared" si="257"/>
        <v>0</v>
      </c>
      <c r="AQ1419" s="83" t="s">
        <v>132</v>
      </c>
      <c r="AV1419" s="38">
        <f t="shared" si="247"/>
        <v>0</v>
      </c>
      <c r="AW1419" s="38">
        <f t="shared" si="248"/>
        <v>0</v>
      </c>
      <c r="AX1419" s="38">
        <f t="shared" si="249"/>
        <v>0</v>
      </c>
      <c r="AY1419" s="72" t="s">
        <v>2561</v>
      </c>
      <c r="AZ1419" s="72" t="s">
        <v>2562</v>
      </c>
      <c r="BA1419" s="50" t="s">
        <v>2563</v>
      </c>
      <c r="BC1419" s="38">
        <f t="shared" si="250"/>
        <v>0</v>
      </c>
      <c r="BD1419" s="38">
        <f t="shared" si="251"/>
        <v>0</v>
      </c>
      <c r="BE1419" s="38">
        <v>0</v>
      </c>
      <c r="BF1419" s="38">
        <f t="shared" si="252"/>
        <v>0</v>
      </c>
      <c r="BH1419" s="80">
        <f t="shared" si="253"/>
        <v>0</v>
      </c>
      <c r="BI1419" s="80">
        <f t="shared" si="254"/>
        <v>0</v>
      </c>
      <c r="BJ1419" s="80">
        <f t="shared" si="255"/>
        <v>0</v>
      </c>
      <c r="BK1419" s="80"/>
      <c r="BL1419" s="38"/>
      <c r="BW1419" s="38">
        <v>21</v>
      </c>
    </row>
    <row r="1420" spans="1:75" ht="13.5" customHeight="1">
      <c r="A1420" s="78" t="s">
        <v>2802</v>
      </c>
      <c r="B1420" s="79" t="s">
        <v>93</v>
      </c>
      <c r="C1420" s="79" t="s">
        <v>2803</v>
      </c>
      <c r="D1420" s="198" t="s">
        <v>2804</v>
      </c>
      <c r="E1420" s="199"/>
      <c r="F1420" s="79" t="s">
        <v>2567</v>
      </c>
      <c r="G1420" s="80">
        <v>4</v>
      </c>
      <c r="H1420" s="81">
        <v>0</v>
      </c>
      <c r="I1420" s="80">
        <f t="shared" si="234"/>
        <v>0</v>
      </c>
      <c r="J1420" s="80">
        <v>0</v>
      </c>
      <c r="K1420" s="80">
        <f t="shared" si="235"/>
        <v>0</v>
      </c>
      <c r="L1420" s="82" t="s">
        <v>207</v>
      </c>
      <c r="Z1420" s="38">
        <f t="shared" si="236"/>
        <v>0</v>
      </c>
      <c r="AB1420" s="38">
        <f t="shared" si="237"/>
        <v>0</v>
      </c>
      <c r="AC1420" s="38">
        <f t="shared" si="238"/>
        <v>0</v>
      </c>
      <c r="AD1420" s="38">
        <f t="shared" si="239"/>
        <v>0</v>
      </c>
      <c r="AE1420" s="38">
        <f t="shared" si="240"/>
        <v>0</v>
      </c>
      <c r="AF1420" s="38">
        <f t="shared" si="241"/>
        <v>0</v>
      </c>
      <c r="AG1420" s="38">
        <f t="shared" si="242"/>
        <v>0</v>
      </c>
      <c r="AH1420" s="38">
        <f t="shared" si="243"/>
        <v>0</v>
      </c>
      <c r="AI1420" s="50" t="s">
        <v>93</v>
      </c>
      <c r="AJ1420" s="80">
        <f t="shared" si="244"/>
        <v>0</v>
      </c>
      <c r="AK1420" s="80">
        <f t="shared" si="245"/>
        <v>0</v>
      </c>
      <c r="AL1420" s="80">
        <f t="shared" si="246"/>
        <v>0</v>
      </c>
      <c r="AN1420" s="38">
        <v>21</v>
      </c>
      <c r="AO1420" s="38">
        <f t="shared" si="256"/>
        <v>0</v>
      </c>
      <c r="AP1420" s="38">
        <f t="shared" si="257"/>
        <v>0</v>
      </c>
      <c r="AQ1420" s="83" t="s">
        <v>132</v>
      </c>
      <c r="AV1420" s="38">
        <f t="shared" si="247"/>
        <v>0</v>
      </c>
      <c r="AW1420" s="38">
        <f t="shared" si="248"/>
        <v>0</v>
      </c>
      <c r="AX1420" s="38">
        <f t="shared" si="249"/>
        <v>0</v>
      </c>
      <c r="AY1420" s="72" t="s">
        <v>2561</v>
      </c>
      <c r="AZ1420" s="72" t="s">
        <v>2562</v>
      </c>
      <c r="BA1420" s="50" t="s">
        <v>2563</v>
      </c>
      <c r="BC1420" s="38">
        <f t="shared" si="250"/>
        <v>0</v>
      </c>
      <c r="BD1420" s="38">
        <f t="shared" si="251"/>
        <v>0</v>
      </c>
      <c r="BE1420" s="38">
        <v>0</v>
      </c>
      <c r="BF1420" s="38">
        <f t="shared" si="252"/>
        <v>0</v>
      </c>
      <c r="BH1420" s="80">
        <f t="shared" si="253"/>
        <v>0</v>
      </c>
      <c r="BI1420" s="80">
        <f t="shared" si="254"/>
        <v>0</v>
      </c>
      <c r="BJ1420" s="80">
        <f t="shared" si="255"/>
        <v>0</v>
      </c>
      <c r="BK1420" s="80"/>
      <c r="BL1420" s="38"/>
      <c r="BW1420" s="38">
        <v>21</v>
      </c>
    </row>
    <row r="1421" spans="1:75" ht="13.5" customHeight="1">
      <c r="A1421" s="1" t="s">
        <v>2805</v>
      </c>
      <c r="B1421" s="2" t="s">
        <v>93</v>
      </c>
      <c r="C1421" s="2" t="s">
        <v>2806</v>
      </c>
      <c r="D1421" s="108" t="s">
        <v>2807</v>
      </c>
      <c r="E1421" s="103"/>
      <c r="F1421" s="2" t="s">
        <v>199</v>
      </c>
      <c r="G1421" s="38">
        <v>15</v>
      </c>
      <c r="H1421" s="70">
        <v>0</v>
      </c>
      <c r="I1421" s="38">
        <f t="shared" si="234"/>
        <v>0</v>
      </c>
      <c r="J1421" s="38">
        <v>0</v>
      </c>
      <c r="K1421" s="38">
        <f t="shared" si="235"/>
        <v>0</v>
      </c>
      <c r="L1421" s="71" t="s">
        <v>207</v>
      </c>
      <c r="Z1421" s="38">
        <f t="shared" si="236"/>
        <v>0</v>
      </c>
      <c r="AB1421" s="38">
        <f t="shared" si="237"/>
        <v>0</v>
      </c>
      <c r="AC1421" s="38">
        <f t="shared" si="238"/>
        <v>0</v>
      </c>
      <c r="AD1421" s="38">
        <f t="shared" si="239"/>
        <v>0</v>
      </c>
      <c r="AE1421" s="38">
        <f t="shared" si="240"/>
        <v>0</v>
      </c>
      <c r="AF1421" s="38">
        <f t="shared" si="241"/>
        <v>0</v>
      </c>
      <c r="AG1421" s="38">
        <f t="shared" si="242"/>
        <v>0</v>
      </c>
      <c r="AH1421" s="38">
        <f t="shared" si="243"/>
        <v>0</v>
      </c>
      <c r="AI1421" s="50" t="s">
        <v>93</v>
      </c>
      <c r="AJ1421" s="38">
        <f t="shared" si="244"/>
        <v>0</v>
      </c>
      <c r="AK1421" s="38">
        <f t="shared" si="245"/>
        <v>0</v>
      </c>
      <c r="AL1421" s="38">
        <f t="shared" si="246"/>
        <v>0</v>
      </c>
      <c r="AN1421" s="38">
        <v>21</v>
      </c>
      <c r="AO1421" s="38">
        <f>H1421*0</f>
        <v>0</v>
      </c>
      <c r="AP1421" s="38">
        <f>H1421*(1-0)</f>
        <v>0</v>
      </c>
      <c r="AQ1421" s="72" t="s">
        <v>132</v>
      </c>
      <c r="AV1421" s="38">
        <f t="shared" si="247"/>
        <v>0</v>
      </c>
      <c r="AW1421" s="38">
        <f t="shared" si="248"/>
        <v>0</v>
      </c>
      <c r="AX1421" s="38">
        <f t="shared" si="249"/>
        <v>0</v>
      </c>
      <c r="AY1421" s="72" t="s">
        <v>2561</v>
      </c>
      <c r="AZ1421" s="72" t="s">
        <v>2562</v>
      </c>
      <c r="BA1421" s="50" t="s">
        <v>2563</v>
      </c>
      <c r="BC1421" s="38">
        <f t="shared" si="250"/>
        <v>0</v>
      </c>
      <c r="BD1421" s="38">
        <f t="shared" si="251"/>
        <v>0</v>
      </c>
      <c r="BE1421" s="38">
        <v>0</v>
      </c>
      <c r="BF1421" s="38">
        <f t="shared" si="252"/>
        <v>0</v>
      </c>
      <c r="BH1421" s="38">
        <f t="shared" si="253"/>
        <v>0</v>
      </c>
      <c r="BI1421" s="38">
        <f t="shared" si="254"/>
        <v>0</v>
      </c>
      <c r="BJ1421" s="38">
        <f t="shared" si="255"/>
        <v>0</v>
      </c>
      <c r="BK1421" s="38"/>
      <c r="BL1421" s="38"/>
      <c r="BW1421" s="38">
        <v>21</v>
      </c>
    </row>
    <row r="1422" spans="1:75" ht="27" customHeight="1">
      <c r="A1422" s="1" t="s">
        <v>2808</v>
      </c>
      <c r="B1422" s="2" t="s">
        <v>93</v>
      </c>
      <c r="C1422" s="2" t="s">
        <v>2746</v>
      </c>
      <c r="D1422" s="108" t="s">
        <v>2747</v>
      </c>
      <c r="E1422" s="103"/>
      <c r="F1422" s="2" t="s">
        <v>199</v>
      </c>
      <c r="G1422" s="38">
        <v>75</v>
      </c>
      <c r="H1422" s="70">
        <v>0</v>
      </c>
      <c r="I1422" s="38">
        <f t="shared" si="234"/>
        <v>0</v>
      </c>
      <c r="J1422" s="38">
        <v>0</v>
      </c>
      <c r="K1422" s="38">
        <f t="shared" si="235"/>
        <v>0</v>
      </c>
      <c r="L1422" s="71" t="s">
        <v>207</v>
      </c>
      <c r="Z1422" s="38">
        <f t="shared" si="236"/>
        <v>0</v>
      </c>
      <c r="AB1422" s="38">
        <f t="shared" si="237"/>
        <v>0</v>
      </c>
      <c r="AC1422" s="38">
        <f t="shared" si="238"/>
        <v>0</v>
      </c>
      <c r="AD1422" s="38">
        <f t="shared" si="239"/>
        <v>0</v>
      </c>
      <c r="AE1422" s="38">
        <f t="shared" si="240"/>
        <v>0</v>
      </c>
      <c r="AF1422" s="38">
        <f t="shared" si="241"/>
        <v>0</v>
      </c>
      <c r="AG1422" s="38">
        <f t="shared" si="242"/>
        <v>0</v>
      </c>
      <c r="AH1422" s="38">
        <f t="shared" si="243"/>
        <v>0</v>
      </c>
      <c r="AI1422" s="50" t="s">
        <v>93</v>
      </c>
      <c r="AJ1422" s="38">
        <f t="shared" si="244"/>
        <v>0</v>
      </c>
      <c r="AK1422" s="38">
        <f t="shared" si="245"/>
        <v>0</v>
      </c>
      <c r="AL1422" s="38">
        <f t="shared" si="246"/>
        <v>0</v>
      </c>
      <c r="AN1422" s="38">
        <v>21</v>
      </c>
      <c r="AO1422" s="38">
        <f>H1422*0</f>
        <v>0</v>
      </c>
      <c r="AP1422" s="38">
        <f>H1422*(1-0)</f>
        <v>0</v>
      </c>
      <c r="AQ1422" s="72" t="s">
        <v>132</v>
      </c>
      <c r="AV1422" s="38">
        <f t="shared" si="247"/>
        <v>0</v>
      </c>
      <c r="AW1422" s="38">
        <f t="shared" si="248"/>
        <v>0</v>
      </c>
      <c r="AX1422" s="38">
        <f t="shared" si="249"/>
        <v>0</v>
      </c>
      <c r="AY1422" s="72" t="s">
        <v>2561</v>
      </c>
      <c r="AZ1422" s="72" t="s">
        <v>2562</v>
      </c>
      <c r="BA1422" s="50" t="s">
        <v>2563</v>
      </c>
      <c r="BC1422" s="38">
        <f t="shared" si="250"/>
        <v>0</v>
      </c>
      <c r="BD1422" s="38">
        <f t="shared" si="251"/>
        <v>0</v>
      </c>
      <c r="BE1422" s="38">
        <v>0</v>
      </c>
      <c r="BF1422" s="38">
        <f t="shared" si="252"/>
        <v>0</v>
      </c>
      <c r="BH1422" s="38">
        <f t="shared" si="253"/>
        <v>0</v>
      </c>
      <c r="BI1422" s="38">
        <f t="shared" si="254"/>
        <v>0</v>
      </c>
      <c r="BJ1422" s="38">
        <f t="shared" si="255"/>
        <v>0</v>
      </c>
      <c r="BK1422" s="38"/>
      <c r="BL1422" s="38"/>
      <c r="BW1422" s="38">
        <v>21</v>
      </c>
    </row>
    <row r="1423" spans="1:75" ht="13.5" customHeight="1">
      <c r="A1423" s="1" t="s">
        <v>2809</v>
      </c>
      <c r="B1423" s="2" t="s">
        <v>93</v>
      </c>
      <c r="C1423" s="2" t="s">
        <v>2806</v>
      </c>
      <c r="D1423" s="108" t="s">
        <v>2807</v>
      </c>
      <c r="E1423" s="103"/>
      <c r="F1423" s="2" t="s">
        <v>199</v>
      </c>
      <c r="G1423" s="38">
        <v>3</v>
      </c>
      <c r="H1423" s="70">
        <v>0</v>
      </c>
      <c r="I1423" s="38">
        <f t="shared" si="234"/>
        <v>0</v>
      </c>
      <c r="J1423" s="38">
        <v>0</v>
      </c>
      <c r="K1423" s="38">
        <f t="shared" si="235"/>
        <v>0</v>
      </c>
      <c r="L1423" s="71" t="s">
        <v>207</v>
      </c>
      <c r="Z1423" s="38">
        <f t="shared" si="236"/>
        <v>0</v>
      </c>
      <c r="AB1423" s="38">
        <f t="shared" si="237"/>
        <v>0</v>
      </c>
      <c r="AC1423" s="38">
        <f t="shared" si="238"/>
        <v>0</v>
      </c>
      <c r="AD1423" s="38">
        <f t="shared" si="239"/>
        <v>0</v>
      </c>
      <c r="AE1423" s="38">
        <f t="shared" si="240"/>
        <v>0</v>
      </c>
      <c r="AF1423" s="38">
        <f t="shared" si="241"/>
        <v>0</v>
      </c>
      <c r="AG1423" s="38">
        <f t="shared" si="242"/>
        <v>0</v>
      </c>
      <c r="AH1423" s="38">
        <f t="shared" si="243"/>
        <v>0</v>
      </c>
      <c r="AI1423" s="50" t="s">
        <v>93</v>
      </c>
      <c r="AJ1423" s="38">
        <f t="shared" si="244"/>
        <v>0</v>
      </c>
      <c r="AK1423" s="38">
        <f t="shared" si="245"/>
        <v>0</v>
      </c>
      <c r="AL1423" s="38">
        <f t="shared" si="246"/>
        <v>0</v>
      </c>
      <c r="AN1423" s="38">
        <v>21</v>
      </c>
      <c r="AO1423" s="38">
        <f>H1423*0</f>
        <v>0</v>
      </c>
      <c r="AP1423" s="38">
        <f>H1423*(1-0)</f>
        <v>0</v>
      </c>
      <c r="AQ1423" s="72" t="s">
        <v>132</v>
      </c>
      <c r="AV1423" s="38">
        <f t="shared" si="247"/>
        <v>0</v>
      </c>
      <c r="AW1423" s="38">
        <f t="shared" si="248"/>
        <v>0</v>
      </c>
      <c r="AX1423" s="38">
        <f t="shared" si="249"/>
        <v>0</v>
      </c>
      <c r="AY1423" s="72" t="s">
        <v>2561</v>
      </c>
      <c r="AZ1423" s="72" t="s">
        <v>2562</v>
      </c>
      <c r="BA1423" s="50" t="s">
        <v>2563</v>
      </c>
      <c r="BC1423" s="38">
        <f t="shared" si="250"/>
        <v>0</v>
      </c>
      <c r="BD1423" s="38">
        <f t="shared" si="251"/>
        <v>0</v>
      </c>
      <c r="BE1423" s="38">
        <v>0</v>
      </c>
      <c r="BF1423" s="38">
        <f t="shared" si="252"/>
        <v>0</v>
      </c>
      <c r="BH1423" s="38">
        <f t="shared" si="253"/>
        <v>0</v>
      </c>
      <c r="BI1423" s="38">
        <f t="shared" si="254"/>
        <v>0</v>
      </c>
      <c r="BJ1423" s="38">
        <f t="shared" si="255"/>
        <v>0</v>
      </c>
      <c r="BK1423" s="38"/>
      <c r="BL1423" s="38"/>
      <c r="BW1423" s="38">
        <v>21</v>
      </c>
    </row>
    <row r="1424" spans="1:75" ht="27" customHeight="1">
      <c r="A1424" s="1" t="s">
        <v>2810</v>
      </c>
      <c r="B1424" s="2" t="s">
        <v>93</v>
      </c>
      <c r="C1424" s="2" t="s">
        <v>2746</v>
      </c>
      <c r="D1424" s="108" t="s">
        <v>2747</v>
      </c>
      <c r="E1424" s="103"/>
      <c r="F1424" s="2" t="s">
        <v>199</v>
      </c>
      <c r="G1424" s="38">
        <v>15</v>
      </c>
      <c r="H1424" s="70">
        <v>0</v>
      </c>
      <c r="I1424" s="38">
        <f t="shared" si="234"/>
        <v>0</v>
      </c>
      <c r="J1424" s="38">
        <v>0</v>
      </c>
      <c r="K1424" s="38">
        <f t="shared" si="235"/>
        <v>0</v>
      </c>
      <c r="L1424" s="71" t="s">
        <v>207</v>
      </c>
      <c r="Z1424" s="38">
        <f t="shared" si="236"/>
        <v>0</v>
      </c>
      <c r="AB1424" s="38">
        <f t="shared" si="237"/>
        <v>0</v>
      </c>
      <c r="AC1424" s="38">
        <f t="shared" si="238"/>
        <v>0</v>
      </c>
      <c r="AD1424" s="38">
        <f t="shared" si="239"/>
        <v>0</v>
      </c>
      <c r="AE1424" s="38">
        <f t="shared" si="240"/>
        <v>0</v>
      </c>
      <c r="AF1424" s="38">
        <f t="shared" si="241"/>
        <v>0</v>
      </c>
      <c r="AG1424" s="38">
        <f t="shared" si="242"/>
        <v>0</v>
      </c>
      <c r="AH1424" s="38">
        <f t="shared" si="243"/>
        <v>0</v>
      </c>
      <c r="AI1424" s="50" t="s">
        <v>93</v>
      </c>
      <c r="AJ1424" s="38">
        <f t="shared" si="244"/>
        <v>0</v>
      </c>
      <c r="AK1424" s="38">
        <f t="shared" si="245"/>
        <v>0</v>
      </c>
      <c r="AL1424" s="38">
        <f t="shared" si="246"/>
        <v>0</v>
      </c>
      <c r="AN1424" s="38">
        <v>21</v>
      </c>
      <c r="AO1424" s="38">
        <f>H1424*0</f>
        <v>0</v>
      </c>
      <c r="AP1424" s="38">
        <f>H1424*(1-0)</f>
        <v>0</v>
      </c>
      <c r="AQ1424" s="72" t="s">
        <v>132</v>
      </c>
      <c r="AV1424" s="38">
        <f t="shared" si="247"/>
        <v>0</v>
      </c>
      <c r="AW1424" s="38">
        <f t="shared" si="248"/>
        <v>0</v>
      </c>
      <c r="AX1424" s="38">
        <f t="shared" si="249"/>
        <v>0</v>
      </c>
      <c r="AY1424" s="72" t="s">
        <v>2561</v>
      </c>
      <c r="AZ1424" s="72" t="s">
        <v>2562</v>
      </c>
      <c r="BA1424" s="50" t="s">
        <v>2563</v>
      </c>
      <c r="BC1424" s="38">
        <f t="shared" si="250"/>
        <v>0</v>
      </c>
      <c r="BD1424" s="38">
        <f t="shared" si="251"/>
        <v>0</v>
      </c>
      <c r="BE1424" s="38">
        <v>0</v>
      </c>
      <c r="BF1424" s="38">
        <f t="shared" si="252"/>
        <v>0</v>
      </c>
      <c r="BH1424" s="38">
        <f t="shared" si="253"/>
        <v>0</v>
      </c>
      <c r="BI1424" s="38">
        <f t="shared" si="254"/>
        <v>0</v>
      </c>
      <c r="BJ1424" s="38">
        <f t="shared" si="255"/>
        <v>0</v>
      </c>
      <c r="BK1424" s="38"/>
      <c r="BL1424" s="38"/>
      <c r="BW1424" s="38">
        <v>21</v>
      </c>
    </row>
    <row r="1425" spans="1:75" ht="27" customHeight="1">
      <c r="A1425" s="78" t="s">
        <v>2811</v>
      </c>
      <c r="B1425" s="79" t="s">
        <v>93</v>
      </c>
      <c r="C1425" s="79" t="s">
        <v>2812</v>
      </c>
      <c r="D1425" s="198" t="s">
        <v>2813</v>
      </c>
      <c r="E1425" s="199"/>
      <c r="F1425" s="79" t="s">
        <v>2567</v>
      </c>
      <c r="G1425" s="80">
        <v>3</v>
      </c>
      <c r="H1425" s="81">
        <v>0</v>
      </c>
      <c r="I1425" s="80">
        <f t="shared" si="234"/>
        <v>0</v>
      </c>
      <c r="J1425" s="80">
        <v>0</v>
      </c>
      <c r="K1425" s="80">
        <f t="shared" si="235"/>
        <v>0</v>
      </c>
      <c r="L1425" s="82" t="s">
        <v>207</v>
      </c>
      <c r="Z1425" s="38">
        <f t="shared" si="236"/>
        <v>0</v>
      </c>
      <c r="AB1425" s="38">
        <f t="shared" si="237"/>
        <v>0</v>
      </c>
      <c r="AC1425" s="38">
        <f t="shared" si="238"/>
        <v>0</v>
      </c>
      <c r="AD1425" s="38">
        <f t="shared" si="239"/>
        <v>0</v>
      </c>
      <c r="AE1425" s="38">
        <f t="shared" si="240"/>
        <v>0</v>
      </c>
      <c r="AF1425" s="38">
        <f t="shared" si="241"/>
        <v>0</v>
      </c>
      <c r="AG1425" s="38">
        <f t="shared" si="242"/>
        <v>0</v>
      </c>
      <c r="AH1425" s="38">
        <f t="shared" si="243"/>
        <v>0</v>
      </c>
      <c r="AI1425" s="50" t="s">
        <v>93</v>
      </c>
      <c r="AJ1425" s="80">
        <f t="shared" si="244"/>
        <v>0</v>
      </c>
      <c r="AK1425" s="80">
        <f t="shared" si="245"/>
        <v>0</v>
      </c>
      <c r="AL1425" s="80">
        <f t="shared" si="246"/>
        <v>0</v>
      </c>
      <c r="AN1425" s="38">
        <v>21</v>
      </c>
      <c r="AO1425" s="38">
        <f>H1425*1</f>
        <v>0</v>
      </c>
      <c r="AP1425" s="38">
        <f>H1425*(1-1)</f>
        <v>0</v>
      </c>
      <c r="AQ1425" s="83" t="s">
        <v>132</v>
      </c>
      <c r="AV1425" s="38">
        <f t="shared" si="247"/>
        <v>0</v>
      </c>
      <c r="AW1425" s="38">
        <f t="shared" si="248"/>
        <v>0</v>
      </c>
      <c r="AX1425" s="38">
        <f t="shared" si="249"/>
        <v>0</v>
      </c>
      <c r="AY1425" s="72" t="s">
        <v>2561</v>
      </c>
      <c r="AZ1425" s="72" t="s">
        <v>2562</v>
      </c>
      <c r="BA1425" s="50" t="s">
        <v>2563</v>
      </c>
      <c r="BC1425" s="38">
        <f t="shared" si="250"/>
        <v>0</v>
      </c>
      <c r="BD1425" s="38">
        <f t="shared" si="251"/>
        <v>0</v>
      </c>
      <c r="BE1425" s="38">
        <v>0</v>
      </c>
      <c r="BF1425" s="38">
        <f t="shared" si="252"/>
        <v>0</v>
      </c>
      <c r="BH1425" s="80">
        <f t="shared" si="253"/>
        <v>0</v>
      </c>
      <c r="BI1425" s="80">
        <f t="shared" si="254"/>
        <v>0</v>
      </c>
      <c r="BJ1425" s="80">
        <f t="shared" si="255"/>
        <v>0</v>
      </c>
      <c r="BK1425" s="80"/>
      <c r="BL1425" s="38"/>
      <c r="BW1425" s="38">
        <v>21</v>
      </c>
    </row>
    <row r="1426" spans="1:75" ht="13.5" customHeight="1">
      <c r="A1426" s="1" t="s">
        <v>2814</v>
      </c>
      <c r="B1426" s="2" t="s">
        <v>93</v>
      </c>
      <c r="C1426" s="2" t="s">
        <v>2806</v>
      </c>
      <c r="D1426" s="108" t="s">
        <v>2807</v>
      </c>
      <c r="E1426" s="103"/>
      <c r="F1426" s="2" t="s">
        <v>199</v>
      </c>
      <c r="G1426" s="38">
        <v>3</v>
      </c>
      <c r="H1426" s="70">
        <v>0</v>
      </c>
      <c r="I1426" s="38">
        <f t="shared" si="234"/>
        <v>0</v>
      </c>
      <c r="J1426" s="38">
        <v>0</v>
      </c>
      <c r="K1426" s="38">
        <f t="shared" si="235"/>
        <v>0</v>
      </c>
      <c r="L1426" s="71" t="s">
        <v>207</v>
      </c>
      <c r="Z1426" s="38">
        <f t="shared" si="236"/>
        <v>0</v>
      </c>
      <c r="AB1426" s="38">
        <f t="shared" si="237"/>
        <v>0</v>
      </c>
      <c r="AC1426" s="38">
        <f t="shared" si="238"/>
        <v>0</v>
      </c>
      <c r="AD1426" s="38">
        <f t="shared" si="239"/>
        <v>0</v>
      </c>
      <c r="AE1426" s="38">
        <f t="shared" si="240"/>
        <v>0</v>
      </c>
      <c r="AF1426" s="38">
        <f t="shared" si="241"/>
        <v>0</v>
      </c>
      <c r="AG1426" s="38">
        <f t="shared" si="242"/>
        <v>0</v>
      </c>
      <c r="AH1426" s="38">
        <f t="shared" si="243"/>
        <v>0</v>
      </c>
      <c r="AI1426" s="50" t="s">
        <v>93</v>
      </c>
      <c r="AJ1426" s="38">
        <f t="shared" si="244"/>
        <v>0</v>
      </c>
      <c r="AK1426" s="38">
        <f t="shared" si="245"/>
        <v>0</v>
      </c>
      <c r="AL1426" s="38">
        <f t="shared" si="246"/>
        <v>0</v>
      </c>
      <c r="AN1426" s="38">
        <v>21</v>
      </c>
      <c r="AO1426" s="38">
        <f>H1426*0</f>
        <v>0</v>
      </c>
      <c r="AP1426" s="38">
        <f>H1426*(1-0)</f>
        <v>0</v>
      </c>
      <c r="AQ1426" s="72" t="s">
        <v>132</v>
      </c>
      <c r="AV1426" s="38">
        <f t="shared" si="247"/>
        <v>0</v>
      </c>
      <c r="AW1426" s="38">
        <f t="shared" si="248"/>
        <v>0</v>
      </c>
      <c r="AX1426" s="38">
        <f t="shared" si="249"/>
        <v>0</v>
      </c>
      <c r="AY1426" s="72" t="s">
        <v>2561</v>
      </c>
      <c r="AZ1426" s="72" t="s">
        <v>2562</v>
      </c>
      <c r="BA1426" s="50" t="s">
        <v>2563</v>
      </c>
      <c r="BC1426" s="38">
        <f t="shared" si="250"/>
        <v>0</v>
      </c>
      <c r="BD1426" s="38">
        <f t="shared" si="251"/>
        <v>0</v>
      </c>
      <c r="BE1426" s="38">
        <v>0</v>
      </c>
      <c r="BF1426" s="38">
        <f t="shared" si="252"/>
        <v>0</v>
      </c>
      <c r="BH1426" s="38">
        <f t="shared" si="253"/>
        <v>0</v>
      </c>
      <c r="BI1426" s="38">
        <f t="shared" si="254"/>
        <v>0</v>
      </c>
      <c r="BJ1426" s="38">
        <f t="shared" si="255"/>
        <v>0</v>
      </c>
      <c r="BK1426" s="38"/>
      <c r="BL1426" s="38"/>
      <c r="BW1426" s="38">
        <v>21</v>
      </c>
    </row>
    <row r="1427" spans="1:75" ht="27" customHeight="1">
      <c r="A1427" s="1" t="s">
        <v>2815</v>
      </c>
      <c r="B1427" s="2" t="s">
        <v>93</v>
      </c>
      <c r="C1427" s="2" t="s">
        <v>2746</v>
      </c>
      <c r="D1427" s="108" t="s">
        <v>2747</v>
      </c>
      <c r="E1427" s="103"/>
      <c r="F1427" s="2" t="s">
        <v>199</v>
      </c>
      <c r="G1427" s="38">
        <v>15</v>
      </c>
      <c r="H1427" s="70">
        <v>0</v>
      </c>
      <c r="I1427" s="38">
        <f t="shared" si="234"/>
        <v>0</v>
      </c>
      <c r="J1427" s="38">
        <v>0</v>
      </c>
      <c r="K1427" s="38">
        <f t="shared" si="235"/>
        <v>0</v>
      </c>
      <c r="L1427" s="71" t="s">
        <v>207</v>
      </c>
      <c r="Z1427" s="38">
        <f t="shared" si="236"/>
        <v>0</v>
      </c>
      <c r="AB1427" s="38">
        <f t="shared" si="237"/>
        <v>0</v>
      </c>
      <c r="AC1427" s="38">
        <f t="shared" si="238"/>
        <v>0</v>
      </c>
      <c r="AD1427" s="38">
        <f t="shared" si="239"/>
        <v>0</v>
      </c>
      <c r="AE1427" s="38">
        <f t="shared" si="240"/>
        <v>0</v>
      </c>
      <c r="AF1427" s="38">
        <f t="shared" si="241"/>
        <v>0</v>
      </c>
      <c r="AG1427" s="38">
        <f t="shared" si="242"/>
        <v>0</v>
      </c>
      <c r="AH1427" s="38">
        <f t="shared" si="243"/>
        <v>0</v>
      </c>
      <c r="AI1427" s="50" t="s">
        <v>93</v>
      </c>
      <c r="AJ1427" s="38">
        <f t="shared" si="244"/>
        <v>0</v>
      </c>
      <c r="AK1427" s="38">
        <f t="shared" si="245"/>
        <v>0</v>
      </c>
      <c r="AL1427" s="38">
        <f t="shared" si="246"/>
        <v>0</v>
      </c>
      <c r="AN1427" s="38">
        <v>21</v>
      </c>
      <c r="AO1427" s="38">
        <f>H1427*0</f>
        <v>0</v>
      </c>
      <c r="AP1427" s="38">
        <f>H1427*(1-0)</f>
        <v>0</v>
      </c>
      <c r="AQ1427" s="72" t="s">
        <v>132</v>
      </c>
      <c r="AV1427" s="38">
        <f t="shared" si="247"/>
        <v>0</v>
      </c>
      <c r="AW1427" s="38">
        <f t="shared" si="248"/>
        <v>0</v>
      </c>
      <c r="AX1427" s="38">
        <f t="shared" si="249"/>
        <v>0</v>
      </c>
      <c r="AY1427" s="72" t="s">
        <v>2561</v>
      </c>
      <c r="AZ1427" s="72" t="s">
        <v>2562</v>
      </c>
      <c r="BA1427" s="50" t="s">
        <v>2563</v>
      </c>
      <c r="BC1427" s="38">
        <f t="shared" si="250"/>
        <v>0</v>
      </c>
      <c r="BD1427" s="38">
        <f t="shared" si="251"/>
        <v>0</v>
      </c>
      <c r="BE1427" s="38">
        <v>0</v>
      </c>
      <c r="BF1427" s="38">
        <f t="shared" si="252"/>
        <v>0</v>
      </c>
      <c r="BH1427" s="38">
        <f t="shared" si="253"/>
        <v>0</v>
      </c>
      <c r="BI1427" s="38">
        <f t="shared" si="254"/>
        <v>0</v>
      </c>
      <c r="BJ1427" s="38">
        <f t="shared" si="255"/>
        <v>0</v>
      </c>
      <c r="BK1427" s="38"/>
      <c r="BL1427" s="38"/>
      <c r="BW1427" s="38">
        <v>21</v>
      </c>
    </row>
    <row r="1428" spans="1:75" ht="13.5" customHeight="1">
      <c r="A1428" s="1" t="s">
        <v>2816</v>
      </c>
      <c r="B1428" s="2" t="s">
        <v>93</v>
      </c>
      <c r="C1428" s="2" t="s">
        <v>2817</v>
      </c>
      <c r="D1428" s="108" t="s">
        <v>2818</v>
      </c>
      <c r="E1428" s="103"/>
      <c r="F1428" s="2" t="s">
        <v>2286</v>
      </c>
      <c r="G1428" s="38">
        <v>20</v>
      </c>
      <c r="H1428" s="70">
        <v>0</v>
      </c>
      <c r="I1428" s="38">
        <f t="shared" si="234"/>
        <v>0</v>
      </c>
      <c r="J1428" s="38">
        <v>0</v>
      </c>
      <c r="K1428" s="38">
        <f t="shared" si="235"/>
        <v>0</v>
      </c>
      <c r="L1428" s="71" t="s">
        <v>207</v>
      </c>
      <c r="Z1428" s="38">
        <f t="shared" si="236"/>
        <v>0</v>
      </c>
      <c r="AB1428" s="38">
        <f t="shared" si="237"/>
        <v>0</v>
      </c>
      <c r="AC1428" s="38">
        <f t="shared" si="238"/>
        <v>0</v>
      </c>
      <c r="AD1428" s="38">
        <f t="shared" si="239"/>
        <v>0</v>
      </c>
      <c r="AE1428" s="38">
        <f t="shared" si="240"/>
        <v>0</v>
      </c>
      <c r="AF1428" s="38">
        <f t="shared" si="241"/>
        <v>0</v>
      </c>
      <c r="AG1428" s="38">
        <f t="shared" si="242"/>
        <v>0</v>
      </c>
      <c r="AH1428" s="38">
        <f t="shared" si="243"/>
        <v>0</v>
      </c>
      <c r="AI1428" s="50" t="s">
        <v>93</v>
      </c>
      <c r="AJ1428" s="38">
        <f t="shared" si="244"/>
        <v>0</v>
      </c>
      <c r="AK1428" s="38">
        <f t="shared" si="245"/>
        <v>0</v>
      </c>
      <c r="AL1428" s="38">
        <f t="shared" si="246"/>
        <v>0</v>
      </c>
      <c r="AN1428" s="38">
        <v>21</v>
      </c>
      <c r="AO1428" s="38">
        <f>H1428*0</f>
        <v>0</v>
      </c>
      <c r="AP1428" s="38">
        <f>H1428*(1-0)</f>
        <v>0</v>
      </c>
      <c r="AQ1428" s="72" t="s">
        <v>132</v>
      </c>
      <c r="AV1428" s="38">
        <f t="shared" si="247"/>
        <v>0</v>
      </c>
      <c r="AW1428" s="38">
        <f t="shared" si="248"/>
        <v>0</v>
      </c>
      <c r="AX1428" s="38">
        <f t="shared" si="249"/>
        <v>0</v>
      </c>
      <c r="AY1428" s="72" t="s">
        <v>2561</v>
      </c>
      <c r="AZ1428" s="72" t="s">
        <v>2562</v>
      </c>
      <c r="BA1428" s="50" t="s">
        <v>2563</v>
      </c>
      <c r="BC1428" s="38">
        <f t="shared" si="250"/>
        <v>0</v>
      </c>
      <c r="BD1428" s="38">
        <f t="shared" si="251"/>
        <v>0</v>
      </c>
      <c r="BE1428" s="38">
        <v>0</v>
      </c>
      <c r="BF1428" s="38">
        <f t="shared" si="252"/>
        <v>0</v>
      </c>
      <c r="BH1428" s="38">
        <f t="shared" si="253"/>
        <v>0</v>
      </c>
      <c r="BI1428" s="38">
        <f t="shared" si="254"/>
        <v>0</v>
      </c>
      <c r="BJ1428" s="38">
        <f t="shared" si="255"/>
        <v>0</v>
      </c>
      <c r="BK1428" s="38"/>
      <c r="BL1428" s="38"/>
      <c r="BW1428" s="38">
        <v>21</v>
      </c>
    </row>
    <row r="1429" spans="1:12" ht="13.5" customHeight="1">
      <c r="A1429" s="74"/>
      <c r="D1429" s="194" t="s">
        <v>2819</v>
      </c>
      <c r="E1429" s="195"/>
      <c r="F1429" s="195"/>
      <c r="G1429" s="195"/>
      <c r="H1429" s="196"/>
      <c r="I1429" s="195"/>
      <c r="J1429" s="195"/>
      <c r="K1429" s="195"/>
      <c r="L1429" s="197"/>
    </row>
    <row r="1430" spans="1:75" ht="13.5" customHeight="1">
      <c r="A1430" s="78" t="s">
        <v>2820</v>
      </c>
      <c r="B1430" s="79" t="s">
        <v>93</v>
      </c>
      <c r="C1430" s="79" t="s">
        <v>2821</v>
      </c>
      <c r="D1430" s="198" t="s">
        <v>2822</v>
      </c>
      <c r="E1430" s="199"/>
      <c r="F1430" s="79" t="s">
        <v>2823</v>
      </c>
      <c r="G1430" s="80">
        <v>1</v>
      </c>
      <c r="H1430" s="81">
        <v>0</v>
      </c>
      <c r="I1430" s="80">
        <f>G1430*H1430</f>
        <v>0</v>
      </c>
      <c r="J1430" s="80">
        <v>0</v>
      </c>
      <c r="K1430" s="80">
        <f>G1430*J1430</f>
        <v>0</v>
      </c>
      <c r="L1430" s="82" t="s">
        <v>207</v>
      </c>
      <c r="Z1430" s="38">
        <f>IF(AQ1430="5",BJ1430,0)</f>
        <v>0</v>
      </c>
      <c r="AB1430" s="38">
        <f>IF(AQ1430="1",BH1430,0)</f>
        <v>0</v>
      </c>
      <c r="AC1430" s="38">
        <f>IF(AQ1430="1",BI1430,0)</f>
        <v>0</v>
      </c>
      <c r="AD1430" s="38">
        <f>IF(AQ1430="7",BH1430,0)</f>
        <v>0</v>
      </c>
      <c r="AE1430" s="38">
        <f>IF(AQ1430="7",BI1430,0)</f>
        <v>0</v>
      </c>
      <c r="AF1430" s="38">
        <f>IF(AQ1430="2",BH1430,0)</f>
        <v>0</v>
      </c>
      <c r="AG1430" s="38">
        <f>IF(AQ1430="2",BI1430,0)</f>
        <v>0</v>
      </c>
      <c r="AH1430" s="38">
        <f>IF(AQ1430="0",BJ1430,0)</f>
        <v>0</v>
      </c>
      <c r="AI1430" s="50" t="s">
        <v>93</v>
      </c>
      <c r="AJ1430" s="80">
        <f>IF(AN1430=0,I1430,0)</f>
        <v>0</v>
      </c>
      <c r="AK1430" s="80">
        <f>IF(AN1430=12,I1430,0)</f>
        <v>0</v>
      </c>
      <c r="AL1430" s="80">
        <f>IF(AN1430=21,I1430,0)</f>
        <v>0</v>
      </c>
      <c r="AN1430" s="38">
        <v>21</v>
      </c>
      <c r="AO1430" s="38">
        <f>H1430*1</f>
        <v>0</v>
      </c>
      <c r="AP1430" s="38">
        <f>H1430*(1-1)</f>
        <v>0</v>
      </c>
      <c r="AQ1430" s="83" t="s">
        <v>132</v>
      </c>
      <c r="AV1430" s="38">
        <f>AW1430+AX1430</f>
        <v>0</v>
      </c>
      <c r="AW1430" s="38">
        <f>G1430*AO1430</f>
        <v>0</v>
      </c>
      <c r="AX1430" s="38">
        <f>G1430*AP1430</f>
        <v>0</v>
      </c>
      <c r="AY1430" s="72" t="s">
        <v>2561</v>
      </c>
      <c r="AZ1430" s="72" t="s">
        <v>2562</v>
      </c>
      <c r="BA1430" s="50" t="s">
        <v>2563</v>
      </c>
      <c r="BC1430" s="38">
        <f>AW1430+AX1430</f>
        <v>0</v>
      </c>
      <c r="BD1430" s="38">
        <f>H1430/(100-BE1430)*100</f>
        <v>0</v>
      </c>
      <c r="BE1430" s="38">
        <v>0</v>
      </c>
      <c r="BF1430" s="38">
        <f>K1430</f>
        <v>0</v>
      </c>
      <c r="BH1430" s="80">
        <f>G1430*AO1430</f>
        <v>0</v>
      </c>
      <c r="BI1430" s="80">
        <f>G1430*AP1430</f>
        <v>0</v>
      </c>
      <c r="BJ1430" s="80">
        <f>G1430*H1430</f>
        <v>0</v>
      </c>
      <c r="BK1430" s="80"/>
      <c r="BL1430" s="38"/>
      <c r="BW1430" s="38">
        <v>21</v>
      </c>
    </row>
    <row r="1431" spans="1:47" ht="15">
      <c r="A1431" s="65" t="s">
        <v>4</v>
      </c>
      <c r="B1431" s="66" t="s">
        <v>93</v>
      </c>
      <c r="C1431" s="66" t="s">
        <v>2824</v>
      </c>
      <c r="D1431" s="192" t="s">
        <v>2825</v>
      </c>
      <c r="E1431" s="193"/>
      <c r="F1431" s="67" t="s">
        <v>78</v>
      </c>
      <c r="G1431" s="67" t="s">
        <v>78</v>
      </c>
      <c r="H1431" s="68" t="s">
        <v>78</v>
      </c>
      <c r="I1431" s="44">
        <f>SUM(I1432:I1524)</f>
        <v>0</v>
      </c>
      <c r="J1431" s="50" t="s">
        <v>4</v>
      </c>
      <c r="K1431" s="44">
        <f>SUM(K1432:K1524)</f>
        <v>0</v>
      </c>
      <c r="L1431" s="69" t="s">
        <v>4</v>
      </c>
      <c r="AI1431" s="50" t="s">
        <v>93</v>
      </c>
      <c r="AS1431" s="44">
        <f>SUM(AJ1432:AJ1524)</f>
        <v>0</v>
      </c>
      <c r="AT1431" s="44">
        <f>SUM(AK1432:AK1524)</f>
        <v>0</v>
      </c>
      <c r="AU1431" s="44">
        <f>SUM(AL1432:AL1524)</f>
        <v>0</v>
      </c>
    </row>
    <row r="1432" spans="1:75" ht="13.5" customHeight="1">
      <c r="A1432" s="1" t="s">
        <v>2826</v>
      </c>
      <c r="B1432" s="2" t="s">
        <v>93</v>
      </c>
      <c r="C1432" s="2" t="s">
        <v>2817</v>
      </c>
      <c r="D1432" s="108" t="s">
        <v>2818</v>
      </c>
      <c r="E1432" s="103"/>
      <c r="F1432" s="2" t="s">
        <v>2286</v>
      </c>
      <c r="G1432" s="38">
        <v>6</v>
      </c>
      <c r="H1432" s="70">
        <v>0</v>
      </c>
      <c r="I1432" s="38">
        <f>G1432*H1432</f>
        <v>0</v>
      </c>
      <c r="J1432" s="38">
        <v>0</v>
      </c>
      <c r="K1432" s="38">
        <f>G1432*J1432</f>
        <v>0</v>
      </c>
      <c r="L1432" s="71" t="s">
        <v>207</v>
      </c>
      <c r="Z1432" s="38">
        <f>IF(AQ1432="5",BJ1432,0)</f>
        <v>0</v>
      </c>
      <c r="AB1432" s="38">
        <f>IF(AQ1432="1",BH1432,0)</f>
        <v>0</v>
      </c>
      <c r="AC1432" s="38">
        <f>IF(AQ1432="1",BI1432,0)</f>
        <v>0</v>
      </c>
      <c r="AD1432" s="38">
        <f>IF(AQ1432="7",BH1432,0)</f>
        <v>0</v>
      </c>
      <c r="AE1432" s="38">
        <f>IF(AQ1432="7",BI1432,0)</f>
        <v>0</v>
      </c>
      <c r="AF1432" s="38">
        <f>IF(AQ1432="2",BH1432,0)</f>
        <v>0</v>
      </c>
      <c r="AG1432" s="38">
        <f>IF(AQ1432="2",BI1432,0)</f>
        <v>0</v>
      </c>
      <c r="AH1432" s="38">
        <f>IF(AQ1432="0",BJ1432,0)</f>
        <v>0</v>
      </c>
      <c r="AI1432" s="50" t="s">
        <v>93</v>
      </c>
      <c r="AJ1432" s="38">
        <f>IF(AN1432=0,I1432,0)</f>
        <v>0</v>
      </c>
      <c r="AK1432" s="38">
        <f>IF(AN1432=12,I1432,0)</f>
        <v>0</v>
      </c>
      <c r="AL1432" s="38">
        <f>IF(AN1432=21,I1432,0)</f>
        <v>0</v>
      </c>
      <c r="AN1432" s="38">
        <v>21</v>
      </c>
      <c r="AO1432" s="38">
        <f>H1432*0</f>
        <v>0</v>
      </c>
      <c r="AP1432" s="38">
        <f>H1432*(1-0)</f>
        <v>0</v>
      </c>
      <c r="AQ1432" s="72" t="s">
        <v>169</v>
      </c>
      <c r="AV1432" s="38">
        <f>AW1432+AX1432</f>
        <v>0</v>
      </c>
      <c r="AW1432" s="38">
        <f>G1432*AO1432</f>
        <v>0</v>
      </c>
      <c r="AX1432" s="38">
        <f>G1432*AP1432</f>
        <v>0</v>
      </c>
      <c r="AY1432" s="72" t="s">
        <v>2827</v>
      </c>
      <c r="AZ1432" s="72" t="s">
        <v>2828</v>
      </c>
      <c r="BA1432" s="50" t="s">
        <v>2563</v>
      </c>
      <c r="BC1432" s="38">
        <f>AW1432+AX1432</f>
        <v>0</v>
      </c>
      <c r="BD1432" s="38">
        <f>H1432/(100-BE1432)*100</f>
        <v>0</v>
      </c>
      <c r="BE1432" s="38">
        <v>0</v>
      </c>
      <c r="BF1432" s="38">
        <f>K1432</f>
        <v>0</v>
      </c>
      <c r="BH1432" s="38">
        <f>G1432*AO1432</f>
        <v>0</v>
      </c>
      <c r="BI1432" s="38">
        <f>G1432*AP1432</f>
        <v>0</v>
      </c>
      <c r="BJ1432" s="38">
        <f>G1432*H1432</f>
        <v>0</v>
      </c>
      <c r="BK1432" s="38"/>
      <c r="BL1432" s="38"/>
      <c r="BW1432" s="38">
        <v>21</v>
      </c>
    </row>
    <row r="1433" spans="1:12" ht="13.5" customHeight="1">
      <c r="A1433" s="74"/>
      <c r="D1433" s="194" t="s">
        <v>2829</v>
      </c>
      <c r="E1433" s="195"/>
      <c r="F1433" s="195"/>
      <c r="G1433" s="195"/>
      <c r="H1433" s="196"/>
      <c r="I1433" s="195"/>
      <c r="J1433" s="195"/>
      <c r="K1433" s="195"/>
      <c r="L1433" s="197"/>
    </row>
    <row r="1434" spans="1:75" ht="13.5" customHeight="1">
      <c r="A1434" s="78" t="s">
        <v>2830</v>
      </c>
      <c r="B1434" s="79" t="s">
        <v>93</v>
      </c>
      <c r="C1434" s="79" t="s">
        <v>2831</v>
      </c>
      <c r="D1434" s="198" t="s">
        <v>2832</v>
      </c>
      <c r="E1434" s="199"/>
      <c r="F1434" s="79" t="s">
        <v>2567</v>
      </c>
      <c r="G1434" s="80">
        <v>1</v>
      </c>
      <c r="H1434" s="81">
        <v>0</v>
      </c>
      <c r="I1434" s="80">
        <f aca="true" t="shared" si="258" ref="I1434:I1441">G1434*H1434</f>
        <v>0</v>
      </c>
      <c r="J1434" s="80">
        <v>0</v>
      </c>
      <c r="K1434" s="80">
        <f aca="true" t="shared" si="259" ref="K1434:K1441">G1434*J1434</f>
        <v>0</v>
      </c>
      <c r="L1434" s="82" t="s">
        <v>207</v>
      </c>
      <c r="Z1434" s="38">
        <f aca="true" t="shared" si="260" ref="Z1434:Z1441">IF(AQ1434="5",BJ1434,0)</f>
        <v>0</v>
      </c>
      <c r="AB1434" s="38">
        <f aca="true" t="shared" si="261" ref="AB1434:AB1441">IF(AQ1434="1",BH1434,0)</f>
        <v>0</v>
      </c>
      <c r="AC1434" s="38">
        <f aca="true" t="shared" si="262" ref="AC1434:AC1441">IF(AQ1434="1",BI1434,0)</f>
        <v>0</v>
      </c>
      <c r="AD1434" s="38">
        <f aca="true" t="shared" si="263" ref="AD1434:AD1441">IF(AQ1434="7",BH1434,0)</f>
        <v>0</v>
      </c>
      <c r="AE1434" s="38">
        <f aca="true" t="shared" si="264" ref="AE1434:AE1441">IF(AQ1434="7",BI1434,0)</f>
        <v>0</v>
      </c>
      <c r="AF1434" s="38">
        <f aca="true" t="shared" si="265" ref="AF1434:AF1441">IF(AQ1434="2",BH1434,0)</f>
        <v>0</v>
      </c>
      <c r="AG1434" s="38">
        <f aca="true" t="shared" si="266" ref="AG1434:AG1441">IF(AQ1434="2",BI1434,0)</f>
        <v>0</v>
      </c>
      <c r="AH1434" s="38">
        <f aca="true" t="shared" si="267" ref="AH1434:AH1441">IF(AQ1434="0",BJ1434,0)</f>
        <v>0</v>
      </c>
      <c r="AI1434" s="50" t="s">
        <v>93</v>
      </c>
      <c r="AJ1434" s="80">
        <f aca="true" t="shared" si="268" ref="AJ1434:AJ1441">IF(AN1434=0,I1434,0)</f>
        <v>0</v>
      </c>
      <c r="AK1434" s="80">
        <f aca="true" t="shared" si="269" ref="AK1434:AK1441">IF(AN1434=12,I1434,0)</f>
        <v>0</v>
      </c>
      <c r="AL1434" s="80">
        <f aca="true" t="shared" si="270" ref="AL1434:AL1441">IF(AN1434=21,I1434,0)</f>
        <v>0</v>
      </c>
      <c r="AN1434" s="38">
        <v>21</v>
      </c>
      <c r="AO1434" s="38">
        <f aca="true" t="shared" si="271" ref="AO1434:AO1440">H1434*1</f>
        <v>0</v>
      </c>
      <c r="AP1434" s="38">
        <f aca="true" t="shared" si="272" ref="AP1434:AP1440">H1434*(1-1)</f>
        <v>0</v>
      </c>
      <c r="AQ1434" s="83" t="s">
        <v>169</v>
      </c>
      <c r="AV1434" s="38">
        <f aca="true" t="shared" si="273" ref="AV1434:AV1441">AW1434+AX1434</f>
        <v>0</v>
      </c>
      <c r="AW1434" s="38">
        <f aca="true" t="shared" si="274" ref="AW1434:AW1441">G1434*AO1434</f>
        <v>0</v>
      </c>
      <c r="AX1434" s="38">
        <f aca="true" t="shared" si="275" ref="AX1434:AX1441">G1434*AP1434</f>
        <v>0</v>
      </c>
      <c r="AY1434" s="72" t="s">
        <v>2827</v>
      </c>
      <c r="AZ1434" s="72" t="s">
        <v>2828</v>
      </c>
      <c r="BA1434" s="50" t="s">
        <v>2563</v>
      </c>
      <c r="BC1434" s="38">
        <f aca="true" t="shared" si="276" ref="BC1434:BC1441">AW1434+AX1434</f>
        <v>0</v>
      </c>
      <c r="BD1434" s="38">
        <f aca="true" t="shared" si="277" ref="BD1434:BD1441">H1434/(100-BE1434)*100</f>
        <v>0</v>
      </c>
      <c r="BE1434" s="38">
        <v>0</v>
      </c>
      <c r="BF1434" s="38">
        <f aca="true" t="shared" si="278" ref="BF1434:BF1441">K1434</f>
        <v>0</v>
      </c>
      <c r="BH1434" s="80">
        <f aca="true" t="shared" si="279" ref="BH1434:BH1441">G1434*AO1434</f>
        <v>0</v>
      </c>
      <c r="BI1434" s="80">
        <f aca="true" t="shared" si="280" ref="BI1434:BI1441">G1434*AP1434</f>
        <v>0</v>
      </c>
      <c r="BJ1434" s="80">
        <f aca="true" t="shared" si="281" ref="BJ1434:BJ1441">G1434*H1434</f>
        <v>0</v>
      </c>
      <c r="BK1434" s="80"/>
      <c r="BL1434" s="38"/>
      <c r="BW1434" s="38">
        <v>21</v>
      </c>
    </row>
    <row r="1435" spans="1:75" ht="13.5" customHeight="1">
      <c r="A1435" s="78" t="s">
        <v>2833</v>
      </c>
      <c r="B1435" s="79" t="s">
        <v>93</v>
      </c>
      <c r="C1435" s="79" t="s">
        <v>2834</v>
      </c>
      <c r="D1435" s="198" t="s">
        <v>2835</v>
      </c>
      <c r="E1435" s="199"/>
      <c r="F1435" s="79" t="s">
        <v>2567</v>
      </c>
      <c r="G1435" s="80">
        <v>1</v>
      </c>
      <c r="H1435" s="81">
        <v>0</v>
      </c>
      <c r="I1435" s="80">
        <f t="shared" si="258"/>
        <v>0</v>
      </c>
      <c r="J1435" s="80">
        <v>0</v>
      </c>
      <c r="K1435" s="80">
        <f t="shared" si="259"/>
        <v>0</v>
      </c>
      <c r="L1435" s="82" t="s">
        <v>207</v>
      </c>
      <c r="Z1435" s="38">
        <f t="shared" si="260"/>
        <v>0</v>
      </c>
      <c r="AB1435" s="38">
        <f t="shared" si="261"/>
        <v>0</v>
      </c>
      <c r="AC1435" s="38">
        <f t="shared" si="262"/>
        <v>0</v>
      </c>
      <c r="AD1435" s="38">
        <f t="shared" si="263"/>
        <v>0</v>
      </c>
      <c r="AE1435" s="38">
        <f t="shared" si="264"/>
        <v>0</v>
      </c>
      <c r="AF1435" s="38">
        <f t="shared" si="265"/>
        <v>0</v>
      </c>
      <c r="AG1435" s="38">
        <f t="shared" si="266"/>
        <v>0</v>
      </c>
      <c r="AH1435" s="38">
        <f t="shared" si="267"/>
        <v>0</v>
      </c>
      <c r="AI1435" s="50" t="s">
        <v>93</v>
      </c>
      <c r="AJ1435" s="80">
        <f t="shared" si="268"/>
        <v>0</v>
      </c>
      <c r="AK1435" s="80">
        <f t="shared" si="269"/>
        <v>0</v>
      </c>
      <c r="AL1435" s="80">
        <f t="shared" si="270"/>
        <v>0</v>
      </c>
      <c r="AN1435" s="38">
        <v>21</v>
      </c>
      <c r="AO1435" s="38">
        <f t="shared" si="271"/>
        <v>0</v>
      </c>
      <c r="AP1435" s="38">
        <f t="shared" si="272"/>
        <v>0</v>
      </c>
      <c r="AQ1435" s="83" t="s">
        <v>169</v>
      </c>
      <c r="AV1435" s="38">
        <f t="shared" si="273"/>
        <v>0</v>
      </c>
      <c r="AW1435" s="38">
        <f t="shared" si="274"/>
        <v>0</v>
      </c>
      <c r="AX1435" s="38">
        <f t="shared" si="275"/>
        <v>0</v>
      </c>
      <c r="AY1435" s="72" t="s">
        <v>2827</v>
      </c>
      <c r="AZ1435" s="72" t="s">
        <v>2828</v>
      </c>
      <c r="BA1435" s="50" t="s">
        <v>2563</v>
      </c>
      <c r="BC1435" s="38">
        <f t="shared" si="276"/>
        <v>0</v>
      </c>
      <c r="BD1435" s="38">
        <f t="shared" si="277"/>
        <v>0</v>
      </c>
      <c r="BE1435" s="38">
        <v>0</v>
      </c>
      <c r="BF1435" s="38">
        <f t="shared" si="278"/>
        <v>0</v>
      </c>
      <c r="BH1435" s="80">
        <f t="shared" si="279"/>
        <v>0</v>
      </c>
      <c r="BI1435" s="80">
        <f t="shared" si="280"/>
        <v>0</v>
      </c>
      <c r="BJ1435" s="80">
        <f t="shared" si="281"/>
        <v>0</v>
      </c>
      <c r="BK1435" s="80"/>
      <c r="BL1435" s="38"/>
      <c r="BW1435" s="38">
        <v>21</v>
      </c>
    </row>
    <row r="1436" spans="1:75" ht="13.5" customHeight="1">
      <c r="A1436" s="78" t="s">
        <v>2836</v>
      </c>
      <c r="B1436" s="79" t="s">
        <v>93</v>
      </c>
      <c r="C1436" s="79" t="s">
        <v>2837</v>
      </c>
      <c r="D1436" s="198" t="s">
        <v>2838</v>
      </c>
      <c r="E1436" s="199"/>
      <c r="F1436" s="79" t="s">
        <v>2567</v>
      </c>
      <c r="G1436" s="80">
        <v>1</v>
      </c>
      <c r="H1436" s="81">
        <v>0</v>
      </c>
      <c r="I1436" s="80">
        <f t="shared" si="258"/>
        <v>0</v>
      </c>
      <c r="J1436" s="80">
        <v>0</v>
      </c>
      <c r="K1436" s="80">
        <f t="shared" si="259"/>
        <v>0</v>
      </c>
      <c r="L1436" s="82" t="s">
        <v>207</v>
      </c>
      <c r="Z1436" s="38">
        <f t="shared" si="260"/>
        <v>0</v>
      </c>
      <c r="AB1436" s="38">
        <f t="shared" si="261"/>
        <v>0</v>
      </c>
      <c r="AC1436" s="38">
        <f t="shared" si="262"/>
        <v>0</v>
      </c>
      <c r="AD1436" s="38">
        <f t="shared" si="263"/>
        <v>0</v>
      </c>
      <c r="AE1436" s="38">
        <f t="shared" si="264"/>
        <v>0</v>
      </c>
      <c r="AF1436" s="38">
        <f t="shared" si="265"/>
        <v>0</v>
      </c>
      <c r="AG1436" s="38">
        <f t="shared" si="266"/>
        <v>0</v>
      </c>
      <c r="AH1436" s="38">
        <f t="shared" si="267"/>
        <v>0</v>
      </c>
      <c r="AI1436" s="50" t="s">
        <v>93</v>
      </c>
      <c r="AJ1436" s="80">
        <f t="shared" si="268"/>
        <v>0</v>
      </c>
      <c r="AK1436" s="80">
        <f t="shared" si="269"/>
        <v>0</v>
      </c>
      <c r="AL1436" s="80">
        <f t="shared" si="270"/>
        <v>0</v>
      </c>
      <c r="AN1436" s="38">
        <v>21</v>
      </c>
      <c r="AO1436" s="38">
        <f t="shared" si="271"/>
        <v>0</v>
      </c>
      <c r="AP1436" s="38">
        <f t="shared" si="272"/>
        <v>0</v>
      </c>
      <c r="AQ1436" s="83" t="s">
        <v>169</v>
      </c>
      <c r="AV1436" s="38">
        <f t="shared" si="273"/>
        <v>0</v>
      </c>
      <c r="AW1436" s="38">
        <f t="shared" si="274"/>
        <v>0</v>
      </c>
      <c r="AX1436" s="38">
        <f t="shared" si="275"/>
        <v>0</v>
      </c>
      <c r="AY1436" s="72" t="s">
        <v>2827</v>
      </c>
      <c r="AZ1436" s="72" t="s">
        <v>2828</v>
      </c>
      <c r="BA1436" s="50" t="s">
        <v>2563</v>
      </c>
      <c r="BC1436" s="38">
        <f t="shared" si="276"/>
        <v>0</v>
      </c>
      <c r="BD1436" s="38">
        <f t="shared" si="277"/>
        <v>0</v>
      </c>
      <c r="BE1436" s="38">
        <v>0</v>
      </c>
      <c r="BF1436" s="38">
        <f t="shared" si="278"/>
        <v>0</v>
      </c>
      <c r="BH1436" s="80">
        <f t="shared" si="279"/>
        <v>0</v>
      </c>
      <c r="BI1436" s="80">
        <f t="shared" si="280"/>
        <v>0</v>
      </c>
      <c r="BJ1436" s="80">
        <f t="shared" si="281"/>
        <v>0</v>
      </c>
      <c r="BK1436" s="80"/>
      <c r="BL1436" s="38"/>
      <c r="BW1436" s="38">
        <v>21</v>
      </c>
    </row>
    <row r="1437" spans="1:75" ht="13.5" customHeight="1">
      <c r="A1437" s="78" t="s">
        <v>2839</v>
      </c>
      <c r="B1437" s="79" t="s">
        <v>93</v>
      </c>
      <c r="C1437" s="79" t="s">
        <v>2840</v>
      </c>
      <c r="D1437" s="198" t="s">
        <v>2841</v>
      </c>
      <c r="E1437" s="199"/>
      <c r="F1437" s="79" t="s">
        <v>2567</v>
      </c>
      <c r="G1437" s="80">
        <v>1</v>
      </c>
      <c r="H1437" s="81">
        <v>0</v>
      </c>
      <c r="I1437" s="80">
        <f t="shared" si="258"/>
        <v>0</v>
      </c>
      <c r="J1437" s="80">
        <v>0</v>
      </c>
      <c r="K1437" s="80">
        <f t="shared" si="259"/>
        <v>0</v>
      </c>
      <c r="L1437" s="82" t="s">
        <v>207</v>
      </c>
      <c r="Z1437" s="38">
        <f t="shared" si="260"/>
        <v>0</v>
      </c>
      <c r="AB1437" s="38">
        <f t="shared" si="261"/>
        <v>0</v>
      </c>
      <c r="AC1437" s="38">
        <f t="shared" si="262"/>
        <v>0</v>
      </c>
      <c r="AD1437" s="38">
        <f t="shared" si="263"/>
        <v>0</v>
      </c>
      <c r="AE1437" s="38">
        <f t="shared" si="264"/>
        <v>0</v>
      </c>
      <c r="AF1437" s="38">
        <f t="shared" si="265"/>
        <v>0</v>
      </c>
      <c r="AG1437" s="38">
        <f t="shared" si="266"/>
        <v>0</v>
      </c>
      <c r="AH1437" s="38">
        <f t="shared" si="267"/>
        <v>0</v>
      </c>
      <c r="AI1437" s="50" t="s">
        <v>93</v>
      </c>
      <c r="AJ1437" s="80">
        <f t="shared" si="268"/>
        <v>0</v>
      </c>
      <c r="AK1437" s="80">
        <f t="shared" si="269"/>
        <v>0</v>
      </c>
      <c r="AL1437" s="80">
        <f t="shared" si="270"/>
        <v>0</v>
      </c>
      <c r="AN1437" s="38">
        <v>21</v>
      </c>
      <c r="AO1437" s="38">
        <f t="shared" si="271"/>
        <v>0</v>
      </c>
      <c r="AP1437" s="38">
        <f t="shared" si="272"/>
        <v>0</v>
      </c>
      <c r="AQ1437" s="83" t="s">
        <v>169</v>
      </c>
      <c r="AV1437" s="38">
        <f t="shared" si="273"/>
        <v>0</v>
      </c>
      <c r="AW1437" s="38">
        <f t="shared" si="274"/>
        <v>0</v>
      </c>
      <c r="AX1437" s="38">
        <f t="shared" si="275"/>
        <v>0</v>
      </c>
      <c r="AY1437" s="72" t="s">
        <v>2827</v>
      </c>
      <c r="AZ1437" s="72" t="s">
        <v>2828</v>
      </c>
      <c r="BA1437" s="50" t="s">
        <v>2563</v>
      </c>
      <c r="BC1437" s="38">
        <f t="shared" si="276"/>
        <v>0</v>
      </c>
      <c r="BD1437" s="38">
        <f t="shared" si="277"/>
        <v>0</v>
      </c>
      <c r="BE1437" s="38">
        <v>0</v>
      </c>
      <c r="BF1437" s="38">
        <f t="shared" si="278"/>
        <v>0</v>
      </c>
      <c r="BH1437" s="80">
        <f t="shared" si="279"/>
        <v>0</v>
      </c>
      <c r="BI1437" s="80">
        <f t="shared" si="280"/>
        <v>0</v>
      </c>
      <c r="BJ1437" s="80">
        <f t="shared" si="281"/>
        <v>0</v>
      </c>
      <c r="BK1437" s="80"/>
      <c r="BL1437" s="38"/>
      <c r="BW1437" s="38">
        <v>21</v>
      </c>
    </row>
    <row r="1438" spans="1:75" ht="13.5" customHeight="1">
      <c r="A1438" s="78" t="s">
        <v>2842</v>
      </c>
      <c r="B1438" s="79" t="s">
        <v>93</v>
      </c>
      <c r="C1438" s="79" t="s">
        <v>2843</v>
      </c>
      <c r="D1438" s="198" t="s">
        <v>2844</v>
      </c>
      <c r="E1438" s="199"/>
      <c r="F1438" s="79" t="s">
        <v>2567</v>
      </c>
      <c r="G1438" s="80">
        <v>3</v>
      </c>
      <c r="H1438" s="81">
        <v>0</v>
      </c>
      <c r="I1438" s="80">
        <f t="shared" si="258"/>
        <v>0</v>
      </c>
      <c r="J1438" s="80">
        <v>0</v>
      </c>
      <c r="K1438" s="80">
        <f t="shared" si="259"/>
        <v>0</v>
      </c>
      <c r="L1438" s="82" t="s">
        <v>207</v>
      </c>
      <c r="Z1438" s="38">
        <f t="shared" si="260"/>
        <v>0</v>
      </c>
      <c r="AB1438" s="38">
        <f t="shared" si="261"/>
        <v>0</v>
      </c>
      <c r="AC1438" s="38">
        <f t="shared" si="262"/>
        <v>0</v>
      </c>
      <c r="AD1438" s="38">
        <f t="shared" si="263"/>
        <v>0</v>
      </c>
      <c r="AE1438" s="38">
        <f t="shared" si="264"/>
        <v>0</v>
      </c>
      <c r="AF1438" s="38">
        <f t="shared" si="265"/>
        <v>0</v>
      </c>
      <c r="AG1438" s="38">
        <f t="shared" si="266"/>
        <v>0</v>
      </c>
      <c r="AH1438" s="38">
        <f t="shared" si="267"/>
        <v>0</v>
      </c>
      <c r="AI1438" s="50" t="s">
        <v>93</v>
      </c>
      <c r="AJ1438" s="80">
        <f t="shared" si="268"/>
        <v>0</v>
      </c>
      <c r="AK1438" s="80">
        <f t="shared" si="269"/>
        <v>0</v>
      </c>
      <c r="AL1438" s="80">
        <f t="shared" si="270"/>
        <v>0</v>
      </c>
      <c r="AN1438" s="38">
        <v>21</v>
      </c>
      <c r="AO1438" s="38">
        <f t="shared" si="271"/>
        <v>0</v>
      </c>
      <c r="AP1438" s="38">
        <f t="shared" si="272"/>
        <v>0</v>
      </c>
      <c r="AQ1438" s="83" t="s">
        <v>169</v>
      </c>
      <c r="AV1438" s="38">
        <f t="shared" si="273"/>
        <v>0</v>
      </c>
      <c r="AW1438" s="38">
        <f t="shared" si="274"/>
        <v>0</v>
      </c>
      <c r="AX1438" s="38">
        <f t="shared" si="275"/>
        <v>0</v>
      </c>
      <c r="AY1438" s="72" t="s">
        <v>2827</v>
      </c>
      <c r="AZ1438" s="72" t="s">
        <v>2828</v>
      </c>
      <c r="BA1438" s="50" t="s">
        <v>2563</v>
      </c>
      <c r="BC1438" s="38">
        <f t="shared" si="276"/>
        <v>0</v>
      </c>
      <c r="BD1438" s="38">
        <f t="shared" si="277"/>
        <v>0</v>
      </c>
      <c r="BE1438" s="38">
        <v>0</v>
      </c>
      <c r="BF1438" s="38">
        <f t="shared" si="278"/>
        <v>0</v>
      </c>
      <c r="BH1438" s="80">
        <f t="shared" si="279"/>
        <v>0</v>
      </c>
      <c r="BI1438" s="80">
        <f t="shared" si="280"/>
        <v>0</v>
      </c>
      <c r="BJ1438" s="80">
        <f t="shared" si="281"/>
        <v>0</v>
      </c>
      <c r="BK1438" s="80"/>
      <c r="BL1438" s="38"/>
      <c r="BW1438" s="38">
        <v>21</v>
      </c>
    </row>
    <row r="1439" spans="1:75" ht="13.5" customHeight="1">
      <c r="A1439" s="78" t="s">
        <v>2845</v>
      </c>
      <c r="B1439" s="79" t="s">
        <v>93</v>
      </c>
      <c r="C1439" s="79" t="s">
        <v>2846</v>
      </c>
      <c r="D1439" s="198" t="s">
        <v>2847</v>
      </c>
      <c r="E1439" s="199"/>
      <c r="F1439" s="79" t="s">
        <v>2567</v>
      </c>
      <c r="G1439" s="80">
        <v>1</v>
      </c>
      <c r="H1439" s="81">
        <v>0</v>
      </c>
      <c r="I1439" s="80">
        <f t="shared" si="258"/>
        <v>0</v>
      </c>
      <c r="J1439" s="80">
        <v>0</v>
      </c>
      <c r="K1439" s="80">
        <f t="shared" si="259"/>
        <v>0</v>
      </c>
      <c r="L1439" s="82" t="s">
        <v>207</v>
      </c>
      <c r="Z1439" s="38">
        <f t="shared" si="260"/>
        <v>0</v>
      </c>
      <c r="AB1439" s="38">
        <f t="shared" si="261"/>
        <v>0</v>
      </c>
      <c r="AC1439" s="38">
        <f t="shared" si="262"/>
        <v>0</v>
      </c>
      <c r="AD1439" s="38">
        <f t="shared" si="263"/>
        <v>0</v>
      </c>
      <c r="AE1439" s="38">
        <f t="shared" si="264"/>
        <v>0</v>
      </c>
      <c r="AF1439" s="38">
        <f t="shared" si="265"/>
        <v>0</v>
      </c>
      <c r="AG1439" s="38">
        <f t="shared" si="266"/>
        <v>0</v>
      </c>
      <c r="AH1439" s="38">
        <f t="shared" si="267"/>
        <v>0</v>
      </c>
      <c r="AI1439" s="50" t="s">
        <v>93</v>
      </c>
      <c r="AJ1439" s="80">
        <f t="shared" si="268"/>
        <v>0</v>
      </c>
      <c r="AK1439" s="80">
        <f t="shared" si="269"/>
        <v>0</v>
      </c>
      <c r="AL1439" s="80">
        <f t="shared" si="270"/>
        <v>0</v>
      </c>
      <c r="AN1439" s="38">
        <v>21</v>
      </c>
      <c r="AO1439" s="38">
        <f t="shared" si="271"/>
        <v>0</v>
      </c>
      <c r="AP1439" s="38">
        <f t="shared" si="272"/>
        <v>0</v>
      </c>
      <c r="AQ1439" s="83" t="s">
        <v>169</v>
      </c>
      <c r="AV1439" s="38">
        <f t="shared" si="273"/>
        <v>0</v>
      </c>
      <c r="AW1439" s="38">
        <f t="shared" si="274"/>
        <v>0</v>
      </c>
      <c r="AX1439" s="38">
        <f t="shared" si="275"/>
        <v>0</v>
      </c>
      <c r="AY1439" s="72" t="s">
        <v>2827</v>
      </c>
      <c r="AZ1439" s="72" t="s">
        <v>2828</v>
      </c>
      <c r="BA1439" s="50" t="s">
        <v>2563</v>
      </c>
      <c r="BC1439" s="38">
        <f t="shared" si="276"/>
        <v>0</v>
      </c>
      <c r="BD1439" s="38">
        <f t="shared" si="277"/>
        <v>0</v>
      </c>
      <c r="BE1439" s="38">
        <v>0</v>
      </c>
      <c r="BF1439" s="38">
        <f t="shared" si="278"/>
        <v>0</v>
      </c>
      <c r="BH1439" s="80">
        <f t="shared" si="279"/>
        <v>0</v>
      </c>
      <c r="BI1439" s="80">
        <f t="shared" si="280"/>
        <v>0</v>
      </c>
      <c r="BJ1439" s="80">
        <f t="shared" si="281"/>
        <v>0</v>
      </c>
      <c r="BK1439" s="80"/>
      <c r="BL1439" s="38"/>
      <c r="BW1439" s="38">
        <v>21</v>
      </c>
    </row>
    <row r="1440" spans="1:75" ht="13.5" customHeight="1">
      <c r="A1440" s="78" t="s">
        <v>2848</v>
      </c>
      <c r="B1440" s="79" t="s">
        <v>93</v>
      </c>
      <c r="C1440" s="79" t="s">
        <v>2849</v>
      </c>
      <c r="D1440" s="198" t="s">
        <v>2850</v>
      </c>
      <c r="E1440" s="199"/>
      <c r="F1440" s="79" t="s">
        <v>2567</v>
      </c>
      <c r="G1440" s="80">
        <v>1</v>
      </c>
      <c r="H1440" s="81">
        <v>0</v>
      </c>
      <c r="I1440" s="80">
        <f t="shared" si="258"/>
        <v>0</v>
      </c>
      <c r="J1440" s="80">
        <v>0</v>
      </c>
      <c r="K1440" s="80">
        <f t="shared" si="259"/>
        <v>0</v>
      </c>
      <c r="L1440" s="82" t="s">
        <v>207</v>
      </c>
      <c r="Z1440" s="38">
        <f t="shared" si="260"/>
        <v>0</v>
      </c>
      <c r="AB1440" s="38">
        <f t="shared" si="261"/>
        <v>0</v>
      </c>
      <c r="AC1440" s="38">
        <f t="shared" si="262"/>
        <v>0</v>
      </c>
      <c r="AD1440" s="38">
        <f t="shared" si="263"/>
        <v>0</v>
      </c>
      <c r="AE1440" s="38">
        <f t="shared" si="264"/>
        <v>0</v>
      </c>
      <c r="AF1440" s="38">
        <f t="shared" si="265"/>
        <v>0</v>
      </c>
      <c r="AG1440" s="38">
        <f t="shared" si="266"/>
        <v>0</v>
      </c>
      <c r="AH1440" s="38">
        <f t="shared" si="267"/>
        <v>0</v>
      </c>
      <c r="AI1440" s="50" t="s">
        <v>93</v>
      </c>
      <c r="AJ1440" s="80">
        <f t="shared" si="268"/>
        <v>0</v>
      </c>
      <c r="AK1440" s="80">
        <f t="shared" si="269"/>
        <v>0</v>
      </c>
      <c r="AL1440" s="80">
        <f t="shared" si="270"/>
        <v>0</v>
      </c>
      <c r="AN1440" s="38">
        <v>21</v>
      </c>
      <c r="AO1440" s="38">
        <f t="shared" si="271"/>
        <v>0</v>
      </c>
      <c r="AP1440" s="38">
        <f t="shared" si="272"/>
        <v>0</v>
      </c>
      <c r="AQ1440" s="83" t="s">
        <v>169</v>
      </c>
      <c r="AV1440" s="38">
        <f t="shared" si="273"/>
        <v>0</v>
      </c>
      <c r="AW1440" s="38">
        <f t="shared" si="274"/>
        <v>0</v>
      </c>
      <c r="AX1440" s="38">
        <f t="shared" si="275"/>
        <v>0</v>
      </c>
      <c r="AY1440" s="72" t="s">
        <v>2827</v>
      </c>
      <c r="AZ1440" s="72" t="s">
        <v>2828</v>
      </c>
      <c r="BA1440" s="50" t="s">
        <v>2563</v>
      </c>
      <c r="BC1440" s="38">
        <f t="shared" si="276"/>
        <v>0</v>
      </c>
      <c r="BD1440" s="38">
        <f t="shared" si="277"/>
        <v>0</v>
      </c>
      <c r="BE1440" s="38">
        <v>0</v>
      </c>
      <c r="BF1440" s="38">
        <f t="shared" si="278"/>
        <v>0</v>
      </c>
      <c r="BH1440" s="80">
        <f t="shared" si="279"/>
        <v>0</v>
      </c>
      <c r="BI1440" s="80">
        <f t="shared" si="280"/>
        <v>0</v>
      </c>
      <c r="BJ1440" s="80">
        <f t="shared" si="281"/>
        <v>0</v>
      </c>
      <c r="BK1440" s="80"/>
      <c r="BL1440" s="38"/>
      <c r="BW1440" s="38">
        <v>21</v>
      </c>
    </row>
    <row r="1441" spans="1:75" ht="13.5" customHeight="1">
      <c r="A1441" s="1" t="s">
        <v>2851</v>
      </c>
      <c r="B1441" s="2" t="s">
        <v>93</v>
      </c>
      <c r="C1441" s="2" t="s">
        <v>2817</v>
      </c>
      <c r="D1441" s="108" t="s">
        <v>2818</v>
      </c>
      <c r="E1441" s="103"/>
      <c r="F1441" s="2" t="s">
        <v>2286</v>
      </c>
      <c r="G1441" s="38">
        <v>6</v>
      </c>
      <c r="H1441" s="70">
        <v>0</v>
      </c>
      <c r="I1441" s="38">
        <f t="shared" si="258"/>
        <v>0</v>
      </c>
      <c r="J1441" s="38">
        <v>0</v>
      </c>
      <c r="K1441" s="38">
        <f t="shared" si="259"/>
        <v>0</v>
      </c>
      <c r="L1441" s="71" t="s">
        <v>207</v>
      </c>
      <c r="Z1441" s="38">
        <f t="shared" si="260"/>
        <v>0</v>
      </c>
      <c r="AB1441" s="38">
        <f t="shared" si="261"/>
        <v>0</v>
      </c>
      <c r="AC1441" s="38">
        <f t="shared" si="262"/>
        <v>0</v>
      </c>
      <c r="AD1441" s="38">
        <f t="shared" si="263"/>
        <v>0</v>
      </c>
      <c r="AE1441" s="38">
        <f t="shared" si="264"/>
        <v>0</v>
      </c>
      <c r="AF1441" s="38">
        <f t="shared" si="265"/>
        <v>0</v>
      </c>
      <c r="AG1441" s="38">
        <f t="shared" si="266"/>
        <v>0</v>
      </c>
      <c r="AH1441" s="38">
        <f t="shared" si="267"/>
        <v>0</v>
      </c>
      <c r="AI1441" s="50" t="s">
        <v>93</v>
      </c>
      <c r="AJ1441" s="38">
        <f t="shared" si="268"/>
        <v>0</v>
      </c>
      <c r="AK1441" s="38">
        <f t="shared" si="269"/>
        <v>0</v>
      </c>
      <c r="AL1441" s="38">
        <f t="shared" si="270"/>
        <v>0</v>
      </c>
      <c r="AN1441" s="38">
        <v>21</v>
      </c>
      <c r="AO1441" s="38">
        <f>H1441*0</f>
        <v>0</v>
      </c>
      <c r="AP1441" s="38">
        <f>H1441*(1-0)</f>
        <v>0</v>
      </c>
      <c r="AQ1441" s="72" t="s">
        <v>169</v>
      </c>
      <c r="AV1441" s="38">
        <f t="shared" si="273"/>
        <v>0</v>
      </c>
      <c r="AW1441" s="38">
        <f t="shared" si="274"/>
        <v>0</v>
      </c>
      <c r="AX1441" s="38">
        <f t="shared" si="275"/>
        <v>0</v>
      </c>
      <c r="AY1441" s="72" t="s">
        <v>2827</v>
      </c>
      <c r="AZ1441" s="72" t="s">
        <v>2828</v>
      </c>
      <c r="BA1441" s="50" t="s">
        <v>2563</v>
      </c>
      <c r="BC1441" s="38">
        <f t="shared" si="276"/>
        <v>0</v>
      </c>
      <c r="BD1441" s="38">
        <f t="shared" si="277"/>
        <v>0</v>
      </c>
      <c r="BE1441" s="38">
        <v>0</v>
      </c>
      <c r="BF1441" s="38">
        <f t="shared" si="278"/>
        <v>0</v>
      </c>
      <c r="BH1441" s="38">
        <f t="shared" si="279"/>
        <v>0</v>
      </c>
      <c r="BI1441" s="38">
        <f t="shared" si="280"/>
        <v>0</v>
      </c>
      <c r="BJ1441" s="38">
        <f t="shared" si="281"/>
        <v>0</v>
      </c>
      <c r="BK1441" s="38"/>
      <c r="BL1441" s="38"/>
      <c r="BW1441" s="38">
        <v>21</v>
      </c>
    </row>
    <row r="1442" spans="1:12" ht="13.5" customHeight="1">
      <c r="A1442" s="74"/>
      <c r="D1442" s="194" t="s">
        <v>2852</v>
      </c>
      <c r="E1442" s="195"/>
      <c r="F1442" s="195"/>
      <c r="G1442" s="195"/>
      <c r="H1442" s="196"/>
      <c r="I1442" s="195"/>
      <c r="J1442" s="195"/>
      <c r="K1442" s="195"/>
      <c r="L1442" s="197"/>
    </row>
    <row r="1443" spans="1:75" ht="13.5" customHeight="1">
      <c r="A1443" s="78" t="s">
        <v>2853</v>
      </c>
      <c r="B1443" s="79" t="s">
        <v>93</v>
      </c>
      <c r="C1443" s="79" t="s">
        <v>2854</v>
      </c>
      <c r="D1443" s="198" t="s">
        <v>2832</v>
      </c>
      <c r="E1443" s="199"/>
      <c r="F1443" s="79" t="s">
        <v>2567</v>
      </c>
      <c r="G1443" s="80">
        <v>1</v>
      </c>
      <c r="H1443" s="81">
        <v>0</v>
      </c>
      <c r="I1443" s="80">
        <f aca="true" t="shared" si="282" ref="I1443:I1449">G1443*H1443</f>
        <v>0</v>
      </c>
      <c r="J1443" s="80">
        <v>0</v>
      </c>
      <c r="K1443" s="80">
        <f aca="true" t="shared" si="283" ref="K1443:K1449">G1443*J1443</f>
        <v>0</v>
      </c>
      <c r="L1443" s="82" t="s">
        <v>207</v>
      </c>
      <c r="Z1443" s="38">
        <f aca="true" t="shared" si="284" ref="Z1443:Z1449">IF(AQ1443="5",BJ1443,0)</f>
        <v>0</v>
      </c>
      <c r="AB1443" s="38">
        <f aca="true" t="shared" si="285" ref="AB1443:AB1449">IF(AQ1443="1",BH1443,0)</f>
        <v>0</v>
      </c>
      <c r="AC1443" s="38">
        <f aca="true" t="shared" si="286" ref="AC1443:AC1449">IF(AQ1443="1",BI1443,0)</f>
        <v>0</v>
      </c>
      <c r="AD1443" s="38">
        <f aca="true" t="shared" si="287" ref="AD1443:AD1449">IF(AQ1443="7",BH1443,0)</f>
        <v>0</v>
      </c>
      <c r="AE1443" s="38">
        <f aca="true" t="shared" si="288" ref="AE1443:AE1449">IF(AQ1443="7",BI1443,0)</f>
        <v>0</v>
      </c>
      <c r="AF1443" s="38">
        <f aca="true" t="shared" si="289" ref="AF1443:AF1449">IF(AQ1443="2",BH1443,0)</f>
        <v>0</v>
      </c>
      <c r="AG1443" s="38">
        <f aca="true" t="shared" si="290" ref="AG1443:AG1449">IF(AQ1443="2",BI1443,0)</f>
        <v>0</v>
      </c>
      <c r="AH1443" s="38">
        <f aca="true" t="shared" si="291" ref="AH1443:AH1449">IF(AQ1443="0",BJ1443,0)</f>
        <v>0</v>
      </c>
      <c r="AI1443" s="50" t="s">
        <v>93</v>
      </c>
      <c r="AJ1443" s="80">
        <f aca="true" t="shared" si="292" ref="AJ1443:AJ1449">IF(AN1443=0,I1443,0)</f>
        <v>0</v>
      </c>
      <c r="AK1443" s="80">
        <f aca="true" t="shared" si="293" ref="AK1443:AK1449">IF(AN1443=12,I1443,0)</f>
        <v>0</v>
      </c>
      <c r="AL1443" s="80">
        <f aca="true" t="shared" si="294" ref="AL1443:AL1449">IF(AN1443=21,I1443,0)</f>
        <v>0</v>
      </c>
      <c r="AN1443" s="38">
        <v>21</v>
      </c>
      <c r="AO1443" s="38">
        <f aca="true" t="shared" si="295" ref="AO1443:AO1448">H1443*1</f>
        <v>0</v>
      </c>
      <c r="AP1443" s="38">
        <f aca="true" t="shared" si="296" ref="AP1443:AP1448">H1443*(1-1)</f>
        <v>0</v>
      </c>
      <c r="AQ1443" s="83" t="s">
        <v>169</v>
      </c>
      <c r="AV1443" s="38">
        <f aca="true" t="shared" si="297" ref="AV1443:AV1449">AW1443+AX1443</f>
        <v>0</v>
      </c>
      <c r="AW1443" s="38">
        <f aca="true" t="shared" si="298" ref="AW1443:AW1449">G1443*AO1443</f>
        <v>0</v>
      </c>
      <c r="AX1443" s="38">
        <f aca="true" t="shared" si="299" ref="AX1443:AX1449">G1443*AP1443</f>
        <v>0</v>
      </c>
      <c r="AY1443" s="72" t="s">
        <v>2827</v>
      </c>
      <c r="AZ1443" s="72" t="s">
        <v>2828</v>
      </c>
      <c r="BA1443" s="50" t="s">
        <v>2563</v>
      </c>
      <c r="BC1443" s="38">
        <f aca="true" t="shared" si="300" ref="BC1443:BC1449">AW1443+AX1443</f>
        <v>0</v>
      </c>
      <c r="BD1443" s="38">
        <f aca="true" t="shared" si="301" ref="BD1443:BD1449">H1443/(100-BE1443)*100</f>
        <v>0</v>
      </c>
      <c r="BE1443" s="38">
        <v>0</v>
      </c>
      <c r="BF1443" s="38">
        <f aca="true" t="shared" si="302" ref="BF1443:BF1449">K1443</f>
        <v>0</v>
      </c>
      <c r="BH1443" s="80">
        <f aca="true" t="shared" si="303" ref="BH1443:BH1449">G1443*AO1443</f>
        <v>0</v>
      </c>
      <c r="BI1443" s="80">
        <f aca="true" t="shared" si="304" ref="BI1443:BI1449">G1443*AP1443</f>
        <v>0</v>
      </c>
      <c r="BJ1443" s="80">
        <f aca="true" t="shared" si="305" ref="BJ1443:BJ1449">G1443*H1443</f>
        <v>0</v>
      </c>
      <c r="BK1443" s="80"/>
      <c r="BL1443" s="38"/>
      <c r="BW1443" s="38">
        <v>21</v>
      </c>
    </row>
    <row r="1444" spans="1:75" ht="13.5" customHeight="1">
      <c r="A1444" s="78" t="s">
        <v>2855</v>
      </c>
      <c r="B1444" s="79" t="s">
        <v>93</v>
      </c>
      <c r="C1444" s="79" t="s">
        <v>2856</v>
      </c>
      <c r="D1444" s="198" t="s">
        <v>2835</v>
      </c>
      <c r="E1444" s="199"/>
      <c r="F1444" s="79" t="s">
        <v>2567</v>
      </c>
      <c r="G1444" s="80">
        <v>1</v>
      </c>
      <c r="H1444" s="81">
        <v>0</v>
      </c>
      <c r="I1444" s="80">
        <f t="shared" si="282"/>
        <v>0</v>
      </c>
      <c r="J1444" s="80">
        <v>0</v>
      </c>
      <c r="K1444" s="80">
        <f t="shared" si="283"/>
        <v>0</v>
      </c>
      <c r="L1444" s="82" t="s">
        <v>207</v>
      </c>
      <c r="Z1444" s="38">
        <f t="shared" si="284"/>
        <v>0</v>
      </c>
      <c r="AB1444" s="38">
        <f t="shared" si="285"/>
        <v>0</v>
      </c>
      <c r="AC1444" s="38">
        <f t="shared" si="286"/>
        <v>0</v>
      </c>
      <c r="AD1444" s="38">
        <f t="shared" si="287"/>
        <v>0</v>
      </c>
      <c r="AE1444" s="38">
        <f t="shared" si="288"/>
        <v>0</v>
      </c>
      <c r="AF1444" s="38">
        <f t="shared" si="289"/>
        <v>0</v>
      </c>
      <c r="AG1444" s="38">
        <f t="shared" si="290"/>
        <v>0</v>
      </c>
      <c r="AH1444" s="38">
        <f t="shared" si="291"/>
        <v>0</v>
      </c>
      <c r="AI1444" s="50" t="s">
        <v>93</v>
      </c>
      <c r="AJ1444" s="80">
        <f t="shared" si="292"/>
        <v>0</v>
      </c>
      <c r="AK1444" s="80">
        <f t="shared" si="293"/>
        <v>0</v>
      </c>
      <c r="AL1444" s="80">
        <f t="shared" si="294"/>
        <v>0</v>
      </c>
      <c r="AN1444" s="38">
        <v>21</v>
      </c>
      <c r="AO1444" s="38">
        <f t="shared" si="295"/>
        <v>0</v>
      </c>
      <c r="AP1444" s="38">
        <f t="shared" si="296"/>
        <v>0</v>
      </c>
      <c r="AQ1444" s="83" t="s">
        <v>169</v>
      </c>
      <c r="AV1444" s="38">
        <f t="shared" si="297"/>
        <v>0</v>
      </c>
      <c r="AW1444" s="38">
        <f t="shared" si="298"/>
        <v>0</v>
      </c>
      <c r="AX1444" s="38">
        <f t="shared" si="299"/>
        <v>0</v>
      </c>
      <c r="AY1444" s="72" t="s">
        <v>2827</v>
      </c>
      <c r="AZ1444" s="72" t="s">
        <v>2828</v>
      </c>
      <c r="BA1444" s="50" t="s">
        <v>2563</v>
      </c>
      <c r="BC1444" s="38">
        <f t="shared" si="300"/>
        <v>0</v>
      </c>
      <c r="BD1444" s="38">
        <f t="shared" si="301"/>
        <v>0</v>
      </c>
      <c r="BE1444" s="38">
        <v>0</v>
      </c>
      <c r="BF1444" s="38">
        <f t="shared" si="302"/>
        <v>0</v>
      </c>
      <c r="BH1444" s="80">
        <f t="shared" si="303"/>
        <v>0</v>
      </c>
      <c r="BI1444" s="80">
        <f t="shared" si="304"/>
        <v>0</v>
      </c>
      <c r="BJ1444" s="80">
        <f t="shared" si="305"/>
        <v>0</v>
      </c>
      <c r="BK1444" s="80"/>
      <c r="BL1444" s="38"/>
      <c r="BW1444" s="38">
        <v>21</v>
      </c>
    </row>
    <row r="1445" spans="1:75" ht="13.5" customHeight="1">
      <c r="A1445" s="78" t="s">
        <v>2857</v>
      </c>
      <c r="B1445" s="79" t="s">
        <v>93</v>
      </c>
      <c r="C1445" s="79" t="s">
        <v>2858</v>
      </c>
      <c r="D1445" s="198" t="s">
        <v>2859</v>
      </c>
      <c r="E1445" s="199"/>
      <c r="F1445" s="79" t="s">
        <v>2567</v>
      </c>
      <c r="G1445" s="80">
        <v>1</v>
      </c>
      <c r="H1445" s="81">
        <v>0</v>
      </c>
      <c r="I1445" s="80">
        <f t="shared" si="282"/>
        <v>0</v>
      </c>
      <c r="J1445" s="80">
        <v>0</v>
      </c>
      <c r="K1445" s="80">
        <f t="shared" si="283"/>
        <v>0</v>
      </c>
      <c r="L1445" s="82" t="s">
        <v>207</v>
      </c>
      <c r="Z1445" s="38">
        <f t="shared" si="284"/>
        <v>0</v>
      </c>
      <c r="AB1445" s="38">
        <f t="shared" si="285"/>
        <v>0</v>
      </c>
      <c r="AC1445" s="38">
        <f t="shared" si="286"/>
        <v>0</v>
      </c>
      <c r="AD1445" s="38">
        <f t="shared" si="287"/>
        <v>0</v>
      </c>
      <c r="AE1445" s="38">
        <f t="shared" si="288"/>
        <v>0</v>
      </c>
      <c r="AF1445" s="38">
        <f t="shared" si="289"/>
        <v>0</v>
      </c>
      <c r="AG1445" s="38">
        <f t="shared" si="290"/>
        <v>0</v>
      </c>
      <c r="AH1445" s="38">
        <f t="shared" si="291"/>
        <v>0</v>
      </c>
      <c r="AI1445" s="50" t="s">
        <v>93</v>
      </c>
      <c r="AJ1445" s="80">
        <f t="shared" si="292"/>
        <v>0</v>
      </c>
      <c r="AK1445" s="80">
        <f t="shared" si="293"/>
        <v>0</v>
      </c>
      <c r="AL1445" s="80">
        <f t="shared" si="294"/>
        <v>0</v>
      </c>
      <c r="AN1445" s="38">
        <v>21</v>
      </c>
      <c r="AO1445" s="38">
        <f t="shared" si="295"/>
        <v>0</v>
      </c>
      <c r="AP1445" s="38">
        <f t="shared" si="296"/>
        <v>0</v>
      </c>
      <c r="AQ1445" s="83" t="s">
        <v>169</v>
      </c>
      <c r="AV1445" s="38">
        <f t="shared" si="297"/>
        <v>0</v>
      </c>
      <c r="AW1445" s="38">
        <f t="shared" si="298"/>
        <v>0</v>
      </c>
      <c r="AX1445" s="38">
        <f t="shared" si="299"/>
        <v>0</v>
      </c>
      <c r="AY1445" s="72" t="s">
        <v>2827</v>
      </c>
      <c r="AZ1445" s="72" t="s">
        <v>2828</v>
      </c>
      <c r="BA1445" s="50" t="s">
        <v>2563</v>
      </c>
      <c r="BC1445" s="38">
        <f t="shared" si="300"/>
        <v>0</v>
      </c>
      <c r="BD1445" s="38">
        <f t="shared" si="301"/>
        <v>0</v>
      </c>
      <c r="BE1445" s="38">
        <v>0</v>
      </c>
      <c r="BF1445" s="38">
        <f t="shared" si="302"/>
        <v>0</v>
      </c>
      <c r="BH1445" s="80">
        <f t="shared" si="303"/>
        <v>0</v>
      </c>
      <c r="BI1445" s="80">
        <f t="shared" si="304"/>
        <v>0</v>
      </c>
      <c r="BJ1445" s="80">
        <f t="shared" si="305"/>
        <v>0</v>
      </c>
      <c r="BK1445" s="80"/>
      <c r="BL1445" s="38"/>
      <c r="BW1445" s="38">
        <v>21</v>
      </c>
    </row>
    <row r="1446" spans="1:75" ht="13.5" customHeight="1">
      <c r="A1446" s="78" t="s">
        <v>2860</v>
      </c>
      <c r="B1446" s="79" t="s">
        <v>93</v>
      </c>
      <c r="C1446" s="79" t="s">
        <v>2861</v>
      </c>
      <c r="D1446" s="198" t="s">
        <v>2862</v>
      </c>
      <c r="E1446" s="199"/>
      <c r="F1446" s="79" t="s">
        <v>2567</v>
      </c>
      <c r="G1446" s="80">
        <v>3</v>
      </c>
      <c r="H1446" s="81">
        <v>0</v>
      </c>
      <c r="I1446" s="80">
        <f t="shared" si="282"/>
        <v>0</v>
      </c>
      <c r="J1446" s="80">
        <v>0</v>
      </c>
      <c r="K1446" s="80">
        <f t="shared" si="283"/>
        <v>0</v>
      </c>
      <c r="L1446" s="82" t="s">
        <v>207</v>
      </c>
      <c r="Z1446" s="38">
        <f t="shared" si="284"/>
        <v>0</v>
      </c>
      <c r="AB1446" s="38">
        <f t="shared" si="285"/>
        <v>0</v>
      </c>
      <c r="AC1446" s="38">
        <f t="shared" si="286"/>
        <v>0</v>
      </c>
      <c r="AD1446" s="38">
        <f t="shared" si="287"/>
        <v>0</v>
      </c>
      <c r="AE1446" s="38">
        <f t="shared" si="288"/>
        <v>0</v>
      </c>
      <c r="AF1446" s="38">
        <f t="shared" si="289"/>
        <v>0</v>
      </c>
      <c r="AG1446" s="38">
        <f t="shared" si="290"/>
        <v>0</v>
      </c>
      <c r="AH1446" s="38">
        <f t="shared" si="291"/>
        <v>0</v>
      </c>
      <c r="AI1446" s="50" t="s">
        <v>93</v>
      </c>
      <c r="AJ1446" s="80">
        <f t="shared" si="292"/>
        <v>0</v>
      </c>
      <c r="AK1446" s="80">
        <f t="shared" si="293"/>
        <v>0</v>
      </c>
      <c r="AL1446" s="80">
        <f t="shared" si="294"/>
        <v>0</v>
      </c>
      <c r="AN1446" s="38">
        <v>21</v>
      </c>
      <c r="AO1446" s="38">
        <f t="shared" si="295"/>
        <v>0</v>
      </c>
      <c r="AP1446" s="38">
        <f t="shared" si="296"/>
        <v>0</v>
      </c>
      <c r="AQ1446" s="83" t="s">
        <v>169</v>
      </c>
      <c r="AV1446" s="38">
        <f t="shared" si="297"/>
        <v>0</v>
      </c>
      <c r="AW1446" s="38">
        <f t="shared" si="298"/>
        <v>0</v>
      </c>
      <c r="AX1446" s="38">
        <f t="shared" si="299"/>
        <v>0</v>
      </c>
      <c r="AY1446" s="72" t="s">
        <v>2827</v>
      </c>
      <c r="AZ1446" s="72" t="s">
        <v>2828</v>
      </c>
      <c r="BA1446" s="50" t="s">
        <v>2563</v>
      </c>
      <c r="BC1446" s="38">
        <f t="shared" si="300"/>
        <v>0</v>
      </c>
      <c r="BD1446" s="38">
        <f t="shared" si="301"/>
        <v>0</v>
      </c>
      <c r="BE1446" s="38">
        <v>0</v>
      </c>
      <c r="BF1446" s="38">
        <f t="shared" si="302"/>
        <v>0</v>
      </c>
      <c r="BH1446" s="80">
        <f t="shared" si="303"/>
        <v>0</v>
      </c>
      <c r="BI1446" s="80">
        <f t="shared" si="304"/>
        <v>0</v>
      </c>
      <c r="BJ1446" s="80">
        <f t="shared" si="305"/>
        <v>0</v>
      </c>
      <c r="BK1446" s="80"/>
      <c r="BL1446" s="38"/>
      <c r="BW1446" s="38">
        <v>21</v>
      </c>
    </row>
    <row r="1447" spans="1:75" ht="13.5" customHeight="1">
      <c r="A1447" s="78" t="s">
        <v>2863</v>
      </c>
      <c r="B1447" s="79" t="s">
        <v>93</v>
      </c>
      <c r="C1447" s="79" t="s">
        <v>2864</v>
      </c>
      <c r="D1447" s="198" t="s">
        <v>2865</v>
      </c>
      <c r="E1447" s="199"/>
      <c r="F1447" s="79" t="s">
        <v>2567</v>
      </c>
      <c r="G1447" s="80">
        <v>1</v>
      </c>
      <c r="H1447" s="81">
        <v>0</v>
      </c>
      <c r="I1447" s="80">
        <f t="shared" si="282"/>
        <v>0</v>
      </c>
      <c r="J1447" s="80">
        <v>0</v>
      </c>
      <c r="K1447" s="80">
        <f t="shared" si="283"/>
        <v>0</v>
      </c>
      <c r="L1447" s="82" t="s">
        <v>207</v>
      </c>
      <c r="Z1447" s="38">
        <f t="shared" si="284"/>
        <v>0</v>
      </c>
      <c r="AB1447" s="38">
        <f t="shared" si="285"/>
        <v>0</v>
      </c>
      <c r="AC1447" s="38">
        <f t="shared" si="286"/>
        <v>0</v>
      </c>
      <c r="AD1447" s="38">
        <f t="shared" si="287"/>
        <v>0</v>
      </c>
      <c r="AE1447" s="38">
        <f t="shared" si="288"/>
        <v>0</v>
      </c>
      <c r="AF1447" s="38">
        <f t="shared" si="289"/>
        <v>0</v>
      </c>
      <c r="AG1447" s="38">
        <f t="shared" si="290"/>
        <v>0</v>
      </c>
      <c r="AH1447" s="38">
        <f t="shared" si="291"/>
        <v>0</v>
      </c>
      <c r="AI1447" s="50" t="s">
        <v>93</v>
      </c>
      <c r="AJ1447" s="80">
        <f t="shared" si="292"/>
        <v>0</v>
      </c>
      <c r="AK1447" s="80">
        <f t="shared" si="293"/>
        <v>0</v>
      </c>
      <c r="AL1447" s="80">
        <f t="shared" si="294"/>
        <v>0</v>
      </c>
      <c r="AN1447" s="38">
        <v>21</v>
      </c>
      <c r="AO1447" s="38">
        <f t="shared" si="295"/>
        <v>0</v>
      </c>
      <c r="AP1447" s="38">
        <f t="shared" si="296"/>
        <v>0</v>
      </c>
      <c r="AQ1447" s="83" t="s">
        <v>169</v>
      </c>
      <c r="AV1447" s="38">
        <f t="shared" si="297"/>
        <v>0</v>
      </c>
      <c r="AW1447" s="38">
        <f t="shared" si="298"/>
        <v>0</v>
      </c>
      <c r="AX1447" s="38">
        <f t="shared" si="299"/>
        <v>0</v>
      </c>
      <c r="AY1447" s="72" t="s">
        <v>2827</v>
      </c>
      <c r="AZ1447" s="72" t="s">
        <v>2828</v>
      </c>
      <c r="BA1447" s="50" t="s">
        <v>2563</v>
      </c>
      <c r="BC1447" s="38">
        <f t="shared" si="300"/>
        <v>0</v>
      </c>
      <c r="BD1447" s="38">
        <f t="shared" si="301"/>
        <v>0</v>
      </c>
      <c r="BE1447" s="38">
        <v>0</v>
      </c>
      <c r="BF1447" s="38">
        <f t="shared" si="302"/>
        <v>0</v>
      </c>
      <c r="BH1447" s="80">
        <f t="shared" si="303"/>
        <v>0</v>
      </c>
      <c r="BI1447" s="80">
        <f t="shared" si="304"/>
        <v>0</v>
      </c>
      <c r="BJ1447" s="80">
        <f t="shared" si="305"/>
        <v>0</v>
      </c>
      <c r="BK1447" s="80"/>
      <c r="BL1447" s="38"/>
      <c r="BW1447" s="38">
        <v>21</v>
      </c>
    </row>
    <row r="1448" spans="1:75" ht="13.5" customHeight="1">
      <c r="A1448" s="78" t="s">
        <v>2866</v>
      </c>
      <c r="B1448" s="79" t="s">
        <v>93</v>
      </c>
      <c r="C1448" s="79" t="s">
        <v>2867</v>
      </c>
      <c r="D1448" s="198" t="s">
        <v>2868</v>
      </c>
      <c r="E1448" s="199"/>
      <c r="F1448" s="79" t="s">
        <v>2567</v>
      </c>
      <c r="G1448" s="80">
        <v>1</v>
      </c>
      <c r="H1448" s="81">
        <v>0</v>
      </c>
      <c r="I1448" s="80">
        <f t="shared" si="282"/>
        <v>0</v>
      </c>
      <c r="J1448" s="80">
        <v>0</v>
      </c>
      <c r="K1448" s="80">
        <f t="shared" si="283"/>
        <v>0</v>
      </c>
      <c r="L1448" s="82" t="s">
        <v>207</v>
      </c>
      <c r="Z1448" s="38">
        <f t="shared" si="284"/>
        <v>0</v>
      </c>
      <c r="AB1448" s="38">
        <f t="shared" si="285"/>
        <v>0</v>
      </c>
      <c r="AC1448" s="38">
        <f t="shared" si="286"/>
        <v>0</v>
      </c>
      <c r="AD1448" s="38">
        <f t="shared" si="287"/>
        <v>0</v>
      </c>
      <c r="AE1448" s="38">
        <f t="shared" si="288"/>
        <v>0</v>
      </c>
      <c r="AF1448" s="38">
        <f t="shared" si="289"/>
        <v>0</v>
      </c>
      <c r="AG1448" s="38">
        <f t="shared" si="290"/>
        <v>0</v>
      </c>
      <c r="AH1448" s="38">
        <f t="shared" si="291"/>
        <v>0</v>
      </c>
      <c r="AI1448" s="50" t="s">
        <v>93</v>
      </c>
      <c r="AJ1448" s="80">
        <f t="shared" si="292"/>
        <v>0</v>
      </c>
      <c r="AK1448" s="80">
        <f t="shared" si="293"/>
        <v>0</v>
      </c>
      <c r="AL1448" s="80">
        <f t="shared" si="294"/>
        <v>0</v>
      </c>
      <c r="AN1448" s="38">
        <v>21</v>
      </c>
      <c r="AO1448" s="38">
        <f t="shared" si="295"/>
        <v>0</v>
      </c>
      <c r="AP1448" s="38">
        <f t="shared" si="296"/>
        <v>0</v>
      </c>
      <c r="AQ1448" s="83" t="s">
        <v>169</v>
      </c>
      <c r="AV1448" s="38">
        <f t="shared" si="297"/>
        <v>0</v>
      </c>
      <c r="AW1448" s="38">
        <f t="shared" si="298"/>
        <v>0</v>
      </c>
      <c r="AX1448" s="38">
        <f t="shared" si="299"/>
        <v>0</v>
      </c>
      <c r="AY1448" s="72" t="s">
        <v>2827</v>
      </c>
      <c r="AZ1448" s="72" t="s">
        <v>2828</v>
      </c>
      <c r="BA1448" s="50" t="s">
        <v>2563</v>
      </c>
      <c r="BC1448" s="38">
        <f t="shared" si="300"/>
        <v>0</v>
      </c>
      <c r="BD1448" s="38">
        <f t="shared" si="301"/>
        <v>0</v>
      </c>
      <c r="BE1448" s="38">
        <v>0</v>
      </c>
      <c r="BF1448" s="38">
        <f t="shared" si="302"/>
        <v>0</v>
      </c>
      <c r="BH1448" s="80">
        <f t="shared" si="303"/>
        <v>0</v>
      </c>
      <c r="BI1448" s="80">
        <f t="shared" si="304"/>
        <v>0</v>
      </c>
      <c r="BJ1448" s="80">
        <f t="shared" si="305"/>
        <v>0</v>
      </c>
      <c r="BK1448" s="80"/>
      <c r="BL1448" s="38"/>
      <c r="BW1448" s="38">
        <v>21</v>
      </c>
    </row>
    <row r="1449" spans="1:75" ht="13.5" customHeight="1">
      <c r="A1449" s="1" t="s">
        <v>2869</v>
      </c>
      <c r="B1449" s="2" t="s">
        <v>93</v>
      </c>
      <c r="C1449" s="2" t="s">
        <v>2817</v>
      </c>
      <c r="D1449" s="108" t="s">
        <v>2818</v>
      </c>
      <c r="E1449" s="103"/>
      <c r="F1449" s="2" t="s">
        <v>2286</v>
      </c>
      <c r="G1449" s="38">
        <v>22</v>
      </c>
      <c r="H1449" s="70">
        <v>0</v>
      </c>
      <c r="I1449" s="38">
        <f t="shared" si="282"/>
        <v>0</v>
      </c>
      <c r="J1449" s="38">
        <v>0</v>
      </c>
      <c r="K1449" s="38">
        <f t="shared" si="283"/>
        <v>0</v>
      </c>
      <c r="L1449" s="71" t="s">
        <v>207</v>
      </c>
      <c r="Z1449" s="38">
        <f t="shared" si="284"/>
        <v>0</v>
      </c>
      <c r="AB1449" s="38">
        <f t="shared" si="285"/>
        <v>0</v>
      </c>
      <c r="AC1449" s="38">
        <f t="shared" si="286"/>
        <v>0</v>
      </c>
      <c r="AD1449" s="38">
        <f t="shared" si="287"/>
        <v>0</v>
      </c>
      <c r="AE1449" s="38">
        <f t="shared" si="288"/>
        <v>0</v>
      </c>
      <c r="AF1449" s="38">
        <f t="shared" si="289"/>
        <v>0</v>
      </c>
      <c r="AG1449" s="38">
        <f t="shared" si="290"/>
        <v>0</v>
      </c>
      <c r="AH1449" s="38">
        <f t="shared" si="291"/>
        <v>0</v>
      </c>
      <c r="AI1449" s="50" t="s">
        <v>93</v>
      </c>
      <c r="AJ1449" s="38">
        <f t="shared" si="292"/>
        <v>0</v>
      </c>
      <c r="AK1449" s="38">
        <f t="shared" si="293"/>
        <v>0</v>
      </c>
      <c r="AL1449" s="38">
        <f t="shared" si="294"/>
        <v>0</v>
      </c>
      <c r="AN1449" s="38">
        <v>21</v>
      </c>
      <c r="AO1449" s="38">
        <f>H1449*0</f>
        <v>0</v>
      </c>
      <c r="AP1449" s="38">
        <f>H1449*(1-0)</f>
        <v>0</v>
      </c>
      <c r="AQ1449" s="72" t="s">
        <v>169</v>
      </c>
      <c r="AV1449" s="38">
        <f t="shared" si="297"/>
        <v>0</v>
      </c>
      <c r="AW1449" s="38">
        <f t="shared" si="298"/>
        <v>0</v>
      </c>
      <c r="AX1449" s="38">
        <f t="shared" si="299"/>
        <v>0</v>
      </c>
      <c r="AY1449" s="72" t="s">
        <v>2827</v>
      </c>
      <c r="AZ1449" s="72" t="s">
        <v>2828</v>
      </c>
      <c r="BA1449" s="50" t="s">
        <v>2563</v>
      </c>
      <c r="BC1449" s="38">
        <f t="shared" si="300"/>
        <v>0</v>
      </c>
      <c r="BD1449" s="38">
        <f t="shared" si="301"/>
        <v>0</v>
      </c>
      <c r="BE1449" s="38">
        <v>0</v>
      </c>
      <c r="BF1449" s="38">
        <f t="shared" si="302"/>
        <v>0</v>
      </c>
      <c r="BH1449" s="38">
        <f t="shared" si="303"/>
        <v>0</v>
      </c>
      <c r="BI1449" s="38">
        <f t="shared" si="304"/>
        <v>0</v>
      </c>
      <c r="BJ1449" s="38">
        <f t="shared" si="305"/>
        <v>0</v>
      </c>
      <c r="BK1449" s="38"/>
      <c r="BL1449" s="38"/>
      <c r="BW1449" s="38">
        <v>21</v>
      </c>
    </row>
    <row r="1450" spans="1:12" ht="13.5" customHeight="1">
      <c r="A1450" s="74"/>
      <c r="D1450" s="194" t="s">
        <v>2870</v>
      </c>
      <c r="E1450" s="195"/>
      <c r="F1450" s="195"/>
      <c r="G1450" s="195"/>
      <c r="H1450" s="196"/>
      <c r="I1450" s="195"/>
      <c r="J1450" s="195"/>
      <c r="K1450" s="195"/>
      <c r="L1450" s="197"/>
    </row>
    <row r="1451" spans="1:75" ht="13.5" customHeight="1">
      <c r="A1451" s="78" t="s">
        <v>2871</v>
      </c>
      <c r="B1451" s="79" t="s">
        <v>93</v>
      </c>
      <c r="C1451" s="79" t="s">
        <v>2854</v>
      </c>
      <c r="D1451" s="198" t="s">
        <v>2832</v>
      </c>
      <c r="E1451" s="199"/>
      <c r="F1451" s="79" t="s">
        <v>2567</v>
      </c>
      <c r="G1451" s="80">
        <v>1</v>
      </c>
      <c r="H1451" s="81">
        <v>0</v>
      </c>
      <c r="I1451" s="80">
        <f aca="true" t="shared" si="306" ref="I1451:I1470">G1451*H1451</f>
        <v>0</v>
      </c>
      <c r="J1451" s="80">
        <v>0</v>
      </c>
      <c r="K1451" s="80">
        <f aca="true" t="shared" si="307" ref="K1451:K1470">G1451*J1451</f>
        <v>0</v>
      </c>
      <c r="L1451" s="82" t="s">
        <v>207</v>
      </c>
      <c r="Z1451" s="38">
        <f aca="true" t="shared" si="308" ref="Z1451:Z1470">IF(AQ1451="5",BJ1451,0)</f>
        <v>0</v>
      </c>
      <c r="AB1451" s="38">
        <f aca="true" t="shared" si="309" ref="AB1451:AB1470">IF(AQ1451="1",BH1451,0)</f>
        <v>0</v>
      </c>
      <c r="AC1451" s="38">
        <f aca="true" t="shared" si="310" ref="AC1451:AC1470">IF(AQ1451="1",BI1451,0)</f>
        <v>0</v>
      </c>
      <c r="AD1451" s="38">
        <f aca="true" t="shared" si="311" ref="AD1451:AD1470">IF(AQ1451="7",BH1451,0)</f>
        <v>0</v>
      </c>
      <c r="AE1451" s="38">
        <f aca="true" t="shared" si="312" ref="AE1451:AE1470">IF(AQ1451="7",BI1451,0)</f>
        <v>0</v>
      </c>
      <c r="AF1451" s="38">
        <f aca="true" t="shared" si="313" ref="AF1451:AF1470">IF(AQ1451="2",BH1451,0)</f>
        <v>0</v>
      </c>
      <c r="AG1451" s="38">
        <f aca="true" t="shared" si="314" ref="AG1451:AG1470">IF(AQ1451="2",BI1451,0)</f>
        <v>0</v>
      </c>
      <c r="AH1451" s="38">
        <f aca="true" t="shared" si="315" ref="AH1451:AH1470">IF(AQ1451="0",BJ1451,0)</f>
        <v>0</v>
      </c>
      <c r="AI1451" s="50" t="s">
        <v>93</v>
      </c>
      <c r="AJ1451" s="80">
        <f aca="true" t="shared" si="316" ref="AJ1451:AJ1470">IF(AN1451=0,I1451,0)</f>
        <v>0</v>
      </c>
      <c r="AK1451" s="80">
        <f aca="true" t="shared" si="317" ref="AK1451:AK1470">IF(AN1451=12,I1451,0)</f>
        <v>0</v>
      </c>
      <c r="AL1451" s="80">
        <f aca="true" t="shared" si="318" ref="AL1451:AL1470">IF(AN1451=21,I1451,0)</f>
        <v>0</v>
      </c>
      <c r="AN1451" s="38">
        <v>21</v>
      </c>
      <c r="AO1451" s="38">
        <f aca="true" t="shared" si="319" ref="AO1451:AO1469">H1451*1</f>
        <v>0</v>
      </c>
      <c r="AP1451" s="38">
        <f aca="true" t="shared" si="320" ref="AP1451:AP1469">H1451*(1-1)</f>
        <v>0</v>
      </c>
      <c r="AQ1451" s="83" t="s">
        <v>169</v>
      </c>
      <c r="AV1451" s="38">
        <f aca="true" t="shared" si="321" ref="AV1451:AV1470">AW1451+AX1451</f>
        <v>0</v>
      </c>
      <c r="AW1451" s="38">
        <f aca="true" t="shared" si="322" ref="AW1451:AW1470">G1451*AO1451</f>
        <v>0</v>
      </c>
      <c r="AX1451" s="38">
        <f aca="true" t="shared" si="323" ref="AX1451:AX1470">G1451*AP1451</f>
        <v>0</v>
      </c>
      <c r="AY1451" s="72" t="s">
        <v>2827</v>
      </c>
      <c r="AZ1451" s="72" t="s">
        <v>2828</v>
      </c>
      <c r="BA1451" s="50" t="s">
        <v>2563</v>
      </c>
      <c r="BC1451" s="38">
        <f aca="true" t="shared" si="324" ref="BC1451:BC1470">AW1451+AX1451</f>
        <v>0</v>
      </c>
      <c r="BD1451" s="38">
        <f aca="true" t="shared" si="325" ref="BD1451:BD1470">H1451/(100-BE1451)*100</f>
        <v>0</v>
      </c>
      <c r="BE1451" s="38">
        <v>0</v>
      </c>
      <c r="BF1451" s="38">
        <f aca="true" t="shared" si="326" ref="BF1451:BF1470">K1451</f>
        <v>0</v>
      </c>
      <c r="BH1451" s="80">
        <f aca="true" t="shared" si="327" ref="BH1451:BH1470">G1451*AO1451</f>
        <v>0</v>
      </c>
      <c r="BI1451" s="80">
        <f aca="true" t="shared" si="328" ref="BI1451:BI1470">G1451*AP1451</f>
        <v>0</v>
      </c>
      <c r="BJ1451" s="80">
        <f aca="true" t="shared" si="329" ref="BJ1451:BJ1470">G1451*H1451</f>
        <v>0</v>
      </c>
      <c r="BK1451" s="80"/>
      <c r="BL1451" s="38"/>
      <c r="BW1451" s="38">
        <v>21</v>
      </c>
    </row>
    <row r="1452" spans="1:75" ht="13.5" customHeight="1">
      <c r="A1452" s="78" t="s">
        <v>2872</v>
      </c>
      <c r="B1452" s="79" t="s">
        <v>93</v>
      </c>
      <c r="C1452" s="79" t="s">
        <v>2856</v>
      </c>
      <c r="D1452" s="198" t="s">
        <v>2835</v>
      </c>
      <c r="E1452" s="199"/>
      <c r="F1452" s="79" t="s">
        <v>2567</v>
      </c>
      <c r="G1452" s="80">
        <v>1</v>
      </c>
      <c r="H1452" s="81">
        <v>0</v>
      </c>
      <c r="I1452" s="80">
        <f t="shared" si="306"/>
        <v>0</v>
      </c>
      <c r="J1452" s="80">
        <v>0</v>
      </c>
      <c r="K1452" s="80">
        <f t="shared" si="307"/>
        <v>0</v>
      </c>
      <c r="L1452" s="82" t="s">
        <v>207</v>
      </c>
      <c r="Z1452" s="38">
        <f t="shared" si="308"/>
        <v>0</v>
      </c>
      <c r="AB1452" s="38">
        <f t="shared" si="309"/>
        <v>0</v>
      </c>
      <c r="AC1452" s="38">
        <f t="shared" si="310"/>
        <v>0</v>
      </c>
      <c r="AD1452" s="38">
        <f t="shared" si="311"/>
        <v>0</v>
      </c>
      <c r="AE1452" s="38">
        <f t="shared" si="312"/>
        <v>0</v>
      </c>
      <c r="AF1452" s="38">
        <f t="shared" si="313"/>
        <v>0</v>
      </c>
      <c r="AG1452" s="38">
        <f t="shared" si="314"/>
        <v>0</v>
      </c>
      <c r="AH1452" s="38">
        <f t="shared" si="315"/>
        <v>0</v>
      </c>
      <c r="AI1452" s="50" t="s">
        <v>93</v>
      </c>
      <c r="AJ1452" s="80">
        <f t="shared" si="316"/>
        <v>0</v>
      </c>
      <c r="AK1452" s="80">
        <f t="shared" si="317"/>
        <v>0</v>
      </c>
      <c r="AL1452" s="80">
        <f t="shared" si="318"/>
        <v>0</v>
      </c>
      <c r="AN1452" s="38">
        <v>21</v>
      </c>
      <c r="AO1452" s="38">
        <f t="shared" si="319"/>
        <v>0</v>
      </c>
      <c r="AP1452" s="38">
        <f t="shared" si="320"/>
        <v>0</v>
      </c>
      <c r="AQ1452" s="83" t="s">
        <v>169</v>
      </c>
      <c r="AV1452" s="38">
        <f t="shared" si="321"/>
        <v>0</v>
      </c>
      <c r="AW1452" s="38">
        <f t="shared" si="322"/>
        <v>0</v>
      </c>
      <c r="AX1452" s="38">
        <f t="shared" si="323"/>
        <v>0</v>
      </c>
      <c r="AY1452" s="72" t="s">
        <v>2827</v>
      </c>
      <c r="AZ1452" s="72" t="s">
        <v>2828</v>
      </c>
      <c r="BA1452" s="50" t="s">
        <v>2563</v>
      </c>
      <c r="BC1452" s="38">
        <f t="shared" si="324"/>
        <v>0</v>
      </c>
      <c r="BD1452" s="38">
        <f t="shared" si="325"/>
        <v>0</v>
      </c>
      <c r="BE1452" s="38">
        <v>0</v>
      </c>
      <c r="BF1452" s="38">
        <f t="shared" si="326"/>
        <v>0</v>
      </c>
      <c r="BH1452" s="80">
        <f t="shared" si="327"/>
        <v>0</v>
      </c>
      <c r="BI1452" s="80">
        <f t="shared" si="328"/>
        <v>0</v>
      </c>
      <c r="BJ1452" s="80">
        <f t="shared" si="329"/>
        <v>0</v>
      </c>
      <c r="BK1452" s="80"/>
      <c r="BL1452" s="38"/>
      <c r="BW1452" s="38">
        <v>21</v>
      </c>
    </row>
    <row r="1453" spans="1:75" ht="27" customHeight="1">
      <c r="A1453" s="78" t="s">
        <v>2873</v>
      </c>
      <c r="B1453" s="79" t="s">
        <v>93</v>
      </c>
      <c r="C1453" s="79" t="s">
        <v>2874</v>
      </c>
      <c r="D1453" s="198" t="s">
        <v>2875</v>
      </c>
      <c r="E1453" s="199"/>
      <c r="F1453" s="79" t="s">
        <v>2567</v>
      </c>
      <c r="G1453" s="80">
        <v>1</v>
      </c>
      <c r="H1453" s="81">
        <v>0</v>
      </c>
      <c r="I1453" s="80">
        <f t="shared" si="306"/>
        <v>0</v>
      </c>
      <c r="J1453" s="80">
        <v>0</v>
      </c>
      <c r="K1453" s="80">
        <f t="shared" si="307"/>
        <v>0</v>
      </c>
      <c r="L1453" s="82" t="s">
        <v>207</v>
      </c>
      <c r="Z1453" s="38">
        <f t="shared" si="308"/>
        <v>0</v>
      </c>
      <c r="AB1453" s="38">
        <f t="shared" si="309"/>
        <v>0</v>
      </c>
      <c r="AC1453" s="38">
        <f t="shared" si="310"/>
        <v>0</v>
      </c>
      <c r="AD1453" s="38">
        <f t="shared" si="311"/>
        <v>0</v>
      </c>
      <c r="AE1453" s="38">
        <f t="shared" si="312"/>
        <v>0</v>
      </c>
      <c r="AF1453" s="38">
        <f t="shared" si="313"/>
        <v>0</v>
      </c>
      <c r="AG1453" s="38">
        <f t="shared" si="314"/>
        <v>0</v>
      </c>
      <c r="AH1453" s="38">
        <f t="shared" si="315"/>
        <v>0</v>
      </c>
      <c r="AI1453" s="50" t="s">
        <v>93</v>
      </c>
      <c r="AJ1453" s="80">
        <f t="shared" si="316"/>
        <v>0</v>
      </c>
      <c r="AK1453" s="80">
        <f t="shared" si="317"/>
        <v>0</v>
      </c>
      <c r="AL1453" s="80">
        <f t="shared" si="318"/>
        <v>0</v>
      </c>
      <c r="AN1453" s="38">
        <v>21</v>
      </c>
      <c r="AO1453" s="38">
        <f t="shared" si="319"/>
        <v>0</v>
      </c>
      <c r="AP1453" s="38">
        <f t="shared" si="320"/>
        <v>0</v>
      </c>
      <c r="AQ1453" s="83" t="s">
        <v>169</v>
      </c>
      <c r="AV1453" s="38">
        <f t="shared" si="321"/>
        <v>0</v>
      </c>
      <c r="AW1453" s="38">
        <f t="shared" si="322"/>
        <v>0</v>
      </c>
      <c r="AX1453" s="38">
        <f t="shared" si="323"/>
        <v>0</v>
      </c>
      <c r="AY1453" s="72" t="s">
        <v>2827</v>
      </c>
      <c r="AZ1453" s="72" t="s">
        <v>2828</v>
      </c>
      <c r="BA1453" s="50" t="s">
        <v>2563</v>
      </c>
      <c r="BC1453" s="38">
        <f t="shared" si="324"/>
        <v>0</v>
      </c>
      <c r="BD1453" s="38">
        <f t="shared" si="325"/>
        <v>0</v>
      </c>
      <c r="BE1453" s="38">
        <v>0</v>
      </c>
      <c r="BF1453" s="38">
        <f t="shared" si="326"/>
        <v>0</v>
      </c>
      <c r="BH1453" s="80">
        <f t="shared" si="327"/>
        <v>0</v>
      </c>
      <c r="BI1453" s="80">
        <f t="shared" si="328"/>
        <v>0</v>
      </c>
      <c r="BJ1453" s="80">
        <f t="shared" si="329"/>
        <v>0</v>
      </c>
      <c r="BK1453" s="80"/>
      <c r="BL1453" s="38"/>
      <c r="BW1453" s="38">
        <v>21</v>
      </c>
    </row>
    <row r="1454" spans="1:75" ht="27" customHeight="1">
      <c r="A1454" s="78" t="s">
        <v>2876</v>
      </c>
      <c r="B1454" s="79" t="s">
        <v>93</v>
      </c>
      <c r="C1454" s="79" t="s">
        <v>2877</v>
      </c>
      <c r="D1454" s="198" t="s">
        <v>2878</v>
      </c>
      <c r="E1454" s="199"/>
      <c r="F1454" s="79" t="s">
        <v>2567</v>
      </c>
      <c r="G1454" s="80">
        <v>1</v>
      </c>
      <c r="H1454" s="81">
        <v>0</v>
      </c>
      <c r="I1454" s="80">
        <f t="shared" si="306"/>
        <v>0</v>
      </c>
      <c r="J1454" s="80">
        <v>0</v>
      </c>
      <c r="K1454" s="80">
        <f t="shared" si="307"/>
        <v>0</v>
      </c>
      <c r="L1454" s="82" t="s">
        <v>207</v>
      </c>
      <c r="Z1454" s="38">
        <f t="shared" si="308"/>
        <v>0</v>
      </c>
      <c r="AB1454" s="38">
        <f t="shared" si="309"/>
        <v>0</v>
      </c>
      <c r="AC1454" s="38">
        <f t="shared" si="310"/>
        <v>0</v>
      </c>
      <c r="AD1454" s="38">
        <f t="shared" si="311"/>
        <v>0</v>
      </c>
      <c r="AE1454" s="38">
        <f t="shared" si="312"/>
        <v>0</v>
      </c>
      <c r="AF1454" s="38">
        <f t="shared" si="313"/>
        <v>0</v>
      </c>
      <c r="AG1454" s="38">
        <f t="shared" si="314"/>
        <v>0</v>
      </c>
      <c r="AH1454" s="38">
        <f t="shared" si="315"/>
        <v>0</v>
      </c>
      <c r="AI1454" s="50" t="s">
        <v>93</v>
      </c>
      <c r="AJ1454" s="80">
        <f t="shared" si="316"/>
        <v>0</v>
      </c>
      <c r="AK1454" s="80">
        <f t="shared" si="317"/>
        <v>0</v>
      </c>
      <c r="AL1454" s="80">
        <f t="shared" si="318"/>
        <v>0</v>
      </c>
      <c r="AN1454" s="38">
        <v>21</v>
      </c>
      <c r="AO1454" s="38">
        <f t="shared" si="319"/>
        <v>0</v>
      </c>
      <c r="AP1454" s="38">
        <f t="shared" si="320"/>
        <v>0</v>
      </c>
      <c r="AQ1454" s="83" t="s">
        <v>169</v>
      </c>
      <c r="AV1454" s="38">
        <f t="shared" si="321"/>
        <v>0</v>
      </c>
      <c r="AW1454" s="38">
        <f t="shared" si="322"/>
        <v>0</v>
      </c>
      <c r="AX1454" s="38">
        <f t="shared" si="323"/>
        <v>0</v>
      </c>
      <c r="AY1454" s="72" t="s">
        <v>2827</v>
      </c>
      <c r="AZ1454" s="72" t="s">
        <v>2828</v>
      </c>
      <c r="BA1454" s="50" t="s">
        <v>2563</v>
      </c>
      <c r="BC1454" s="38">
        <f t="shared" si="324"/>
        <v>0</v>
      </c>
      <c r="BD1454" s="38">
        <f t="shared" si="325"/>
        <v>0</v>
      </c>
      <c r="BE1454" s="38">
        <v>0</v>
      </c>
      <c r="BF1454" s="38">
        <f t="shared" si="326"/>
        <v>0</v>
      </c>
      <c r="BH1454" s="80">
        <f t="shared" si="327"/>
        <v>0</v>
      </c>
      <c r="BI1454" s="80">
        <f t="shared" si="328"/>
        <v>0</v>
      </c>
      <c r="BJ1454" s="80">
        <f t="shared" si="329"/>
        <v>0</v>
      </c>
      <c r="BK1454" s="80"/>
      <c r="BL1454" s="38"/>
      <c r="BW1454" s="38">
        <v>21</v>
      </c>
    </row>
    <row r="1455" spans="1:75" ht="13.5" customHeight="1">
      <c r="A1455" s="78" t="s">
        <v>2879</v>
      </c>
      <c r="B1455" s="79" t="s">
        <v>93</v>
      </c>
      <c r="C1455" s="79" t="s">
        <v>2880</v>
      </c>
      <c r="D1455" s="198" t="s">
        <v>2881</v>
      </c>
      <c r="E1455" s="199"/>
      <c r="F1455" s="79" t="s">
        <v>2567</v>
      </c>
      <c r="G1455" s="80">
        <v>3</v>
      </c>
      <c r="H1455" s="81">
        <v>0</v>
      </c>
      <c r="I1455" s="80">
        <f t="shared" si="306"/>
        <v>0</v>
      </c>
      <c r="J1455" s="80">
        <v>0</v>
      </c>
      <c r="K1455" s="80">
        <f t="shared" si="307"/>
        <v>0</v>
      </c>
      <c r="L1455" s="82" t="s">
        <v>207</v>
      </c>
      <c r="Z1455" s="38">
        <f t="shared" si="308"/>
        <v>0</v>
      </c>
      <c r="AB1455" s="38">
        <f t="shared" si="309"/>
        <v>0</v>
      </c>
      <c r="AC1455" s="38">
        <f t="shared" si="310"/>
        <v>0</v>
      </c>
      <c r="AD1455" s="38">
        <f t="shared" si="311"/>
        <v>0</v>
      </c>
      <c r="AE1455" s="38">
        <f t="shared" si="312"/>
        <v>0</v>
      </c>
      <c r="AF1455" s="38">
        <f t="shared" si="313"/>
        <v>0</v>
      </c>
      <c r="AG1455" s="38">
        <f t="shared" si="314"/>
        <v>0</v>
      </c>
      <c r="AH1455" s="38">
        <f t="shared" si="315"/>
        <v>0</v>
      </c>
      <c r="AI1455" s="50" t="s">
        <v>93</v>
      </c>
      <c r="AJ1455" s="80">
        <f t="shared" si="316"/>
        <v>0</v>
      </c>
      <c r="AK1455" s="80">
        <f t="shared" si="317"/>
        <v>0</v>
      </c>
      <c r="AL1455" s="80">
        <f t="shared" si="318"/>
        <v>0</v>
      </c>
      <c r="AN1455" s="38">
        <v>21</v>
      </c>
      <c r="AO1455" s="38">
        <f t="shared" si="319"/>
        <v>0</v>
      </c>
      <c r="AP1455" s="38">
        <f t="shared" si="320"/>
        <v>0</v>
      </c>
      <c r="AQ1455" s="83" t="s">
        <v>169</v>
      </c>
      <c r="AV1455" s="38">
        <f t="shared" si="321"/>
        <v>0</v>
      </c>
      <c r="AW1455" s="38">
        <f t="shared" si="322"/>
        <v>0</v>
      </c>
      <c r="AX1455" s="38">
        <f t="shared" si="323"/>
        <v>0</v>
      </c>
      <c r="AY1455" s="72" t="s">
        <v>2827</v>
      </c>
      <c r="AZ1455" s="72" t="s">
        <v>2828</v>
      </c>
      <c r="BA1455" s="50" t="s">
        <v>2563</v>
      </c>
      <c r="BC1455" s="38">
        <f t="shared" si="324"/>
        <v>0</v>
      </c>
      <c r="BD1455" s="38">
        <f t="shared" si="325"/>
        <v>0</v>
      </c>
      <c r="BE1455" s="38">
        <v>0</v>
      </c>
      <c r="BF1455" s="38">
        <f t="shared" si="326"/>
        <v>0</v>
      </c>
      <c r="BH1455" s="80">
        <f t="shared" si="327"/>
        <v>0</v>
      </c>
      <c r="BI1455" s="80">
        <f t="shared" si="328"/>
        <v>0</v>
      </c>
      <c r="BJ1455" s="80">
        <f t="shared" si="329"/>
        <v>0</v>
      </c>
      <c r="BK1455" s="80"/>
      <c r="BL1455" s="38"/>
      <c r="BW1455" s="38">
        <v>21</v>
      </c>
    </row>
    <row r="1456" spans="1:75" ht="27" customHeight="1">
      <c r="A1456" s="78" t="s">
        <v>2882</v>
      </c>
      <c r="B1456" s="79" t="s">
        <v>93</v>
      </c>
      <c r="C1456" s="79" t="s">
        <v>2883</v>
      </c>
      <c r="D1456" s="198" t="s">
        <v>2884</v>
      </c>
      <c r="E1456" s="199"/>
      <c r="F1456" s="79" t="s">
        <v>2567</v>
      </c>
      <c r="G1456" s="80">
        <v>1</v>
      </c>
      <c r="H1456" s="81">
        <v>0</v>
      </c>
      <c r="I1456" s="80">
        <f t="shared" si="306"/>
        <v>0</v>
      </c>
      <c r="J1456" s="80">
        <v>0</v>
      </c>
      <c r="K1456" s="80">
        <f t="shared" si="307"/>
        <v>0</v>
      </c>
      <c r="L1456" s="82" t="s">
        <v>207</v>
      </c>
      <c r="Z1456" s="38">
        <f t="shared" si="308"/>
        <v>0</v>
      </c>
      <c r="AB1456" s="38">
        <f t="shared" si="309"/>
        <v>0</v>
      </c>
      <c r="AC1456" s="38">
        <f t="shared" si="310"/>
        <v>0</v>
      </c>
      <c r="AD1456" s="38">
        <f t="shared" si="311"/>
        <v>0</v>
      </c>
      <c r="AE1456" s="38">
        <f t="shared" si="312"/>
        <v>0</v>
      </c>
      <c r="AF1456" s="38">
        <f t="shared" si="313"/>
        <v>0</v>
      </c>
      <c r="AG1456" s="38">
        <f t="shared" si="314"/>
        <v>0</v>
      </c>
      <c r="AH1456" s="38">
        <f t="shared" si="315"/>
        <v>0</v>
      </c>
      <c r="AI1456" s="50" t="s">
        <v>93</v>
      </c>
      <c r="AJ1456" s="80">
        <f t="shared" si="316"/>
        <v>0</v>
      </c>
      <c r="AK1456" s="80">
        <f t="shared" si="317"/>
        <v>0</v>
      </c>
      <c r="AL1456" s="80">
        <f t="shared" si="318"/>
        <v>0</v>
      </c>
      <c r="AN1456" s="38">
        <v>21</v>
      </c>
      <c r="AO1456" s="38">
        <f t="shared" si="319"/>
        <v>0</v>
      </c>
      <c r="AP1456" s="38">
        <f t="shared" si="320"/>
        <v>0</v>
      </c>
      <c r="AQ1456" s="83" t="s">
        <v>169</v>
      </c>
      <c r="AV1456" s="38">
        <f t="shared" si="321"/>
        <v>0</v>
      </c>
      <c r="AW1456" s="38">
        <f t="shared" si="322"/>
        <v>0</v>
      </c>
      <c r="AX1456" s="38">
        <f t="shared" si="323"/>
        <v>0</v>
      </c>
      <c r="AY1456" s="72" t="s">
        <v>2827</v>
      </c>
      <c r="AZ1456" s="72" t="s">
        <v>2828</v>
      </c>
      <c r="BA1456" s="50" t="s">
        <v>2563</v>
      </c>
      <c r="BC1456" s="38">
        <f t="shared" si="324"/>
        <v>0</v>
      </c>
      <c r="BD1456" s="38">
        <f t="shared" si="325"/>
        <v>0</v>
      </c>
      <c r="BE1456" s="38">
        <v>0</v>
      </c>
      <c r="BF1456" s="38">
        <f t="shared" si="326"/>
        <v>0</v>
      </c>
      <c r="BH1456" s="80">
        <f t="shared" si="327"/>
        <v>0</v>
      </c>
      <c r="BI1456" s="80">
        <f t="shared" si="328"/>
        <v>0</v>
      </c>
      <c r="BJ1456" s="80">
        <f t="shared" si="329"/>
        <v>0</v>
      </c>
      <c r="BK1456" s="80"/>
      <c r="BL1456" s="38"/>
      <c r="BW1456" s="38">
        <v>21</v>
      </c>
    </row>
    <row r="1457" spans="1:75" ht="27" customHeight="1">
      <c r="A1457" s="78" t="s">
        <v>2885</v>
      </c>
      <c r="B1457" s="79" t="s">
        <v>93</v>
      </c>
      <c r="C1457" s="79" t="s">
        <v>2886</v>
      </c>
      <c r="D1457" s="198" t="s">
        <v>2887</v>
      </c>
      <c r="E1457" s="199"/>
      <c r="F1457" s="79" t="s">
        <v>2567</v>
      </c>
      <c r="G1457" s="80">
        <v>1</v>
      </c>
      <c r="H1457" s="81">
        <v>0</v>
      </c>
      <c r="I1457" s="80">
        <f t="shared" si="306"/>
        <v>0</v>
      </c>
      <c r="J1457" s="80">
        <v>0</v>
      </c>
      <c r="K1457" s="80">
        <f t="shared" si="307"/>
        <v>0</v>
      </c>
      <c r="L1457" s="82" t="s">
        <v>207</v>
      </c>
      <c r="Z1457" s="38">
        <f t="shared" si="308"/>
        <v>0</v>
      </c>
      <c r="AB1457" s="38">
        <f t="shared" si="309"/>
        <v>0</v>
      </c>
      <c r="AC1457" s="38">
        <f t="shared" si="310"/>
        <v>0</v>
      </c>
      <c r="AD1457" s="38">
        <f t="shared" si="311"/>
        <v>0</v>
      </c>
      <c r="AE1457" s="38">
        <f t="shared" si="312"/>
        <v>0</v>
      </c>
      <c r="AF1457" s="38">
        <f t="shared" si="313"/>
        <v>0</v>
      </c>
      <c r="AG1457" s="38">
        <f t="shared" si="314"/>
        <v>0</v>
      </c>
      <c r="AH1457" s="38">
        <f t="shared" si="315"/>
        <v>0</v>
      </c>
      <c r="AI1457" s="50" t="s">
        <v>93</v>
      </c>
      <c r="AJ1457" s="80">
        <f t="shared" si="316"/>
        <v>0</v>
      </c>
      <c r="AK1457" s="80">
        <f t="shared" si="317"/>
        <v>0</v>
      </c>
      <c r="AL1457" s="80">
        <f t="shared" si="318"/>
        <v>0</v>
      </c>
      <c r="AN1457" s="38">
        <v>21</v>
      </c>
      <c r="AO1457" s="38">
        <f t="shared" si="319"/>
        <v>0</v>
      </c>
      <c r="AP1457" s="38">
        <f t="shared" si="320"/>
        <v>0</v>
      </c>
      <c r="AQ1457" s="83" t="s">
        <v>169</v>
      </c>
      <c r="AV1457" s="38">
        <f t="shared" si="321"/>
        <v>0</v>
      </c>
      <c r="AW1457" s="38">
        <f t="shared" si="322"/>
        <v>0</v>
      </c>
      <c r="AX1457" s="38">
        <f t="shared" si="323"/>
        <v>0</v>
      </c>
      <c r="AY1457" s="72" t="s">
        <v>2827</v>
      </c>
      <c r="AZ1457" s="72" t="s">
        <v>2828</v>
      </c>
      <c r="BA1457" s="50" t="s">
        <v>2563</v>
      </c>
      <c r="BC1457" s="38">
        <f t="shared" si="324"/>
        <v>0</v>
      </c>
      <c r="BD1457" s="38">
        <f t="shared" si="325"/>
        <v>0</v>
      </c>
      <c r="BE1457" s="38">
        <v>0</v>
      </c>
      <c r="BF1457" s="38">
        <f t="shared" si="326"/>
        <v>0</v>
      </c>
      <c r="BH1457" s="80">
        <f t="shared" si="327"/>
        <v>0</v>
      </c>
      <c r="BI1457" s="80">
        <f t="shared" si="328"/>
        <v>0</v>
      </c>
      <c r="BJ1457" s="80">
        <f t="shared" si="329"/>
        <v>0</v>
      </c>
      <c r="BK1457" s="80"/>
      <c r="BL1457" s="38"/>
      <c r="BW1457" s="38">
        <v>21</v>
      </c>
    </row>
    <row r="1458" spans="1:75" ht="27" customHeight="1">
      <c r="A1458" s="78" t="s">
        <v>2888</v>
      </c>
      <c r="B1458" s="79" t="s">
        <v>93</v>
      </c>
      <c r="C1458" s="79" t="s">
        <v>2889</v>
      </c>
      <c r="D1458" s="198" t="s">
        <v>2890</v>
      </c>
      <c r="E1458" s="199"/>
      <c r="F1458" s="79" t="s">
        <v>2567</v>
      </c>
      <c r="G1458" s="80">
        <v>8</v>
      </c>
      <c r="H1458" s="81">
        <v>0</v>
      </c>
      <c r="I1458" s="80">
        <f t="shared" si="306"/>
        <v>0</v>
      </c>
      <c r="J1458" s="80">
        <v>0</v>
      </c>
      <c r="K1458" s="80">
        <f t="shared" si="307"/>
        <v>0</v>
      </c>
      <c r="L1458" s="82" t="s">
        <v>207</v>
      </c>
      <c r="Z1458" s="38">
        <f t="shared" si="308"/>
        <v>0</v>
      </c>
      <c r="AB1458" s="38">
        <f t="shared" si="309"/>
        <v>0</v>
      </c>
      <c r="AC1458" s="38">
        <f t="shared" si="310"/>
        <v>0</v>
      </c>
      <c r="AD1458" s="38">
        <f t="shared" si="311"/>
        <v>0</v>
      </c>
      <c r="AE1458" s="38">
        <f t="shared" si="312"/>
        <v>0</v>
      </c>
      <c r="AF1458" s="38">
        <f t="shared" si="313"/>
        <v>0</v>
      </c>
      <c r="AG1458" s="38">
        <f t="shared" si="314"/>
        <v>0</v>
      </c>
      <c r="AH1458" s="38">
        <f t="shared" si="315"/>
        <v>0</v>
      </c>
      <c r="AI1458" s="50" t="s">
        <v>93</v>
      </c>
      <c r="AJ1458" s="80">
        <f t="shared" si="316"/>
        <v>0</v>
      </c>
      <c r="AK1458" s="80">
        <f t="shared" si="317"/>
        <v>0</v>
      </c>
      <c r="AL1458" s="80">
        <f t="shared" si="318"/>
        <v>0</v>
      </c>
      <c r="AN1458" s="38">
        <v>21</v>
      </c>
      <c r="AO1458" s="38">
        <f t="shared" si="319"/>
        <v>0</v>
      </c>
      <c r="AP1458" s="38">
        <f t="shared" si="320"/>
        <v>0</v>
      </c>
      <c r="AQ1458" s="83" t="s">
        <v>169</v>
      </c>
      <c r="AV1458" s="38">
        <f t="shared" si="321"/>
        <v>0</v>
      </c>
      <c r="AW1458" s="38">
        <f t="shared" si="322"/>
        <v>0</v>
      </c>
      <c r="AX1458" s="38">
        <f t="shared" si="323"/>
        <v>0</v>
      </c>
      <c r="AY1458" s="72" t="s">
        <v>2827</v>
      </c>
      <c r="AZ1458" s="72" t="s">
        <v>2828</v>
      </c>
      <c r="BA1458" s="50" t="s">
        <v>2563</v>
      </c>
      <c r="BC1458" s="38">
        <f t="shared" si="324"/>
        <v>0</v>
      </c>
      <c r="BD1458" s="38">
        <f t="shared" si="325"/>
        <v>0</v>
      </c>
      <c r="BE1458" s="38">
        <v>0</v>
      </c>
      <c r="BF1458" s="38">
        <f t="shared" si="326"/>
        <v>0</v>
      </c>
      <c r="BH1458" s="80">
        <f t="shared" si="327"/>
        <v>0</v>
      </c>
      <c r="BI1458" s="80">
        <f t="shared" si="328"/>
        <v>0</v>
      </c>
      <c r="BJ1458" s="80">
        <f t="shared" si="329"/>
        <v>0</v>
      </c>
      <c r="BK1458" s="80"/>
      <c r="BL1458" s="38"/>
      <c r="BW1458" s="38">
        <v>21</v>
      </c>
    </row>
    <row r="1459" spans="1:75" ht="27" customHeight="1">
      <c r="A1459" s="78" t="s">
        <v>2891</v>
      </c>
      <c r="B1459" s="79" t="s">
        <v>93</v>
      </c>
      <c r="C1459" s="79" t="s">
        <v>2892</v>
      </c>
      <c r="D1459" s="198" t="s">
        <v>2893</v>
      </c>
      <c r="E1459" s="199"/>
      <c r="F1459" s="79" t="s">
        <v>2567</v>
      </c>
      <c r="G1459" s="80">
        <v>9</v>
      </c>
      <c r="H1459" s="81">
        <v>0</v>
      </c>
      <c r="I1459" s="80">
        <f t="shared" si="306"/>
        <v>0</v>
      </c>
      <c r="J1459" s="80">
        <v>0</v>
      </c>
      <c r="K1459" s="80">
        <f t="shared" si="307"/>
        <v>0</v>
      </c>
      <c r="L1459" s="82" t="s">
        <v>207</v>
      </c>
      <c r="Z1459" s="38">
        <f t="shared" si="308"/>
        <v>0</v>
      </c>
      <c r="AB1459" s="38">
        <f t="shared" si="309"/>
        <v>0</v>
      </c>
      <c r="AC1459" s="38">
        <f t="shared" si="310"/>
        <v>0</v>
      </c>
      <c r="AD1459" s="38">
        <f t="shared" si="311"/>
        <v>0</v>
      </c>
      <c r="AE1459" s="38">
        <f t="shared" si="312"/>
        <v>0</v>
      </c>
      <c r="AF1459" s="38">
        <f t="shared" si="313"/>
        <v>0</v>
      </c>
      <c r="AG1459" s="38">
        <f t="shared" si="314"/>
        <v>0</v>
      </c>
      <c r="AH1459" s="38">
        <f t="shared" si="315"/>
        <v>0</v>
      </c>
      <c r="AI1459" s="50" t="s">
        <v>93</v>
      </c>
      <c r="AJ1459" s="80">
        <f t="shared" si="316"/>
        <v>0</v>
      </c>
      <c r="AK1459" s="80">
        <f t="shared" si="317"/>
        <v>0</v>
      </c>
      <c r="AL1459" s="80">
        <f t="shared" si="318"/>
        <v>0</v>
      </c>
      <c r="AN1459" s="38">
        <v>21</v>
      </c>
      <c r="AO1459" s="38">
        <f t="shared" si="319"/>
        <v>0</v>
      </c>
      <c r="AP1459" s="38">
        <f t="shared" si="320"/>
        <v>0</v>
      </c>
      <c r="AQ1459" s="83" t="s">
        <v>169</v>
      </c>
      <c r="AV1459" s="38">
        <f t="shared" si="321"/>
        <v>0</v>
      </c>
      <c r="AW1459" s="38">
        <f t="shared" si="322"/>
        <v>0</v>
      </c>
      <c r="AX1459" s="38">
        <f t="shared" si="323"/>
        <v>0</v>
      </c>
      <c r="AY1459" s="72" t="s">
        <v>2827</v>
      </c>
      <c r="AZ1459" s="72" t="s">
        <v>2828</v>
      </c>
      <c r="BA1459" s="50" t="s">
        <v>2563</v>
      </c>
      <c r="BC1459" s="38">
        <f t="shared" si="324"/>
        <v>0</v>
      </c>
      <c r="BD1459" s="38">
        <f t="shared" si="325"/>
        <v>0</v>
      </c>
      <c r="BE1459" s="38">
        <v>0</v>
      </c>
      <c r="BF1459" s="38">
        <f t="shared" si="326"/>
        <v>0</v>
      </c>
      <c r="BH1459" s="80">
        <f t="shared" si="327"/>
        <v>0</v>
      </c>
      <c r="BI1459" s="80">
        <f t="shared" si="328"/>
        <v>0</v>
      </c>
      <c r="BJ1459" s="80">
        <f t="shared" si="329"/>
        <v>0</v>
      </c>
      <c r="BK1459" s="80"/>
      <c r="BL1459" s="38"/>
      <c r="BW1459" s="38">
        <v>21</v>
      </c>
    </row>
    <row r="1460" spans="1:75" ht="13.5" customHeight="1">
      <c r="A1460" s="78" t="s">
        <v>2894</v>
      </c>
      <c r="B1460" s="79" t="s">
        <v>93</v>
      </c>
      <c r="C1460" s="79" t="s">
        <v>2895</v>
      </c>
      <c r="D1460" s="198" t="s">
        <v>2896</v>
      </c>
      <c r="E1460" s="199"/>
      <c r="F1460" s="79" t="s">
        <v>2567</v>
      </c>
      <c r="G1460" s="80">
        <v>1</v>
      </c>
      <c r="H1460" s="81">
        <v>0</v>
      </c>
      <c r="I1460" s="80">
        <f t="shared" si="306"/>
        <v>0</v>
      </c>
      <c r="J1460" s="80">
        <v>0</v>
      </c>
      <c r="K1460" s="80">
        <f t="shared" si="307"/>
        <v>0</v>
      </c>
      <c r="L1460" s="82" t="s">
        <v>207</v>
      </c>
      <c r="Z1460" s="38">
        <f t="shared" si="308"/>
        <v>0</v>
      </c>
      <c r="AB1460" s="38">
        <f t="shared" si="309"/>
        <v>0</v>
      </c>
      <c r="AC1460" s="38">
        <f t="shared" si="310"/>
        <v>0</v>
      </c>
      <c r="AD1460" s="38">
        <f t="shared" si="311"/>
        <v>0</v>
      </c>
      <c r="AE1460" s="38">
        <f t="shared" si="312"/>
        <v>0</v>
      </c>
      <c r="AF1460" s="38">
        <f t="shared" si="313"/>
        <v>0</v>
      </c>
      <c r="AG1460" s="38">
        <f t="shared" si="314"/>
        <v>0</v>
      </c>
      <c r="AH1460" s="38">
        <f t="shared" si="315"/>
        <v>0</v>
      </c>
      <c r="AI1460" s="50" t="s">
        <v>93</v>
      </c>
      <c r="AJ1460" s="80">
        <f t="shared" si="316"/>
        <v>0</v>
      </c>
      <c r="AK1460" s="80">
        <f t="shared" si="317"/>
        <v>0</v>
      </c>
      <c r="AL1460" s="80">
        <f t="shared" si="318"/>
        <v>0</v>
      </c>
      <c r="AN1460" s="38">
        <v>21</v>
      </c>
      <c r="AO1460" s="38">
        <f t="shared" si="319"/>
        <v>0</v>
      </c>
      <c r="AP1460" s="38">
        <f t="shared" si="320"/>
        <v>0</v>
      </c>
      <c r="AQ1460" s="83" t="s">
        <v>169</v>
      </c>
      <c r="AV1460" s="38">
        <f t="shared" si="321"/>
        <v>0</v>
      </c>
      <c r="AW1460" s="38">
        <f t="shared" si="322"/>
        <v>0</v>
      </c>
      <c r="AX1460" s="38">
        <f t="shared" si="323"/>
        <v>0</v>
      </c>
      <c r="AY1460" s="72" t="s">
        <v>2827</v>
      </c>
      <c r="AZ1460" s="72" t="s">
        <v>2828</v>
      </c>
      <c r="BA1460" s="50" t="s">
        <v>2563</v>
      </c>
      <c r="BC1460" s="38">
        <f t="shared" si="324"/>
        <v>0</v>
      </c>
      <c r="BD1460" s="38">
        <f t="shared" si="325"/>
        <v>0</v>
      </c>
      <c r="BE1460" s="38">
        <v>0</v>
      </c>
      <c r="BF1460" s="38">
        <f t="shared" si="326"/>
        <v>0</v>
      </c>
      <c r="BH1460" s="80">
        <f t="shared" si="327"/>
        <v>0</v>
      </c>
      <c r="BI1460" s="80">
        <f t="shared" si="328"/>
        <v>0</v>
      </c>
      <c r="BJ1460" s="80">
        <f t="shared" si="329"/>
        <v>0</v>
      </c>
      <c r="BK1460" s="80"/>
      <c r="BL1460" s="38"/>
      <c r="BW1460" s="38">
        <v>21</v>
      </c>
    </row>
    <row r="1461" spans="1:75" ht="27" customHeight="1">
      <c r="A1461" s="78" t="s">
        <v>2897</v>
      </c>
      <c r="B1461" s="79" t="s">
        <v>93</v>
      </c>
      <c r="C1461" s="79" t="s">
        <v>2898</v>
      </c>
      <c r="D1461" s="198" t="s">
        <v>2899</v>
      </c>
      <c r="E1461" s="199"/>
      <c r="F1461" s="79" t="s">
        <v>2567</v>
      </c>
      <c r="G1461" s="80">
        <v>1</v>
      </c>
      <c r="H1461" s="81">
        <v>0</v>
      </c>
      <c r="I1461" s="80">
        <f t="shared" si="306"/>
        <v>0</v>
      </c>
      <c r="J1461" s="80">
        <v>0</v>
      </c>
      <c r="K1461" s="80">
        <f t="shared" si="307"/>
        <v>0</v>
      </c>
      <c r="L1461" s="82" t="s">
        <v>207</v>
      </c>
      <c r="Z1461" s="38">
        <f t="shared" si="308"/>
        <v>0</v>
      </c>
      <c r="AB1461" s="38">
        <f t="shared" si="309"/>
        <v>0</v>
      </c>
      <c r="AC1461" s="38">
        <f t="shared" si="310"/>
        <v>0</v>
      </c>
      <c r="AD1461" s="38">
        <f t="shared" si="311"/>
        <v>0</v>
      </c>
      <c r="AE1461" s="38">
        <f t="shared" si="312"/>
        <v>0</v>
      </c>
      <c r="AF1461" s="38">
        <f t="shared" si="313"/>
        <v>0</v>
      </c>
      <c r="AG1461" s="38">
        <f t="shared" si="314"/>
        <v>0</v>
      </c>
      <c r="AH1461" s="38">
        <f t="shared" si="315"/>
        <v>0</v>
      </c>
      <c r="AI1461" s="50" t="s">
        <v>93</v>
      </c>
      <c r="AJ1461" s="80">
        <f t="shared" si="316"/>
        <v>0</v>
      </c>
      <c r="AK1461" s="80">
        <f t="shared" si="317"/>
        <v>0</v>
      </c>
      <c r="AL1461" s="80">
        <f t="shared" si="318"/>
        <v>0</v>
      </c>
      <c r="AN1461" s="38">
        <v>21</v>
      </c>
      <c r="AO1461" s="38">
        <f t="shared" si="319"/>
        <v>0</v>
      </c>
      <c r="AP1461" s="38">
        <f t="shared" si="320"/>
        <v>0</v>
      </c>
      <c r="AQ1461" s="83" t="s">
        <v>169</v>
      </c>
      <c r="AV1461" s="38">
        <f t="shared" si="321"/>
        <v>0</v>
      </c>
      <c r="AW1461" s="38">
        <f t="shared" si="322"/>
        <v>0</v>
      </c>
      <c r="AX1461" s="38">
        <f t="shared" si="323"/>
        <v>0</v>
      </c>
      <c r="AY1461" s="72" t="s">
        <v>2827</v>
      </c>
      <c r="AZ1461" s="72" t="s">
        <v>2828</v>
      </c>
      <c r="BA1461" s="50" t="s">
        <v>2563</v>
      </c>
      <c r="BC1461" s="38">
        <f t="shared" si="324"/>
        <v>0</v>
      </c>
      <c r="BD1461" s="38">
        <f t="shared" si="325"/>
        <v>0</v>
      </c>
      <c r="BE1461" s="38">
        <v>0</v>
      </c>
      <c r="BF1461" s="38">
        <f t="shared" si="326"/>
        <v>0</v>
      </c>
      <c r="BH1461" s="80">
        <f t="shared" si="327"/>
        <v>0</v>
      </c>
      <c r="BI1461" s="80">
        <f t="shared" si="328"/>
        <v>0</v>
      </c>
      <c r="BJ1461" s="80">
        <f t="shared" si="329"/>
        <v>0</v>
      </c>
      <c r="BK1461" s="80"/>
      <c r="BL1461" s="38"/>
      <c r="BW1461" s="38">
        <v>21</v>
      </c>
    </row>
    <row r="1462" spans="1:75" ht="27" customHeight="1">
      <c r="A1462" s="78" t="s">
        <v>2900</v>
      </c>
      <c r="B1462" s="79" t="s">
        <v>93</v>
      </c>
      <c r="C1462" s="79" t="s">
        <v>2901</v>
      </c>
      <c r="D1462" s="198" t="s">
        <v>2902</v>
      </c>
      <c r="E1462" s="199"/>
      <c r="F1462" s="79" t="s">
        <v>2567</v>
      </c>
      <c r="G1462" s="80">
        <v>1</v>
      </c>
      <c r="H1462" s="81">
        <v>0</v>
      </c>
      <c r="I1462" s="80">
        <f t="shared" si="306"/>
        <v>0</v>
      </c>
      <c r="J1462" s="80">
        <v>0</v>
      </c>
      <c r="K1462" s="80">
        <f t="shared" si="307"/>
        <v>0</v>
      </c>
      <c r="L1462" s="82" t="s">
        <v>207</v>
      </c>
      <c r="Z1462" s="38">
        <f t="shared" si="308"/>
        <v>0</v>
      </c>
      <c r="AB1462" s="38">
        <f t="shared" si="309"/>
        <v>0</v>
      </c>
      <c r="AC1462" s="38">
        <f t="shared" si="310"/>
        <v>0</v>
      </c>
      <c r="AD1462" s="38">
        <f t="shared" si="311"/>
        <v>0</v>
      </c>
      <c r="AE1462" s="38">
        <f t="shared" si="312"/>
        <v>0</v>
      </c>
      <c r="AF1462" s="38">
        <f t="shared" si="313"/>
        <v>0</v>
      </c>
      <c r="AG1462" s="38">
        <f t="shared" si="314"/>
        <v>0</v>
      </c>
      <c r="AH1462" s="38">
        <f t="shared" si="315"/>
        <v>0</v>
      </c>
      <c r="AI1462" s="50" t="s">
        <v>93</v>
      </c>
      <c r="AJ1462" s="80">
        <f t="shared" si="316"/>
        <v>0</v>
      </c>
      <c r="AK1462" s="80">
        <f t="shared" si="317"/>
        <v>0</v>
      </c>
      <c r="AL1462" s="80">
        <f t="shared" si="318"/>
        <v>0</v>
      </c>
      <c r="AN1462" s="38">
        <v>21</v>
      </c>
      <c r="AO1462" s="38">
        <f t="shared" si="319"/>
        <v>0</v>
      </c>
      <c r="AP1462" s="38">
        <f t="shared" si="320"/>
        <v>0</v>
      </c>
      <c r="AQ1462" s="83" t="s">
        <v>169</v>
      </c>
      <c r="AV1462" s="38">
        <f t="shared" si="321"/>
        <v>0</v>
      </c>
      <c r="AW1462" s="38">
        <f t="shared" si="322"/>
        <v>0</v>
      </c>
      <c r="AX1462" s="38">
        <f t="shared" si="323"/>
        <v>0</v>
      </c>
      <c r="AY1462" s="72" t="s">
        <v>2827</v>
      </c>
      <c r="AZ1462" s="72" t="s">
        <v>2828</v>
      </c>
      <c r="BA1462" s="50" t="s">
        <v>2563</v>
      </c>
      <c r="BC1462" s="38">
        <f t="shared" si="324"/>
        <v>0</v>
      </c>
      <c r="BD1462" s="38">
        <f t="shared" si="325"/>
        <v>0</v>
      </c>
      <c r="BE1462" s="38">
        <v>0</v>
      </c>
      <c r="BF1462" s="38">
        <f t="shared" si="326"/>
        <v>0</v>
      </c>
      <c r="BH1462" s="80">
        <f t="shared" si="327"/>
        <v>0</v>
      </c>
      <c r="BI1462" s="80">
        <f t="shared" si="328"/>
        <v>0</v>
      </c>
      <c r="BJ1462" s="80">
        <f t="shared" si="329"/>
        <v>0</v>
      </c>
      <c r="BK1462" s="80"/>
      <c r="BL1462" s="38"/>
      <c r="BW1462" s="38">
        <v>21</v>
      </c>
    </row>
    <row r="1463" spans="1:75" ht="13.5" customHeight="1">
      <c r="A1463" s="78" t="s">
        <v>2903</v>
      </c>
      <c r="B1463" s="79" t="s">
        <v>93</v>
      </c>
      <c r="C1463" s="79" t="s">
        <v>2843</v>
      </c>
      <c r="D1463" s="198" t="s">
        <v>2844</v>
      </c>
      <c r="E1463" s="199"/>
      <c r="F1463" s="79" t="s">
        <v>2567</v>
      </c>
      <c r="G1463" s="80">
        <v>22</v>
      </c>
      <c r="H1463" s="81">
        <v>0</v>
      </c>
      <c r="I1463" s="80">
        <f t="shared" si="306"/>
        <v>0</v>
      </c>
      <c r="J1463" s="80">
        <v>0</v>
      </c>
      <c r="K1463" s="80">
        <f t="shared" si="307"/>
        <v>0</v>
      </c>
      <c r="L1463" s="82" t="s">
        <v>207</v>
      </c>
      <c r="Z1463" s="38">
        <f t="shared" si="308"/>
        <v>0</v>
      </c>
      <c r="AB1463" s="38">
        <f t="shared" si="309"/>
        <v>0</v>
      </c>
      <c r="AC1463" s="38">
        <f t="shared" si="310"/>
        <v>0</v>
      </c>
      <c r="AD1463" s="38">
        <f t="shared" si="311"/>
        <v>0</v>
      </c>
      <c r="AE1463" s="38">
        <f t="shared" si="312"/>
        <v>0</v>
      </c>
      <c r="AF1463" s="38">
        <f t="shared" si="313"/>
        <v>0</v>
      </c>
      <c r="AG1463" s="38">
        <f t="shared" si="314"/>
        <v>0</v>
      </c>
      <c r="AH1463" s="38">
        <f t="shared" si="315"/>
        <v>0</v>
      </c>
      <c r="AI1463" s="50" t="s">
        <v>93</v>
      </c>
      <c r="AJ1463" s="80">
        <f t="shared" si="316"/>
        <v>0</v>
      </c>
      <c r="AK1463" s="80">
        <f t="shared" si="317"/>
        <v>0</v>
      </c>
      <c r="AL1463" s="80">
        <f t="shared" si="318"/>
        <v>0</v>
      </c>
      <c r="AN1463" s="38">
        <v>21</v>
      </c>
      <c r="AO1463" s="38">
        <f t="shared" si="319"/>
        <v>0</v>
      </c>
      <c r="AP1463" s="38">
        <f t="shared" si="320"/>
        <v>0</v>
      </c>
      <c r="AQ1463" s="83" t="s">
        <v>169</v>
      </c>
      <c r="AV1463" s="38">
        <f t="shared" si="321"/>
        <v>0</v>
      </c>
      <c r="AW1463" s="38">
        <f t="shared" si="322"/>
        <v>0</v>
      </c>
      <c r="AX1463" s="38">
        <f t="shared" si="323"/>
        <v>0</v>
      </c>
      <c r="AY1463" s="72" t="s">
        <v>2827</v>
      </c>
      <c r="AZ1463" s="72" t="s">
        <v>2828</v>
      </c>
      <c r="BA1463" s="50" t="s">
        <v>2563</v>
      </c>
      <c r="BC1463" s="38">
        <f t="shared" si="324"/>
        <v>0</v>
      </c>
      <c r="BD1463" s="38">
        <f t="shared" si="325"/>
        <v>0</v>
      </c>
      <c r="BE1463" s="38">
        <v>0</v>
      </c>
      <c r="BF1463" s="38">
        <f t="shared" si="326"/>
        <v>0</v>
      </c>
      <c r="BH1463" s="80">
        <f t="shared" si="327"/>
        <v>0</v>
      </c>
      <c r="BI1463" s="80">
        <f t="shared" si="328"/>
        <v>0</v>
      </c>
      <c r="BJ1463" s="80">
        <f t="shared" si="329"/>
        <v>0</v>
      </c>
      <c r="BK1463" s="80"/>
      <c r="BL1463" s="38"/>
      <c r="BW1463" s="38">
        <v>21</v>
      </c>
    </row>
    <row r="1464" spans="1:75" ht="13.5" customHeight="1">
      <c r="A1464" s="78" t="s">
        <v>2904</v>
      </c>
      <c r="B1464" s="79" t="s">
        <v>93</v>
      </c>
      <c r="C1464" s="79" t="s">
        <v>2846</v>
      </c>
      <c r="D1464" s="198" t="s">
        <v>2847</v>
      </c>
      <c r="E1464" s="199"/>
      <c r="F1464" s="79" t="s">
        <v>2567</v>
      </c>
      <c r="G1464" s="80">
        <v>19</v>
      </c>
      <c r="H1464" s="81">
        <v>0</v>
      </c>
      <c r="I1464" s="80">
        <f t="shared" si="306"/>
        <v>0</v>
      </c>
      <c r="J1464" s="80">
        <v>0</v>
      </c>
      <c r="K1464" s="80">
        <f t="shared" si="307"/>
        <v>0</v>
      </c>
      <c r="L1464" s="82" t="s">
        <v>207</v>
      </c>
      <c r="Z1464" s="38">
        <f t="shared" si="308"/>
        <v>0</v>
      </c>
      <c r="AB1464" s="38">
        <f t="shared" si="309"/>
        <v>0</v>
      </c>
      <c r="AC1464" s="38">
        <f t="shared" si="310"/>
        <v>0</v>
      </c>
      <c r="AD1464" s="38">
        <f t="shared" si="311"/>
        <v>0</v>
      </c>
      <c r="AE1464" s="38">
        <f t="shared" si="312"/>
        <v>0</v>
      </c>
      <c r="AF1464" s="38">
        <f t="shared" si="313"/>
        <v>0</v>
      </c>
      <c r="AG1464" s="38">
        <f t="shared" si="314"/>
        <v>0</v>
      </c>
      <c r="AH1464" s="38">
        <f t="shared" si="315"/>
        <v>0</v>
      </c>
      <c r="AI1464" s="50" t="s">
        <v>93</v>
      </c>
      <c r="AJ1464" s="80">
        <f t="shared" si="316"/>
        <v>0</v>
      </c>
      <c r="AK1464" s="80">
        <f t="shared" si="317"/>
        <v>0</v>
      </c>
      <c r="AL1464" s="80">
        <f t="shared" si="318"/>
        <v>0</v>
      </c>
      <c r="AN1464" s="38">
        <v>21</v>
      </c>
      <c r="AO1464" s="38">
        <f t="shared" si="319"/>
        <v>0</v>
      </c>
      <c r="AP1464" s="38">
        <f t="shared" si="320"/>
        <v>0</v>
      </c>
      <c r="AQ1464" s="83" t="s">
        <v>169</v>
      </c>
      <c r="AV1464" s="38">
        <f t="shared" si="321"/>
        <v>0</v>
      </c>
      <c r="AW1464" s="38">
        <f t="shared" si="322"/>
        <v>0</v>
      </c>
      <c r="AX1464" s="38">
        <f t="shared" si="323"/>
        <v>0</v>
      </c>
      <c r="AY1464" s="72" t="s">
        <v>2827</v>
      </c>
      <c r="AZ1464" s="72" t="s">
        <v>2828</v>
      </c>
      <c r="BA1464" s="50" t="s">
        <v>2563</v>
      </c>
      <c r="BC1464" s="38">
        <f t="shared" si="324"/>
        <v>0</v>
      </c>
      <c r="BD1464" s="38">
        <f t="shared" si="325"/>
        <v>0</v>
      </c>
      <c r="BE1464" s="38">
        <v>0</v>
      </c>
      <c r="BF1464" s="38">
        <f t="shared" si="326"/>
        <v>0</v>
      </c>
      <c r="BH1464" s="80">
        <f t="shared" si="327"/>
        <v>0</v>
      </c>
      <c r="BI1464" s="80">
        <f t="shared" si="328"/>
        <v>0</v>
      </c>
      <c r="BJ1464" s="80">
        <f t="shared" si="329"/>
        <v>0</v>
      </c>
      <c r="BK1464" s="80"/>
      <c r="BL1464" s="38"/>
      <c r="BW1464" s="38">
        <v>21</v>
      </c>
    </row>
    <row r="1465" spans="1:75" ht="13.5" customHeight="1">
      <c r="A1465" s="78" t="s">
        <v>2905</v>
      </c>
      <c r="B1465" s="79" t="s">
        <v>93</v>
      </c>
      <c r="C1465" s="79" t="s">
        <v>2849</v>
      </c>
      <c r="D1465" s="198" t="s">
        <v>2850</v>
      </c>
      <c r="E1465" s="199"/>
      <c r="F1465" s="79" t="s">
        <v>2567</v>
      </c>
      <c r="G1465" s="80">
        <v>16</v>
      </c>
      <c r="H1465" s="81">
        <v>0</v>
      </c>
      <c r="I1465" s="80">
        <f t="shared" si="306"/>
        <v>0</v>
      </c>
      <c r="J1465" s="80">
        <v>0</v>
      </c>
      <c r="K1465" s="80">
        <f t="shared" si="307"/>
        <v>0</v>
      </c>
      <c r="L1465" s="82" t="s">
        <v>207</v>
      </c>
      <c r="Z1465" s="38">
        <f t="shared" si="308"/>
        <v>0</v>
      </c>
      <c r="AB1465" s="38">
        <f t="shared" si="309"/>
        <v>0</v>
      </c>
      <c r="AC1465" s="38">
        <f t="shared" si="310"/>
        <v>0</v>
      </c>
      <c r="AD1465" s="38">
        <f t="shared" si="311"/>
        <v>0</v>
      </c>
      <c r="AE1465" s="38">
        <f t="shared" si="312"/>
        <v>0</v>
      </c>
      <c r="AF1465" s="38">
        <f t="shared" si="313"/>
        <v>0</v>
      </c>
      <c r="AG1465" s="38">
        <f t="shared" si="314"/>
        <v>0</v>
      </c>
      <c r="AH1465" s="38">
        <f t="shared" si="315"/>
        <v>0</v>
      </c>
      <c r="AI1465" s="50" t="s">
        <v>93</v>
      </c>
      <c r="AJ1465" s="80">
        <f t="shared" si="316"/>
        <v>0</v>
      </c>
      <c r="AK1465" s="80">
        <f t="shared" si="317"/>
        <v>0</v>
      </c>
      <c r="AL1465" s="80">
        <f t="shared" si="318"/>
        <v>0</v>
      </c>
      <c r="AN1465" s="38">
        <v>21</v>
      </c>
      <c r="AO1465" s="38">
        <f t="shared" si="319"/>
        <v>0</v>
      </c>
      <c r="AP1465" s="38">
        <f t="shared" si="320"/>
        <v>0</v>
      </c>
      <c r="AQ1465" s="83" t="s">
        <v>169</v>
      </c>
      <c r="AV1465" s="38">
        <f t="shared" si="321"/>
        <v>0</v>
      </c>
      <c r="AW1465" s="38">
        <f t="shared" si="322"/>
        <v>0</v>
      </c>
      <c r="AX1465" s="38">
        <f t="shared" si="323"/>
        <v>0</v>
      </c>
      <c r="AY1465" s="72" t="s">
        <v>2827</v>
      </c>
      <c r="AZ1465" s="72" t="s">
        <v>2828</v>
      </c>
      <c r="BA1465" s="50" t="s">
        <v>2563</v>
      </c>
      <c r="BC1465" s="38">
        <f t="shared" si="324"/>
        <v>0</v>
      </c>
      <c r="BD1465" s="38">
        <f t="shared" si="325"/>
        <v>0</v>
      </c>
      <c r="BE1465" s="38">
        <v>0</v>
      </c>
      <c r="BF1465" s="38">
        <f t="shared" si="326"/>
        <v>0</v>
      </c>
      <c r="BH1465" s="80">
        <f t="shared" si="327"/>
        <v>0</v>
      </c>
      <c r="BI1465" s="80">
        <f t="shared" si="328"/>
        <v>0</v>
      </c>
      <c r="BJ1465" s="80">
        <f t="shared" si="329"/>
        <v>0</v>
      </c>
      <c r="BK1465" s="80"/>
      <c r="BL1465" s="38"/>
      <c r="BW1465" s="38">
        <v>21</v>
      </c>
    </row>
    <row r="1466" spans="1:75" ht="13.5" customHeight="1">
      <c r="A1466" s="78" t="s">
        <v>2906</v>
      </c>
      <c r="B1466" s="79" t="s">
        <v>93</v>
      </c>
      <c r="C1466" s="79" t="s">
        <v>2861</v>
      </c>
      <c r="D1466" s="198" t="s">
        <v>2862</v>
      </c>
      <c r="E1466" s="199"/>
      <c r="F1466" s="79" t="s">
        <v>2567</v>
      </c>
      <c r="G1466" s="80">
        <v>3</v>
      </c>
      <c r="H1466" s="81">
        <v>0</v>
      </c>
      <c r="I1466" s="80">
        <f t="shared" si="306"/>
        <v>0</v>
      </c>
      <c r="J1466" s="80">
        <v>0</v>
      </c>
      <c r="K1466" s="80">
        <f t="shared" si="307"/>
        <v>0</v>
      </c>
      <c r="L1466" s="82" t="s">
        <v>207</v>
      </c>
      <c r="Z1466" s="38">
        <f t="shared" si="308"/>
        <v>0</v>
      </c>
      <c r="AB1466" s="38">
        <f t="shared" si="309"/>
        <v>0</v>
      </c>
      <c r="AC1466" s="38">
        <f t="shared" si="310"/>
        <v>0</v>
      </c>
      <c r="AD1466" s="38">
        <f t="shared" si="311"/>
        <v>0</v>
      </c>
      <c r="AE1466" s="38">
        <f t="shared" si="312"/>
        <v>0</v>
      </c>
      <c r="AF1466" s="38">
        <f t="shared" si="313"/>
        <v>0</v>
      </c>
      <c r="AG1466" s="38">
        <f t="shared" si="314"/>
        <v>0</v>
      </c>
      <c r="AH1466" s="38">
        <f t="shared" si="315"/>
        <v>0</v>
      </c>
      <c r="AI1466" s="50" t="s">
        <v>93</v>
      </c>
      <c r="AJ1466" s="80">
        <f t="shared" si="316"/>
        <v>0</v>
      </c>
      <c r="AK1466" s="80">
        <f t="shared" si="317"/>
        <v>0</v>
      </c>
      <c r="AL1466" s="80">
        <f t="shared" si="318"/>
        <v>0</v>
      </c>
      <c r="AN1466" s="38">
        <v>21</v>
      </c>
      <c r="AO1466" s="38">
        <f t="shared" si="319"/>
        <v>0</v>
      </c>
      <c r="AP1466" s="38">
        <f t="shared" si="320"/>
        <v>0</v>
      </c>
      <c r="AQ1466" s="83" t="s">
        <v>169</v>
      </c>
      <c r="AV1466" s="38">
        <f t="shared" si="321"/>
        <v>0</v>
      </c>
      <c r="AW1466" s="38">
        <f t="shared" si="322"/>
        <v>0</v>
      </c>
      <c r="AX1466" s="38">
        <f t="shared" si="323"/>
        <v>0</v>
      </c>
      <c r="AY1466" s="72" t="s">
        <v>2827</v>
      </c>
      <c r="AZ1466" s="72" t="s">
        <v>2828</v>
      </c>
      <c r="BA1466" s="50" t="s">
        <v>2563</v>
      </c>
      <c r="BC1466" s="38">
        <f t="shared" si="324"/>
        <v>0</v>
      </c>
      <c r="BD1466" s="38">
        <f t="shared" si="325"/>
        <v>0</v>
      </c>
      <c r="BE1466" s="38">
        <v>0</v>
      </c>
      <c r="BF1466" s="38">
        <f t="shared" si="326"/>
        <v>0</v>
      </c>
      <c r="BH1466" s="80">
        <f t="shared" si="327"/>
        <v>0</v>
      </c>
      <c r="BI1466" s="80">
        <f t="shared" si="328"/>
        <v>0</v>
      </c>
      <c r="BJ1466" s="80">
        <f t="shared" si="329"/>
        <v>0</v>
      </c>
      <c r="BK1466" s="80"/>
      <c r="BL1466" s="38"/>
      <c r="BW1466" s="38">
        <v>21</v>
      </c>
    </row>
    <row r="1467" spans="1:75" ht="13.5" customHeight="1">
      <c r="A1467" s="78" t="s">
        <v>2907</v>
      </c>
      <c r="B1467" s="79" t="s">
        <v>93</v>
      </c>
      <c r="C1467" s="79" t="s">
        <v>2864</v>
      </c>
      <c r="D1467" s="198" t="s">
        <v>2865</v>
      </c>
      <c r="E1467" s="199"/>
      <c r="F1467" s="79" t="s">
        <v>2567</v>
      </c>
      <c r="G1467" s="80">
        <v>1</v>
      </c>
      <c r="H1467" s="81">
        <v>0</v>
      </c>
      <c r="I1467" s="80">
        <f t="shared" si="306"/>
        <v>0</v>
      </c>
      <c r="J1467" s="80">
        <v>0</v>
      </c>
      <c r="K1467" s="80">
        <f t="shared" si="307"/>
        <v>0</v>
      </c>
      <c r="L1467" s="82" t="s">
        <v>207</v>
      </c>
      <c r="Z1467" s="38">
        <f t="shared" si="308"/>
        <v>0</v>
      </c>
      <c r="AB1467" s="38">
        <f t="shared" si="309"/>
        <v>0</v>
      </c>
      <c r="AC1467" s="38">
        <f t="shared" si="310"/>
        <v>0</v>
      </c>
      <c r="AD1467" s="38">
        <f t="shared" si="311"/>
        <v>0</v>
      </c>
      <c r="AE1467" s="38">
        <f t="shared" si="312"/>
        <v>0</v>
      </c>
      <c r="AF1467" s="38">
        <f t="shared" si="313"/>
        <v>0</v>
      </c>
      <c r="AG1467" s="38">
        <f t="shared" si="314"/>
        <v>0</v>
      </c>
      <c r="AH1467" s="38">
        <f t="shared" si="315"/>
        <v>0</v>
      </c>
      <c r="AI1467" s="50" t="s">
        <v>93</v>
      </c>
      <c r="AJ1467" s="80">
        <f t="shared" si="316"/>
        <v>0</v>
      </c>
      <c r="AK1467" s="80">
        <f t="shared" si="317"/>
        <v>0</v>
      </c>
      <c r="AL1467" s="80">
        <f t="shared" si="318"/>
        <v>0</v>
      </c>
      <c r="AN1467" s="38">
        <v>21</v>
      </c>
      <c r="AO1467" s="38">
        <f t="shared" si="319"/>
        <v>0</v>
      </c>
      <c r="AP1467" s="38">
        <f t="shared" si="320"/>
        <v>0</v>
      </c>
      <c r="AQ1467" s="83" t="s">
        <v>169</v>
      </c>
      <c r="AV1467" s="38">
        <f t="shared" si="321"/>
        <v>0</v>
      </c>
      <c r="AW1467" s="38">
        <f t="shared" si="322"/>
        <v>0</v>
      </c>
      <c r="AX1467" s="38">
        <f t="shared" si="323"/>
        <v>0</v>
      </c>
      <c r="AY1467" s="72" t="s">
        <v>2827</v>
      </c>
      <c r="AZ1467" s="72" t="s">
        <v>2828</v>
      </c>
      <c r="BA1467" s="50" t="s">
        <v>2563</v>
      </c>
      <c r="BC1467" s="38">
        <f t="shared" si="324"/>
        <v>0</v>
      </c>
      <c r="BD1467" s="38">
        <f t="shared" si="325"/>
        <v>0</v>
      </c>
      <c r="BE1467" s="38">
        <v>0</v>
      </c>
      <c r="BF1467" s="38">
        <f t="shared" si="326"/>
        <v>0</v>
      </c>
      <c r="BH1467" s="80">
        <f t="shared" si="327"/>
        <v>0</v>
      </c>
      <c r="BI1467" s="80">
        <f t="shared" si="328"/>
        <v>0</v>
      </c>
      <c r="BJ1467" s="80">
        <f t="shared" si="329"/>
        <v>0</v>
      </c>
      <c r="BK1467" s="80"/>
      <c r="BL1467" s="38"/>
      <c r="BW1467" s="38">
        <v>21</v>
      </c>
    </row>
    <row r="1468" spans="1:75" ht="13.5" customHeight="1">
      <c r="A1468" s="78" t="s">
        <v>2908</v>
      </c>
      <c r="B1468" s="79" t="s">
        <v>93</v>
      </c>
      <c r="C1468" s="79" t="s">
        <v>2867</v>
      </c>
      <c r="D1468" s="198" t="s">
        <v>2868</v>
      </c>
      <c r="E1468" s="199"/>
      <c r="F1468" s="79" t="s">
        <v>2567</v>
      </c>
      <c r="G1468" s="80">
        <v>1</v>
      </c>
      <c r="H1468" s="81">
        <v>0</v>
      </c>
      <c r="I1468" s="80">
        <f t="shared" si="306"/>
        <v>0</v>
      </c>
      <c r="J1468" s="80">
        <v>0</v>
      </c>
      <c r="K1468" s="80">
        <f t="shared" si="307"/>
        <v>0</v>
      </c>
      <c r="L1468" s="82" t="s">
        <v>207</v>
      </c>
      <c r="Z1468" s="38">
        <f t="shared" si="308"/>
        <v>0</v>
      </c>
      <c r="AB1468" s="38">
        <f t="shared" si="309"/>
        <v>0</v>
      </c>
      <c r="AC1468" s="38">
        <f t="shared" si="310"/>
        <v>0</v>
      </c>
      <c r="AD1468" s="38">
        <f t="shared" si="311"/>
        <v>0</v>
      </c>
      <c r="AE1468" s="38">
        <f t="shared" si="312"/>
        <v>0</v>
      </c>
      <c r="AF1468" s="38">
        <f t="shared" si="313"/>
        <v>0</v>
      </c>
      <c r="AG1468" s="38">
        <f t="shared" si="314"/>
        <v>0</v>
      </c>
      <c r="AH1468" s="38">
        <f t="shared" si="315"/>
        <v>0</v>
      </c>
      <c r="AI1468" s="50" t="s">
        <v>93</v>
      </c>
      <c r="AJ1468" s="80">
        <f t="shared" si="316"/>
        <v>0</v>
      </c>
      <c r="AK1468" s="80">
        <f t="shared" si="317"/>
        <v>0</v>
      </c>
      <c r="AL1468" s="80">
        <f t="shared" si="318"/>
        <v>0</v>
      </c>
      <c r="AN1468" s="38">
        <v>21</v>
      </c>
      <c r="AO1468" s="38">
        <f t="shared" si="319"/>
        <v>0</v>
      </c>
      <c r="AP1468" s="38">
        <f t="shared" si="320"/>
        <v>0</v>
      </c>
      <c r="AQ1468" s="83" t="s">
        <v>169</v>
      </c>
      <c r="AV1468" s="38">
        <f t="shared" si="321"/>
        <v>0</v>
      </c>
      <c r="AW1468" s="38">
        <f t="shared" si="322"/>
        <v>0</v>
      </c>
      <c r="AX1468" s="38">
        <f t="shared" si="323"/>
        <v>0</v>
      </c>
      <c r="AY1468" s="72" t="s">
        <v>2827</v>
      </c>
      <c r="AZ1468" s="72" t="s">
        <v>2828</v>
      </c>
      <c r="BA1468" s="50" t="s">
        <v>2563</v>
      </c>
      <c r="BC1468" s="38">
        <f t="shared" si="324"/>
        <v>0</v>
      </c>
      <c r="BD1468" s="38">
        <f t="shared" si="325"/>
        <v>0</v>
      </c>
      <c r="BE1468" s="38">
        <v>0</v>
      </c>
      <c r="BF1468" s="38">
        <f t="shared" si="326"/>
        <v>0</v>
      </c>
      <c r="BH1468" s="80">
        <f t="shared" si="327"/>
        <v>0</v>
      </c>
      <c r="BI1468" s="80">
        <f t="shared" si="328"/>
        <v>0</v>
      </c>
      <c r="BJ1468" s="80">
        <f t="shared" si="329"/>
        <v>0</v>
      </c>
      <c r="BK1468" s="80"/>
      <c r="BL1468" s="38"/>
      <c r="BW1468" s="38">
        <v>21</v>
      </c>
    </row>
    <row r="1469" spans="1:75" ht="13.5" customHeight="1">
      <c r="A1469" s="78" t="s">
        <v>2909</v>
      </c>
      <c r="B1469" s="79" t="s">
        <v>93</v>
      </c>
      <c r="C1469" s="79" t="s">
        <v>2840</v>
      </c>
      <c r="D1469" s="198" t="s">
        <v>2841</v>
      </c>
      <c r="E1469" s="199"/>
      <c r="F1469" s="79" t="s">
        <v>2567</v>
      </c>
      <c r="G1469" s="80">
        <v>22</v>
      </c>
      <c r="H1469" s="81">
        <v>0</v>
      </c>
      <c r="I1469" s="80">
        <f t="shared" si="306"/>
        <v>0</v>
      </c>
      <c r="J1469" s="80">
        <v>0</v>
      </c>
      <c r="K1469" s="80">
        <f t="shared" si="307"/>
        <v>0</v>
      </c>
      <c r="L1469" s="82" t="s">
        <v>207</v>
      </c>
      <c r="Z1469" s="38">
        <f t="shared" si="308"/>
        <v>0</v>
      </c>
      <c r="AB1469" s="38">
        <f t="shared" si="309"/>
        <v>0</v>
      </c>
      <c r="AC1469" s="38">
        <f t="shared" si="310"/>
        <v>0</v>
      </c>
      <c r="AD1469" s="38">
        <f t="shared" si="311"/>
        <v>0</v>
      </c>
      <c r="AE1469" s="38">
        <f t="shared" si="312"/>
        <v>0</v>
      </c>
      <c r="AF1469" s="38">
        <f t="shared" si="313"/>
        <v>0</v>
      </c>
      <c r="AG1469" s="38">
        <f t="shared" si="314"/>
        <v>0</v>
      </c>
      <c r="AH1469" s="38">
        <f t="shared" si="315"/>
        <v>0</v>
      </c>
      <c r="AI1469" s="50" t="s">
        <v>93</v>
      </c>
      <c r="AJ1469" s="80">
        <f t="shared" si="316"/>
        <v>0</v>
      </c>
      <c r="AK1469" s="80">
        <f t="shared" si="317"/>
        <v>0</v>
      </c>
      <c r="AL1469" s="80">
        <f t="shared" si="318"/>
        <v>0</v>
      </c>
      <c r="AN1469" s="38">
        <v>21</v>
      </c>
      <c r="AO1469" s="38">
        <f t="shared" si="319"/>
        <v>0</v>
      </c>
      <c r="AP1469" s="38">
        <f t="shared" si="320"/>
        <v>0</v>
      </c>
      <c r="AQ1469" s="83" t="s">
        <v>169</v>
      </c>
      <c r="AV1469" s="38">
        <f t="shared" si="321"/>
        <v>0</v>
      </c>
      <c r="AW1469" s="38">
        <f t="shared" si="322"/>
        <v>0</v>
      </c>
      <c r="AX1469" s="38">
        <f t="shared" si="323"/>
        <v>0</v>
      </c>
      <c r="AY1469" s="72" t="s">
        <v>2827</v>
      </c>
      <c r="AZ1469" s="72" t="s">
        <v>2828</v>
      </c>
      <c r="BA1469" s="50" t="s">
        <v>2563</v>
      </c>
      <c r="BC1469" s="38">
        <f t="shared" si="324"/>
        <v>0</v>
      </c>
      <c r="BD1469" s="38">
        <f t="shared" si="325"/>
        <v>0</v>
      </c>
      <c r="BE1469" s="38">
        <v>0</v>
      </c>
      <c r="BF1469" s="38">
        <f t="shared" si="326"/>
        <v>0</v>
      </c>
      <c r="BH1469" s="80">
        <f t="shared" si="327"/>
        <v>0</v>
      </c>
      <c r="BI1469" s="80">
        <f t="shared" si="328"/>
        <v>0</v>
      </c>
      <c r="BJ1469" s="80">
        <f t="shared" si="329"/>
        <v>0</v>
      </c>
      <c r="BK1469" s="80"/>
      <c r="BL1469" s="38"/>
      <c r="BW1469" s="38">
        <v>21</v>
      </c>
    </row>
    <row r="1470" spans="1:75" ht="13.5" customHeight="1">
      <c r="A1470" s="1" t="s">
        <v>2910</v>
      </c>
      <c r="B1470" s="2" t="s">
        <v>93</v>
      </c>
      <c r="C1470" s="2" t="s">
        <v>2817</v>
      </c>
      <c r="D1470" s="108" t="s">
        <v>2818</v>
      </c>
      <c r="E1470" s="103"/>
      <c r="F1470" s="2" t="s">
        <v>2286</v>
      </c>
      <c r="G1470" s="38">
        <v>6</v>
      </c>
      <c r="H1470" s="70">
        <v>0</v>
      </c>
      <c r="I1470" s="38">
        <f t="shared" si="306"/>
        <v>0</v>
      </c>
      <c r="J1470" s="38">
        <v>0</v>
      </c>
      <c r="K1470" s="38">
        <f t="shared" si="307"/>
        <v>0</v>
      </c>
      <c r="L1470" s="71" t="s">
        <v>207</v>
      </c>
      <c r="Z1470" s="38">
        <f t="shared" si="308"/>
        <v>0</v>
      </c>
      <c r="AB1470" s="38">
        <f t="shared" si="309"/>
        <v>0</v>
      </c>
      <c r="AC1470" s="38">
        <f t="shared" si="310"/>
        <v>0</v>
      </c>
      <c r="AD1470" s="38">
        <f t="shared" si="311"/>
        <v>0</v>
      </c>
      <c r="AE1470" s="38">
        <f t="shared" si="312"/>
        <v>0</v>
      </c>
      <c r="AF1470" s="38">
        <f t="shared" si="313"/>
        <v>0</v>
      </c>
      <c r="AG1470" s="38">
        <f t="shared" si="314"/>
        <v>0</v>
      </c>
      <c r="AH1470" s="38">
        <f t="shared" si="315"/>
        <v>0</v>
      </c>
      <c r="AI1470" s="50" t="s">
        <v>93</v>
      </c>
      <c r="AJ1470" s="38">
        <f t="shared" si="316"/>
        <v>0</v>
      </c>
      <c r="AK1470" s="38">
        <f t="shared" si="317"/>
        <v>0</v>
      </c>
      <c r="AL1470" s="38">
        <f t="shared" si="318"/>
        <v>0</v>
      </c>
      <c r="AN1470" s="38">
        <v>21</v>
      </c>
      <c r="AO1470" s="38">
        <f>H1470*0</f>
        <v>0</v>
      </c>
      <c r="AP1470" s="38">
        <f>H1470*(1-0)</f>
        <v>0</v>
      </c>
      <c r="AQ1470" s="72" t="s">
        <v>169</v>
      </c>
      <c r="AV1470" s="38">
        <f t="shared" si="321"/>
        <v>0</v>
      </c>
      <c r="AW1470" s="38">
        <f t="shared" si="322"/>
        <v>0</v>
      </c>
      <c r="AX1470" s="38">
        <f t="shared" si="323"/>
        <v>0</v>
      </c>
      <c r="AY1470" s="72" t="s">
        <v>2827</v>
      </c>
      <c r="AZ1470" s="72" t="s">
        <v>2828</v>
      </c>
      <c r="BA1470" s="50" t="s">
        <v>2563</v>
      </c>
      <c r="BC1470" s="38">
        <f t="shared" si="324"/>
        <v>0</v>
      </c>
      <c r="BD1470" s="38">
        <f t="shared" si="325"/>
        <v>0</v>
      </c>
      <c r="BE1470" s="38">
        <v>0</v>
      </c>
      <c r="BF1470" s="38">
        <f t="shared" si="326"/>
        <v>0</v>
      </c>
      <c r="BH1470" s="38">
        <f t="shared" si="327"/>
        <v>0</v>
      </c>
      <c r="BI1470" s="38">
        <f t="shared" si="328"/>
        <v>0</v>
      </c>
      <c r="BJ1470" s="38">
        <f t="shared" si="329"/>
        <v>0</v>
      </c>
      <c r="BK1470" s="38"/>
      <c r="BL1470" s="38"/>
      <c r="BW1470" s="38">
        <v>21</v>
      </c>
    </row>
    <row r="1471" spans="1:12" ht="13.5" customHeight="1">
      <c r="A1471" s="74"/>
      <c r="D1471" s="194" t="s">
        <v>2911</v>
      </c>
      <c r="E1471" s="195"/>
      <c r="F1471" s="195"/>
      <c r="G1471" s="195"/>
      <c r="H1471" s="196"/>
      <c r="I1471" s="195"/>
      <c r="J1471" s="195"/>
      <c r="K1471" s="195"/>
      <c r="L1471" s="197"/>
    </row>
    <row r="1472" spans="1:75" ht="13.5" customHeight="1">
      <c r="A1472" s="78" t="s">
        <v>2912</v>
      </c>
      <c r="B1472" s="79" t="s">
        <v>93</v>
      </c>
      <c r="C1472" s="79" t="s">
        <v>2913</v>
      </c>
      <c r="D1472" s="198" t="s">
        <v>2832</v>
      </c>
      <c r="E1472" s="199"/>
      <c r="F1472" s="79" t="s">
        <v>2567</v>
      </c>
      <c r="G1472" s="80">
        <v>1</v>
      </c>
      <c r="H1472" s="81">
        <v>0</v>
      </c>
      <c r="I1472" s="80">
        <f aca="true" t="shared" si="330" ref="I1472:I1479">G1472*H1472</f>
        <v>0</v>
      </c>
      <c r="J1472" s="80">
        <v>0</v>
      </c>
      <c r="K1472" s="80">
        <f aca="true" t="shared" si="331" ref="K1472:K1479">G1472*J1472</f>
        <v>0</v>
      </c>
      <c r="L1472" s="82" t="s">
        <v>207</v>
      </c>
      <c r="Z1472" s="38">
        <f aca="true" t="shared" si="332" ref="Z1472:Z1479">IF(AQ1472="5",BJ1472,0)</f>
        <v>0</v>
      </c>
      <c r="AB1472" s="38">
        <f aca="true" t="shared" si="333" ref="AB1472:AB1479">IF(AQ1472="1",BH1472,0)</f>
        <v>0</v>
      </c>
      <c r="AC1472" s="38">
        <f aca="true" t="shared" si="334" ref="AC1472:AC1479">IF(AQ1472="1",BI1472,0)</f>
        <v>0</v>
      </c>
      <c r="AD1472" s="38">
        <f aca="true" t="shared" si="335" ref="AD1472:AD1479">IF(AQ1472="7",BH1472,0)</f>
        <v>0</v>
      </c>
      <c r="AE1472" s="38">
        <f aca="true" t="shared" si="336" ref="AE1472:AE1479">IF(AQ1472="7",BI1472,0)</f>
        <v>0</v>
      </c>
      <c r="AF1472" s="38">
        <f aca="true" t="shared" si="337" ref="AF1472:AF1479">IF(AQ1472="2",BH1472,0)</f>
        <v>0</v>
      </c>
      <c r="AG1472" s="38">
        <f aca="true" t="shared" si="338" ref="AG1472:AG1479">IF(AQ1472="2",BI1472,0)</f>
        <v>0</v>
      </c>
      <c r="AH1472" s="38">
        <f aca="true" t="shared" si="339" ref="AH1472:AH1479">IF(AQ1472="0",BJ1472,0)</f>
        <v>0</v>
      </c>
      <c r="AI1472" s="50" t="s">
        <v>93</v>
      </c>
      <c r="AJ1472" s="80">
        <f aca="true" t="shared" si="340" ref="AJ1472:AJ1479">IF(AN1472=0,I1472,0)</f>
        <v>0</v>
      </c>
      <c r="AK1472" s="80">
        <f aca="true" t="shared" si="341" ref="AK1472:AK1479">IF(AN1472=12,I1472,0)</f>
        <v>0</v>
      </c>
      <c r="AL1472" s="80">
        <f aca="true" t="shared" si="342" ref="AL1472:AL1479">IF(AN1472=21,I1472,0)</f>
        <v>0</v>
      </c>
      <c r="AN1472" s="38">
        <v>21</v>
      </c>
      <c r="AO1472" s="38">
        <f aca="true" t="shared" si="343" ref="AO1472:AO1478">H1472*1</f>
        <v>0</v>
      </c>
      <c r="AP1472" s="38">
        <f aca="true" t="shared" si="344" ref="AP1472:AP1478">H1472*(1-1)</f>
        <v>0</v>
      </c>
      <c r="AQ1472" s="83" t="s">
        <v>169</v>
      </c>
      <c r="AV1472" s="38">
        <f aca="true" t="shared" si="345" ref="AV1472:AV1479">AW1472+AX1472</f>
        <v>0</v>
      </c>
      <c r="AW1472" s="38">
        <f aca="true" t="shared" si="346" ref="AW1472:AW1479">G1472*AO1472</f>
        <v>0</v>
      </c>
      <c r="AX1472" s="38">
        <f aca="true" t="shared" si="347" ref="AX1472:AX1479">G1472*AP1472</f>
        <v>0</v>
      </c>
      <c r="AY1472" s="72" t="s">
        <v>2827</v>
      </c>
      <c r="AZ1472" s="72" t="s">
        <v>2828</v>
      </c>
      <c r="BA1472" s="50" t="s">
        <v>2563</v>
      </c>
      <c r="BC1472" s="38">
        <f aca="true" t="shared" si="348" ref="BC1472:BC1479">AW1472+AX1472</f>
        <v>0</v>
      </c>
      <c r="BD1472" s="38">
        <f aca="true" t="shared" si="349" ref="BD1472:BD1479">H1472/(100-BE1472)*100</f>
        <v>0</v>
      </c>
      <c r="BE1472" s="38">
        <v>0</v>
      </c>
      <c r="BF1472" s="38">
        <f aca="true" t="shared" si="350" ref="BF1472:BF1479">K1472</f>
        <v>0</v>
      </c>
      <c r="BH1472" s="80">
        <f aca="true" t="shared" si="351" ref="BH1472:BH1479">G1472*AO1472</f>
        <v>0</v>
      </c>
      <c r="BI1472" s="80">
        <f aca="true" t="shared" si="352" ref="BI1472:BI1479">G1472*AP1472</f>
        <v>0</v>
      </c>
      <c r="BJ1472" s="80">
        <f aca="true" t="shared" si="353" ref="BJ1472:BJ1479">G1472*H1472</f>
        <v>0</v>
      </c>
      <c r="BK1472" s="80"/>
      <c r="BL1472" s="38"/>
      <c r="BW1472" s="38">
        <v>21</v>
      </c>
    </row>
    <row r="1473" spans="1:75" ht="13.5" customHeight="1">
      <c r="A1473" s="78" t="s">
        <v>2914</v>
      </c>
      <c r="B1473" s="79" t="s">
        <v>93</v>
      </c>
      <c r="C1473" s="79" t="s">
        <v>2915</v>
      </c>
      <c r="D1473" s="198" t="s">
        <v>2835</v>
      </c>
      <c r="E1473" s="199"/>
      <c r="F1473" s="79" t="s">
        <v>2567</v>
      </c>
      <c r="G1473" s="80">
        <v>1</v>
      </c>
      <c r="H1473" s="81">
        <v>0</v>
      </c>
      <c r="I1473" s="80">
        <f t="shared" si="330"/>
        <v>0</v>
      </c>
      <c r="J1473" s="80">
        <v>0</v>
      </c>
      <c r="K1473" s="80">
        <f t="shared" si="331"/>
        <v>0</v>
      </c>
      <c r="L1473" s="82" t="s">
        <v>207</v>
      </c>
      <c r="Z1473" s="38">
        <f t="shared" si="332"/>
        <v>0</v>
      </c>
      <c r="AB1473" s="38">
        <f t="shared" si="333"/>
        <v>0</v>
      </c>
      <c r="AC1473" s="38">
        <f t="shared" si="334"/>
        <v>0</v>
      </c>
      <c r="AD1473" s="38">
        <f t="shared" si="335"/>
        <v>0</v>
      </c>
      <c r="AE1473" s="38">
        <f t="shared" si="336"/>
        <v>0</v>
      </c>
      <c r="AF1473" s="38">
        <f t="shared" si="337"/>
        <v>0</v>
      </c>
      <c r="AG1473" s="38">
        <f t="shared" si="338"/>
        <v>0</v>
      </c>
      <c r="AH1473" s="38">
        <f t="shared" si="339"/>
        <v>0</v>
      </c>
      <c r="AI1473" s="50" t="s">
        <v>93</v>
      </c>
      <c r="AJ1473" s="80">
        <f t="shared" si="340"/>
        <v>0</v>
      </c>
      <c r="AK1473" s="80">
        <f t="shared" si="341"/>
        <v>0</v>
      </c>
      <c r="AL1473" s="80">
        <f t="shared" si="342"/>
        <v>0</v>
      </c>
      <c r="AN1473" s="38">
        <v>21</v>
      </c>
      <c r="AO1473" s="38">
        <f t="shared" si="343"/>
        <v>0</v>
      </c>
      <c r="AP1473" s="38">
        <f t="shared" si="344"/>
        <v>0</v>
      </c>
      <c r="AQ1473" s="83" t="s">
        <v>169</v>
      </c>
      <c r="AV1473" s="38">
        <f t="shared" si="345"/>
        <v>0</v>
      </c>
      <c r="AW1473" s="38">
        <f t="shared" si="346"/>
        <v>0</v>
      </c>
      <c r="AX1473" s="38">
        <f t="shared" si="347"/>
        <v>0</v>
      </c>
      <c r="AY1473" s="72" t="s">
        <v>2827</v>
      </c>
      <c r="AZ1473" s="72" t="s">
        <v>2828</v>
      </c>
      <c r="BA1473" s="50" t="s">
        <v>2563</v>
      </c>
      <c r="BC1473" s="38">
        <f t="shared" si="348"/>
        <v>0</v>
      </c>
      <c r="BD1473" s="38">
        <f t="shared" si="349"/>
        <v>0</v>
      </c>
      <c r="BE1473" s="38">
        <v>0</v>
      </c>
      <c r="BF1473" s="38">
        <f t="shared" si="350"/>
        <v>0</v>
      </c>
      <c r="BH1473" s="80">
        <f t="shared" si="351"/>
        <v>0</v>
      </c>
      <c r="BI1473" s="80">
        <f t="shared" si="352"/>
        <v>0</v>
      </c>
      <c r="BJ1473" s="80">
        <f t="shared" si="353"/>
        <v>0</v>
      </c>
      <c r="BK1473" s="80"/>
      <c r="BL1473" s="38"/>
      <c r="BW1473" s="38">
        <v>21</v>
      </c>
    </row>
    <row r="1474" spans="1:75" ht="27" customHeight="1">
      <c r="A1474" s="78" t="s">
        <v>2916</v>
      </c>
      <c r="B1474" s="79" t="s">
        <v>93</v>
      </c>
      <c r="C1474" s="79" t="s">
        <v>2889</v>
      </c>
      <c r="D1474" s="198" t="s">
        <v>2890</v>
      </c>
      <c r="E1474" s="199"/>
      <c r="F1474" s="79" t="s">
        <v>2567</v>
      </c>
      <c r="G1474" s="80">
        <v>2</v>
      </c>
      <c r="H1474" s="81">
        <v>0</v>
      </c>
      <c r="I1474" s="80">
        <f t="shared" si="330"/>
        <v>0</v>
      </c>
      <c r="J1474" s="80">
        <v>0</v>
      </c>
      <c r="K1474" s="80">
        <f t="shared" si="331"/>
        <v>0</v>
      </c>
      <c r="L1474" s="82" t="s">
        <v>207</v>
      </c>
      <c r="Z1474" s="38">
        <f t="shared" si="332"/>
        <v>0</v>
      </c>
      <c r="AB1474" s="38">
        <f t="shared" si="333"/>
        <v>0</v>
      </c>
      <c r="AC1474" s="38">
        <f t="shared" si="334"/>
        <v>0</v>
      </c>
      <c r="AD1474" s="38">
        <f t="shared" si="335"/>
        <v>0</v>
      </c>
      <c r="AE1474" s="38">
        <f t="shared" si="336"/>
        <v>0</v>
      </c>
      <c r="AF1474" s="38">
        <f t="shared" si="337"/>
        <v>0</v>
      </c>
      <c r="AG1474" s="38">
        <f t="shared" si="338"/>
        <v>0</v>
      </c>
      <c r="AH1474" s="38">
        <f t="shared" si="339"/>
        <v>0</v>
      </c>
      <c r="AI1474" s="50" t="s">
        <v>93</v>
      </c>
      <c r="AJ1474" s="80">
        <f t="shared" si="340"/>
        <v>0</v>
      </c>
      <c r="AK1474" s="80">
        <f t="shared" si="341"/>
        <v>0</v>
      </c>
      <c r="AL1474" s="80">
        <f t="shared" si="342"/>
        <v>0</v>
      </c>
      <c r="AN1474" s="38">
        <v>21</v>
      </c>
      <c r="AO1474" s="38">
        <f t="shared" si="343"/>
        <v>0</v>
      </c>
      <c r="AP1474" s="38">
        <f t="shared" si="344"/>
        <v>0</v>
      </c>
      <c r="AQ1474" s="83" t="s">
        <v>169</v>
      </c>
      <c r="AV1474" s="38">
        <f t="shared" si="345"/>
        <v>0</v>
      </c>
      <c r="AW1474" s="38">
        <f t="shared" si="346"/>
        <v>0</v>
      </c>
      <c r="AX1474" s="38">
        <f t="shared" si="347"/>
        <v>0</v>
      </c>
      <c r="AY1474" s="72" t="s">
        <v>2827</v>
      </c>
      <c r="AZ1474" s="72" t="s">
        <v>2828</v>
      </c>
      <c r="BA1474" s="50" t="s">
        <v>2563</v>
      </c>
      <c r="BC1474" s="38">
        <f t="shared" si="348"/>
        <v>0</v>
      </c>
      <c r="BD1474" s="38">
        <f t="shared" si="349"/>
        <v>0</v>
      </c>
      <c r="BE1474" s="38">
        <v>0</v>
      </c>
      <c r="BF1474" s="38">
        <f t="shared" si="350"/>
        <v>0</v>
      </c>
      <c r="BH1474" s="80">
        <f t="shared" si="351"/>
        <v>0</v>
      </c>
      <c r="BI1474" s="80">
        <f t="shared" si="352"/>
        <v>0</v>
      </c>
      <c r="BJ1474" s="80">
        <f t="shared" si="353"/>
        <v>0</v>
      </c>
      <c r="BK1474" s="80"/>
      <c r="BL1474" s="38"/>
      <c r="BW1474" s="38">
        <v>21</v>
      </c>
    </row>
    <row r="1475" spans="1:75" ht="27" customHeight="1">
      <c r="A1475" s="78" t="s">
        <v>2917</v>
      </c>
      <c r="B1475" s="79" t="s">
        <v>93</v>
      </c>
      <c r="C1475" s="79" t="s">
        <v>2892</v>
      </c>
      <c r="D1475" s="198" t="s">
        <v>2893</v>
      </c>
      <c r="E1475" s="199"/>
      <c r="F1475" s="79" t="s">
        <v>2567</v>
      </c>
      <c r="G1475" s="80">
        <v>3</v>
      </c>
      <c r="H1475" s="81">
        <v>0</v>
      </c>
      <c r="I1475" s="80">
        <f t="shared" si="330"/>
        <v>0</v>
      </c>
      <c r="J1475" s="80">
        <v>0</v>
      </c>
      <c r="K1475" s="80">
        <f t="shared" si="331"/>
        <v>0</v>
      </c>
      <c r="L1475" s="82" t="s">
        <v>207</v>
      </c>
      <c r="Z1475" s="38">
        <f t="shared" si="332"/>
        <v>0</v>
      </c>
      <c r="AB1475" s="38">
        <f t="shared" si="333"/>
        <v>0</v>
      </c>
      <c r="AC1475" s="38">
        <f t="shared" si="334"/>
        <v>0</v>
      </c>
      <c r="AD1475" s="38">
        <f t="shared" si="335"/>
        <v>0</v>
      </c>
      <c r="AE1475" s="38">
        <f t="shared" si="336"/>
        <v>0</v>
      </c>
      <c r="AF1475" s="38">
        <f t="shared" si="337"/>
        <v>0</v>
      </c>
      <c r="AG1475" s="38">
        <f t="shared" si="338"/>
        <v>0</v>
      </c>
      <c r="AH1475" s="38">
        <f t="shared" si="339"/>
        <v>0</v>
      </c>
      <c r="AI1475" s="50" t="s">
        <v>93</v>
      </c>
      <c r="AJ1475" s="80">
        <f t="shared" si="340"/>
        <v>0</v>
      </c>
      <c r="AK1475" s="80">
        <f t="shared" si="341"/>
        <v>0</v>
      </c>
      <c r="AL1475" s="80">
        <f t="shared" si="342"/>
        <v>0</v>
      </c>
      <c r="AN1475" s="38">
        <v>21</v>
      </c>
      <c r="AO1475" s="38">
        <f t="shared" si="343"/>
        <v>0</v>
      </c>
      <c r="AP1475" s="38">
        <f t="shared" si="344"/>
        <v>0</v>
      </c>
      <c r="AQ1475" s="83" t="s">
        <v>169</v>
      </c>
      <c r="AV1475" s="38">
        <f t="shared" si="345"/>
        <v>0</v>
      </c>
      <c r="AW1475" s="38">
        <f t="shared" si="346"/>
        <v>0</v>
      </c>
      <c r="AX1475" s="38">
        <f t="shared" si="347"/>
        <v>0</v>
      </c>
      <c r="AY1475" s="72" t="s">
        <v>2827</v>
      </c>
      <c r="AZ1475" s="72" t="s">
        <v>2828</v>
      </c>
      <c r="BA1475" s="50" t="s">
        <v>2563</v>
      </c>
      <c r="BC1475" s="38">
        <f t="shared" si="348"/>
        <v>0</v>
      </c>
      <c r="BD1475" s="38">
        <f t="shared" si="349"/>
        <v>0</v>
      </c>
      <c r="BE1475" s="38">
        <v>0</v>
      </c>
      <c r="BF1475" s="38">
        <f t="shared" si="350"/>
        <v>0</v>
      </c>
      <c r="BH1475" s="80">
        <f t="shared" si="351"/>
        <v>0</v>
      </c>
      <c r="BI1475" s="80">
        <f t="shared" si="352"/>
        <v>0</v>
      </c>
      <c r="BJ1475" s="80">
        <f t="shared" si="353"/>
        <v>0</v>
      </c>
      <c r="BK1475" s="80"/>
      <c r="BL1475" s="38"/>
      <c r="BW1475" s="38">
        <v>21</v>
      </c>
    </row>
    <row r="1476" spans="1:75" ht="13.5" customHeight="1">
      <c r="A1476" s="78" t="s">
        <v>2918</v>
      </c>
      <c r="B1476" s="79" t="s">
        <v>93</v>
      </c>
      <c r="C1476" s="79" t="s">
        <v>2843</v>
      </c>
      <c r="D1476" s="198" t="s">
        <v>2844</v>
      </c>
      <c r="E1476" s="199"/>
      <c r="F1476" s="79" t="s">
        <v>2567</v>
      </c>
      <c r="G1476" s="80">
        <v>5</v>
      </c>
      <c r="H1476" s="81">
        <v>0</v>
      </c>
      <c r="I1476" s="80">
        <f t="shared" si="330"/>
        <v>0</v>
      </c>
      <c r="J1476" s="80">
        <v>0</v>
      </c>
      <c r="K1476" s="80">
        <f t="shared" si="331"/>
        <v>0</v>
      </c>
      <c r="L1476" s="82" t="s">
        <v>207</v>
      </c>
      <c r="Z1476" s="38">
        <f t="shared" si="332"/>
        <v>0</v>
      </c>
      <c r="AB1476" s="38">
        <f t="shared" si="333"/>
        <v>0</v>
      </c>
      <c r="AC1476" s="38">
        <f t="shared" si="334"/>
        <v>0</v>
      </c>
      <c r="AD1476" s="38">
        <f t="shared" si="335"/>
        <v>0</v>
      </c>
      <c r="AE1476" s="38">
        <f t="shared" si="336"/>
        <v>0</v>
      </c>
      <c r="AF1476" s="38">
        <f t="shared" si="337"/>
        <v>0</v>
      </c>
      <c r="AG1476" s="38">
        <f t="shared" si="338"/>
        <v>0</v>
      </c>
      <c r="AH1476" s="38">
        <f t="shared" si="339"/>
        <v>0</v>
      </c>
      <c r="AI1476" s="50" t="s">
        <v>93</v>
      </c>
      <c r="AJ1476" s="80">
        <f t="shared" si="340"/>
        <v>0</v>
      </c>
      <c r="AK1476" s="80">
        <f t="shared" si="341"/>
        <v>0</v>
      </c>
      <c r="AL1476" s="80">
        <f t="shared" si="342"/>
        <v>0</v>
      </c>
      <c r="AN1476" s="38">
        <v>21</v>
      </c>
      <c r="AO1476" s="38">
        <f t="shared" si="343"/>
        <v>0</v>
      </c>
      <c r="AP1476" s="38">
        <f t="shared" si="344"/>
        <v>0</v>
      </c>
      <c r="AQ1476" s="83" t="s">
        <v>169</v>
      </c>
      <c r="AV1476" s="38">
        <f t="shared" si="345"/>
        <v>0</v>
      </c>
      <c r="AW1476" s="38">
        <f t="shared" si="346"/>
        <v>0</v>
      </c>
      <c r="AX1476" s="38">
        <f t="shared" si="347"/>
        <v>0</v>
      </c>
      <c r="AY1476" s="72" t="s">
        <v>2827</v>
      </c>
      <c r="AZ1476" s="72" t="s">
        <v>2828</v>
      </c>
      <c r="BA1476" s="50" t="s">
        <v>2563</v>
      </c>
      <c r="BC1476" s="38">
        <f t="shared" si="348"/>
        <v>0</v>
      </c>
      <c r="BD1476" s="38">
        <f t="shared" si="349"/>
        <v>0</v>
      </c>
      <c r="BE1476" s="38">
        <v>0</v>
      </c>
      <c r="BF1476" s="38">
        <f t="shared" si="350"/>
        <v>0</v>
      </c>
      <c r="BH1476" s="80">
        <f t="shared" si="351"/>
        <v>0</v>
      </c>
      <c r="BI1476" s="80">
        <f t="shared" si="352"/>
        <v>0</v>
      </c>
      <c r="BJ1476" s="80">
        <f t="shared" si="353"/>
        <v>0</v>
      </c>
      <c r="BK1476" s="80"/>
      <c r="BL1476" s="38"/>
      <c r="BW1476" s="38">
        <v>21</v>
      </c>
    </row>
    <row r="1477" spans="1:75" ht="13.5" customHeight="1">
      <c r="A1477" s="78" t="s">
        <v>2919</v>
      </c>
      <c r="B1477" s="79" t="s">
        <v>93</v>
      </c>
      <c r="C1477" s="79" t="s">
        <v>2846</v>
      </c>
      <c r="D1477" s="198" t="s">
        <v>2847</v>
      </c>
      <c r="E1477" s="199"/>
      <c r="F1477" s="79" t="s">
        <v>2567</v>
      </c>
      <c r="G1477" s="80">
        <v>5</v>
      </c>
      <c r="H1477" s="81">
        <v>0</v>
      </c>
      <c r="I1477" s="80">
        <f t="shared" si="330"/>
        <v>0</v>
      </c>
      <c r="J1477" s="80">
        <v>0</v>
      </c>
      <c r="K1477" s="80">
        <f t="shared" si="331"/>
        <v>0</v>
      </c>
      <c r="L1477" s="82" t="s">
        <v>207</v>
      </c>
      <c r="Z1477" s="38">
        <f t="shared" si="332"/>
        <v>0</v>
      </c>
      <c r="AB1477" s="38">
        <f t="shared" si="333"/>
        <v>0</v>
      </c>
      <c r="AC1477" s="38">
        <f t="shared" si="334"/>
        <v>0</v>
      </c>
      <c r="AD1477" s="38">
        <f t="shared" si="335"/>
        <v>0</v>
      </c>
      <c r="AE1477" s="38">
        <f t="shared" si="336"/>
        <v>0</v>
      </c>
      <c r="AF1477" s="38">
        <f t="shared" si="337"/>
        <v>0</v>
      </c>
      <c r="AG1477" s="38">
        <f t="shared" si="338"/>
        <v>0</v>
      </c>
      <c r="AH1477" s="38">
        <f t="shared" si="339"/>
        <v>0</v>
      </c>
      <c r="AI1477" s="50" t="s">
        <v>93</v>
      </c>
      <c r="AJ1477" s="80">
        <f t="shared" si="340"/>
        <v>0</v>
      </c>
      <c r="AK1477" s="80">
        <f t="shared" si="341"/>
        <v>0</v>
      </c>
      <c r="AL1477" s="80">
        <f t="shared" si="342"/>
        <v>0</v>
      </c>
      <c r="AN1477" s="38">
        <v>21</v>
      </c>
      <c r="AO1477" s="38">
        <f t="shared" si="343"/>
        <v>0</v>
      </c>
      <c r="AP1477" s="38">
        <f t="shared" si="344"/>
        <v>0</v>
      </c>
      <c r="AQ1477" s="83" t="s">
        <v>169</v>
      </c>
      <c r="AV1477" s="38">
        <f t="shared" si="345"/>
        <v>0</v>
      </c>
      <c r="AW1477" s="38">
        <f t="shared" si="346"/>
        <v>0</v>
      </c>
      <c r="AX1477" s="38">
        <f t="shared" si="347"/>
        <v>0</v>
      </c>
      <c r="AY1477" s="72" t="s">
        <v>2827</v>
      </c>
      <c r="AZ1477" s="72" t="s">
        <v>2828</v>
      </c>
      <c r="BA1477" s="50" t="s">
        <v>2563</v>
      </c>
      <c r="BC1477" s="38">
        <f t="shared" si="348"/>
        <v>0</v>
      </c>
      <c r="BD1477" s="38">
        <f t="shared" si="349"/>
        <v>0</v>
      </c>
      <c r="BE1477" s="38">
        <v>0</v>
      </c>
      <c r="BF1477" s="38">
        <f t="shared" si="350"/>
        <v>0</v>
      </c>
      <c r="BH1477" s="80">
        <f t="shared" si="351"/>
        <v>0</v>
      </c>
      <c r="BI1477" s="80">
        <f t="shared" si="352"/>
        <v>0</v>
      </c>
      <c r="BJ1477" s="80">
        <f t="shared" si="353"/>
        <v>0</v>
      </c>
      <c r="BK1477" s="80"/>
      <c r="BL1477" s="38"/>
      <c r="BW1477" s="38">
        <v>21</v>
      </c>
    </row>
    <row r="1478" spans="1:75" ht="13.5" customHeight="1">
      <c r="A1478" s="78" t="s">
        <v>2920</v>
      </c>
      <c r="B1478" s="79" t="s">
        <v>93</v>
      </c>
      <c r="C1478" s="79" t="s">
        <v>2849</v>
      </c>
      <c r="D1478" s="198" t="s">
        <v>2850</v>
      </c>
      <c r="E1478" s="199"/>
      <c r="F1478" s="79" t="s">
        <v>2567</v>
      </c>
      <c r="G1478" s="80">
        <v>5</v>
      </c>
      <c r="H1478" s="81">
        <v>0</v>
      </c>
      <c r="I1478" s="80">
        <f t="shared" si="330"/>
        <v>0</v>
      </c>
      <c r="J1478" s="80">
        <v>0</v>
      </c>
      <c r="K1478" s="80">
        <f t="shared" si="331"/>
        <v>0</v>
      </c>
      <c r="L1478" s="82" t="s">
        <v>207</v>
      </c>
      <c r="Z1478" s="38">
        <f t="shared" si="332"/>
        <v>0</v>
      </c>
      <c r="AB1478" s="38">
        <f t="shared" si="333"/>
        <v>0</v>
      </c>
      <c r="AC1478" s="38">
        <f t="shared" si="334"/>
        <v>0</v>
      </c>
      <c r="AD1478" s="38">
        <f t="shared" si="335"/>
        <v>0</v>
      </c>
      <c r="AE1478" s="38">
        <f t="shared" si="336"/>
        <v>0</v>
      </c>
      <c r="AF1478" s="38">
        <f t="shared" si="337"/>
        <v>0</v>
      </c>
      <c r="AG1478" s="38">
        <f t="shared" si="338"/>
        <v>0</v>
      </c>
      <c r="AH1478" s="38">
        <f t="shared" si="339"/>
        <v>0</v>
      </c>
      <c r="AI1478" s="50" t="s">
        <v>93</v>
      </c>
      <c r="AJ1478" s="80">
        <f t="shared" si="340"/>
        <v>0</v>
      </c>
      <c r="AK1478" s="80">
        <f t="shared" si="341"/>
        <v>0</v>
      </c>
      <c r="AL1478" s="80">
        <f t="shared" si="342"/>
        <v>0</v>
      </c>
      <c r="AN1478" s="38">
        <v>21</v>
      </c>
      <c r="AO1478" s="38">
        <f t="shared" si="343"/>
        <v>0</v>
      </c>
      <c r="AP1478" s="38">
        <f t="shared" si="344"/>
        <v>0</v>
      </c>
      <c r="AQ1478" s="83" t="s">
        <v>169</v>
      </c>
      <c r="AV1478" s="38">
        <f t="shared" si="345"/>
        <v>0</v>
      </c>
      <c r="AW1478" s="38">
        <f t="shared" si="346"/>
        <v>0</v>
      </c>
      <c r="AX1478" s="38">
        <f t="shared" si="347"/>
        <v>0</v>
      </c>
      <c r="AY1478" s="72" t="s">
        <v>2827</v>
      </c>
      <c r="AZ1478" s="72" t="s">
        <v>2828</v>
      </c>
      <c r="BA1478" s="50" t="s">
        <v>2563</v>
      </c>
      <c r="BC1478" s="38">
        <f t="shared" si="348"/>
        <v>0</v>
      </c>
      <c r="BD1478" s="38">
        <f t="shared" si="349"/>
        <v>0</v>
      </c>
      <c r="BE1478" s="38">
        <v>0</v>
      </c>
      <c r="BF1478" s="38">
        <f t="shared" si="350"/>
        <v>0</v>
      </c>
      <c r="BH1478" s="80">
        <f t="shared" si="351"/>
        <v>0</v>
      </c>
      <c r="BI1478" s="80">
        <f t="shared" si="352"/>
        <v>0</v>
      </c>
      <c r="BJ1478" s="80">
        <f t="shared" si="353"/>
        <v>0</v>
      </c>
      <c r="BK1478" s="80"/>
      <c r="BL1478" s="38"/>
      <c r="BW1478" s="38">
        <v>21</v>
      </c>
    </row>
    <row r="1479" spans="1:75" ht="13.5" customHeight="1">
      <c r="A1479" s="1" t="s">
        <v>2921</v>
      </c>
      <c r="B1479" s="2" t="s">
        <v>93</v>
      </c>
      <c r="C1479" s="2" t="s">
        <v>2817</v>
      </c>
      <c r="D1479" s="108" t="s">
        <v>2818</v>
      </c>
      <c r="E1479" s="103"/>
      <c r="F1479" s="2" t="s">
        <v>2286</v>
      </c>
      <c r="G1479" s="38">
        <v>35</v>
      </c>
      <c r="H1479" s="70">
        <v>0</v>
      </c>
      <c r="I1479" s="38">
        <f t="shared" si="330"/>
        <v>0</v>
      </c>
      <c r="J1479" s="38">
        <v>0</v>
      </c>
      <c r="K1479" s="38">
        <f t="shared" si="331"/>
        <v>0</v>
      </c>
      <c r="L1479" s="71" t="s">
        <v>207</v>
      </c>
      <c r="Z1479" s="38">
        <f t="shared" si="332"/>
        <v>0</v>
      </c>
      <c r="AB1479" s="38">
        <f t="shared" si="333"/>
        <v>0</v>
      </c>
      <c r="AC1479" s="38">
        <f t="shared" si="334"/>
        <v>0</v>
      </c>
      <c r="AD1479" s="38">
        <f t="shared" si="335"/>
        <v>0</v>
      </c>
      <c r="AE1479" s="38">
        <f t="shared" si="336"/>
        <v>0</v>
      </c>
      <c r="AF1479" s="38">
        <f t="shared" si="337"/>
        <v>0</v>
      </c>
      <c r="AG1479" s="38">
        <f t="shared" si="338"/>
        <v>0</v>
      </c>
      <c r="AH1479" s="38">
        <f t="shared" si="339"/>
        <v>0</v>
      </c>
      <c r="AI1479" s="50" t="s">
        <v>93</v>
      </c>
      <c r="AJ1479" s="38">
        <f t="shared" si="340"/>
        <v>0</v>
      </c>
      <c r="AK1479" s="38">
        <f t="shared" si="341"/>
        <v>0</v>
      </c>
      <c r="AL1479" s="38">
        <f t="shared" si="342"/>
        <v>0</v>
      </c>
      <c r="AN1479" s="38">
        <v>21</v>
      </c>
      <c r="AO1479" s="38">
        <f>H1479*0</f>
        <v>0</v>
      </c>
      <c r="AP1479" s="38">
        <f>H1479*(1-0)</f>
        <v>0</v>
      </c>
      <c r="AQ1479" s="72" t="s">
        <v>169</v>
      </c>
      <c r="AV1479" s="38">
        <f t="shared" si="345"/>
        <v>0</v>
      </c>
      <c r="AW1479" s="38">
        <f t="shared" si="346"/>
        <v>0</v>
      </c>
      <c r="AX1479" s="38">
        <f t="shared" si="347"/>
        <v>0</v>
      </c>
      <c r="AY1479" s="72" t="s">
        <v>2827</v>
      </c>
      <c r="AZ1479" s="72" t="s">
        <v>2828</v>
      </c>
      <c r="BA1479" s="50" t="s">
        <v>2563</v>
      </c>
      <c r="BC1479" s="38">
        <f t="shared" si="348"/>
        <v>0</v>
      </c>
      <c r="BD1479" s="38">
        <f t="shared" si="349"/>
        <v>0</v>
      </c>
      <c r="BE1479" s="38">
        <v>0</v>
      </c>
      <c r="BF1479" s="38">
        <f t="shared" si="350"/>
        <v>0</v>
      </c>
      <c r="BH1479" s="38">
        <f t="shared" si="351"/>
        <v>0</v>
      </c>
      <c r="BI1479" s="38">
        <f t="shared" si="352"/>
        <v>0</v>
      </c>
      <c r="BJ1479" s="38">
        <f t="shared" si="353"/>
        <v>0</v>
      </c>
      <c r="BK1479" s="38"/>
      <c r="BL1479" s="38"/>
      <c r="BW1479" s="38">
        <v>21</v>
      </c>
    </row>
    <row r="1480" spans="1:12" ht="13.5" customHeight="1">
      <c r="A1480" s="74"/>
      <c r="D1480" s="194" t="s">
        <v>2922</v>
      </c>
      <c r="E1480" s="195"/>
      <c r="F1480" s="195"/>
      <c r="G1480" s="195"/>
      <c r="H1480" s="196"/>
      <c r="I1480" s="195"/>
      <c r="J1480" s="195"/>
      <c r="K1480" s="195"/>
      <c r="L1480" s="197"/>
    </row>
    <row r="1481" spans="1:75" ht="13.5" customHeight="1">
      <c r="A1481" s="78" t="s">
        <v>2923</v>
      </c>
      <c r="B1481" s="79" t="s">
        <v>93</v>
      </c>
      <c r="C1481" s="79" t="s">
        <v>2913</v>
      </c>
      <c r="D1481" s="198" t="s">
        <v>2832</v>
      </c>
      <c r="E1481" s="199"/>
      <c r="F1481" s="79" t="s">
        <v>2567</v>
      </c>
      <c r="G1481" s="80">
        <v>1</v>
      </c>
      <c r="H1481" s="81">
        <v>0</v>
      </c>
      <c r="I1481" s="80">
        <f aca="true" t="shared" si="354" ref="I1481:I1508">G1481*H1481</f>
        <v>0</v>
      </c>
      <c r="J1481" s="80">
        <v>0</v>
      </c>
      <c r="K1481" s="80">
        <f aca="true" t="shared" si="355" ref="K1481:K1508">G1481*J1481</f>
        <v>0</v>
      </c>
      <c r="L1481" s="82" t="s">
        <v>207</v>
      </c>
      <c r="Z1481" s="38">
        <f aca="true" t="shared" si="356" ref="Z1481:Z1508">IF(AQ1481="5",BJ1481,0)</f>
        <v>0</v>
      </c>
      <c r="AB1481" s="38">
        <f aca="true" t="shared" si="357" ref="AB1481:AB1508">IF(AQ1481="1",BH1481,0)</f>
        <v>0</v>
      </c>
      <c r="AC1481" s="38">
        <f aca="true" t="shared" si="358" ref="AC1481:AC1508">IF(AQ1481="1",BI1481,0)</f>
        <v>0</v>
      </c>
      <c r="AD1481" s="38">
        <f aca="true" t="shared" si="359" ref="AD1481:AD1508">IF(AQ1481="7",BH1481,0)</f>
        <v>0</v>
      </c>
      <c r="AE1481" s="38">
        <f aca="true" t="shared" si="360" ref="AE1481:AE1508">IF(AQ1481="7",BI1481,0)</f>
        <v>0</v>
      </c>
      <c r="AF1481" s="38">
        <f aca="true" t="shared" si="361" ref="AF1481:AF1508">IF(AQ1481="2",BH1481,0)</f>
        <v>0</v>
      </c>
      <c r="AG1481" s="38">
        <f aca="true" t="shared" si="362" ref="AG1481:AG1508">IF(AQ1481="2",BI1481,0)</f>
        <v>0</v>
      </c>
      <c r="AH1481" s="38">
        <f aca="true" t="shared" si="363" ref="AH1481:AH1508">IF(AQ1481="0",BJ1481,0)</f>
        <v>0</v>
      </c>
      <c r="AI1481" s="50" t="s">
        <v>93</v>
      </c>
      <c r="AJ1481" s="80">
        <f aca="true" t="shared" si="364" ref="AJ1481:AJ1508">IF(AN1481=0,I1481,0)</f>
        <v>0</v>
      </c>
      <c r="AK1481" s="80">
        <f aca="true" t="shared" si="365" ref="AK1481:AK1508">IF(AN1481=12,I1481,0)</f>
        <v>0</v>
      </c>
      <c r="AL1481" s="80">
        <f aca="true" t="shared" si="366" ref="AL1481:AL1508">IF(AN1481=21,I1481,0)</f>
        <v>0</v>
      </c>
      <c r="AN1481" s="38">
        <v>21</v>
      </c>
      <c r="AO1481" s="38">
        <f aca="true" t="shared" si="367" ref="AO1481:AO1507">H1481*1</f>
        <v>0</v>
      </c>
      <c r="AP1481" s="38">
        <f aca="true" t="shared" si="368" ref="AP1481:AP1507">H1481*(1-1)</f>
        <v>0</v>
      </c>
      <c r="AQ1481" s="83" t="s">
        <v>169</v>
      </c>
      <c r="AV1481" s="38">
        <f aca="true" t="shared" si="369" ref="AV1481:AV1508">AW1481+AX1481</f>
        <v>0</v>
      </c>
      <c r="AW1481" s="38">
        <f aca="true" t="shared" si="370" ref="AW1481:AW1508">G1481*AO1481</f>
        <v>0</v>
      </c>
      <c r="AX1481" s="38">
        <f aca="true" t="shared" si="371" ref="AX1481:AX1508">G1481*AP1481</f>
        <v>0</v>
      </c>
      <c r="AY1481" s="72" t="s">
        <v>2827</v>
      </c>
      <c r="AZ1481" s="72" t="s">
        <v>2828</v>
      </c>
      <c r="BA1481" s="50" t="s">
        <v>2563</v>
      </c>
      <c r="BC1481" s="38">
        <f aca="true" t="shared" si="372" ref="BC1481:BC1508">AW1481+AX1481</f>
        <v>0</v>
      </c>
      <c r="BD1481" s="38">
        <f aca="true" t="shared" si="373" ref="BD1481:BD1508">H1481/(100-BE1481)*100</f>
        <v>0</v>
      </c>
      <c r="BE1481" s="38">
        <v>0</v>
      </c>
      <c r="BF1481" s="38">
        <f aca="true" t="shared" si="374" ref="BF1481:BF1508">K1481</f>
        <v>0</v>
      </c>
      <c r="BH1481" s="80">
        <f aca="true" t="shared" si="375" ref="BH1481:BH1508">G1481*AO1481</f>
        <v>0</v>
      </c>
      <c r="BI1481" s="80">
        <f aca="true" t="shared" si="376" ref="BI1481:BI1508">G1481*AP1481</f>
        <v>0</v>
      </c>
      <c r="BJ1481" s="80">
        <f aca="true" t="shared" si="377" ref="BJ1481:BJ1508">G1481*H1481</f>
        <v>0</v>
      </c>
      <c r="BK1481" s="80"/>
      <c r="BL1481" s="38"/>
      <c r="BW1481" s="38">
        <v>21</v>
      </c>
    </row>
    <row r="1482" spans="1:75" ht="13.5" customHeight="1">
      <c r="A1482" s="78" t="s">
        <v>2924</v>
      </c>
      <c r="B1482" s="79" t="s">
        <v>93</v>
      </c>
      <c r="C1482" s="79" t="s">
        <v>2915</v>
      </c>
      <c r="D1482" s="198" t="s">
        <v>2835</v>
      </c>
      <c r="E1482" s="199"/>
      <c r="F1482" s="79" t="s">
        <v>2567</v>
      </c>
      <c r="G1482" s="80">
        <v>1</v>
      </c>
      <c r="H1482" s="81">
        <v>0</v>
      </c>
      <c r="I1482" s="80">
        <f t="shared" si="354"/>
        <v>0</v>
      </c>
      <c r="J1482" s="80">
        <v>0</v>
      </c>
      <c r="K1482" s="80">
        <f t="shared" si="355"/>
        <v>0</v>
      </c>
      <c r="L1482" s="82" t="s">
        <v>207</v>
      </c>
      <c r="Z1482" s="38">
        <f t="shared" si="356"/>
        <v>0</v>
      </c>
      <c r="AB1482" s="38">
        <f t="shared" si="357"/>
        <v>0</v>
      </c>
      <c r="AC1482" s="38">
        <f t="shared" si="358"/>
        <v>0</v>
      </c>
      <c r="AD1482" s="38">
        <f t="shared" si="359"/>
        <v>0</v>
      </c>
      <c r="AE1482" s="38">
        <f t="shared" si="360"/>
        <v>0</v>
      </c>
      <c r="AF1482" s="38">
        <f t="shared" si="361"/>
        <v>0</v>
      </c>
      <c r="AG1482" s="38">
        <f t="shared" si="362"/>
        <v>0</v>
      </c>
      <c r="AH1482" s="38">
        <f t="shared" si="363"/>
        <v>0</v>
      </c>
      <c r="AI1482" s="50" t="s">
        <v>93</v>
      </c>
      <c r="AJ1482" s="80">
        <f t="shared" si="364"/>
        <v>0</v>
      </c>
      <c r="AK1482" s="80">
        <f t="shared" si="365"/>
        <v>0</v>
      </c>
      <c r="AL1482" s="80">
        <f t="shared" si="366"/>
        <v>0</v>
      </c>
      <c r="AN1482" s="38">
        <v>21</v>
      </c>
      <c r="AO1482" s="38">
        <f t="shared" si="367"/>
        <v>0</v>
      </c>
      <c r="AP1482" s="38">
        <f t="shared" si="368"/>
        <v>0</v>
      </c>
      <c r="AQ1482" s="83" t="s">
        <v>169</v>
      </c>
      <c r="AV1482" s="38">
        <f t="shared" si="369"/>
        <v>0</v>
      </c>
      <c r="AW1482" s="38">
        <f t="shared" si="370"/>
        <v>0</v>
      </c>
      <c r="AX1482" s="38">
        <f t="shared" si="371"/>
        <v>0</v>
      </c>
      <c r="AY1482" s="72" t="s">
        <v>2827</v>
      </c>
      <c r="AZ1482" s="72" t="s">
        <v>2828</v>
      </c>
      <c r="BA1482" s="50" t="s">
        <v>2563</v>
      </c>
      <c r="BC1482" s="38">
        <f t="shared" si="372"/>
        <v>0</v>
      </c>
      <c r="BD1482" s="38">
        <f t="shared" si="373"/>
        <v>0</v>
      </c>
      <c r="BE1482" s="38">
        <v>0</v>
      </c>
      <c r="BF1482" s="38">
        <f t="shared" si="374"/>
        <v>0</v>
      </c>
      <c r="BH1482" s="80">
        <f t="shared" si="375"/>
        <v>0</v>
      </c>
      <c r="BI1482" s="80">
        <f t="shared" si="376"/>
        <v>0</v>
      </c>
      <c r="BJ1482" s="80">
        <f t="shared" si="377"/>
        <v>0</v>
      </c>
      <c r="BK1482" s="80"/>
      <c r="BL1482" s="38"/>
      <c r="BW1482" s="38">
        <v>21</v>
      </c>
    </row>
    <row r="1483" spans="1:75" ht="27" customHeight="1">
      <c r="A1483" s="78" t="s">
        <v>2925</v>
      </c>
      <c r="B1483" s="79" t="s">
        <v>93</v>
      </c>
      <c r="C1483" s="79" t="s">
        <v>2926</v>
      </c>
      <c r="D1483" s="198" t="s">
        <v>2927</v>
      </c>
      <c r="E1483" s="199"/>
      <c r="F1483" s="79" t="s">
        <v>2567</v>
      </c>
      <c r="G1483" s="80">
        <v>1</v>
      </c>
      <c r="H1483" s="81">
        <v>0</v>
      </c>
      <c r="I1483" s="80">
        <f t="shared" si="354"/>
        <v>0</v>
      </c>
      <c r="J1483" s="80">
        <v>0</v>
      </c>
      <c r="K1483" s="80">
        <f t="shared" si="355"/>
        <v>0</v>
      </c>
      <c r="L1483" s="82" t="s">
        <v>207</v>
      </c>
      <c r="Z1483" s="38">
        <f t="shared" si="356"/>
        <v>0</v>
      </c>
      <c r="AB1483" s="38">
        <f t="shared" si="357"/>
        <v>0</v>
      </c>
      <c r="AC1483" s="38">
        <f t="shared" si="358"/>
        <v>0</v>
      </c>
      <c r="AD1483" s="38">
        <f t="shared" si="359"/>
        <v>0</v>
      </c>
      <c r="AE1483" s="38">
        <f t="shared" si="360"/>
        <v>0</v>
      </c>
      <c r="AF1483" s="38">
        <f t="shared" si="361"/>
        <v>0</v>
      </c>
      <c r="AG1483" s="38">
        <f t="shared" si="362"/>
        <v>0</v>
      </c>
      <c r="AH1483" s="38">
        <f t="shared" si="363"/>
        <v>0</v>
      </c>
      <c r="AI1483" s="50" t="s">
        <v>93</v>
      </c>
      <c r="AJ1483" s="80">
        <f t="shared" si="364"/>
        <v>0</v>
      </c>
      <c r="AK1483" s="80">
        <f t="shared" si="365"/>
        <v>0</v>
      </c>
      <c r="AL1483" s="80">
        <f t="shared" si="366"/>
        <v>0</v>
      </c>
      <c r="AN1483" s="38">
        <v>21</v>
      </c>
      <c r="AO1483" s="38">
        <f t="shared" si="367"/>
        <v>0</v>
      </c>
      <c r="AP1483" s="38">
        <f t="shared" si="368"/>
        <v>0</v>
      </c>
      <c r="AQ1483" s="83" t="s">
        <v>169</v>
      </c>
      <c r="AV1483" s="38">
        <f t="shared" si="369"/>
        <v>0</v>
      </c>
      <c r="AW1483" s="38">
        <f t="shared" si="370"/>
        <v>0</v>
      </c>
      <c r="AX1483" s="38">
        <f t="shared" si="371"/>
        <v>0</v>
      </c>
      <c r="AY1483" s="72" t="s">
        <v>2827</v>
      </c>
      <c r="AZ1483" s="72" t="s">
        <v>2828</v>
      </c>
      <c r="BA1483" s="50" t="s">
        <v>2563</v>
      </c>
      <c r="BC1483" s="38">
        <f t="shared" si="372"/>
        <v>0</v>
      </c>
      <c r="BD1483" s="38">
        <f t="shared" si="373"/>
        <v>0</v>
      </c>
      <c r="BE1483" s="38">
        <v>0</v>
      </c>
      <c r="BF1483" s="38">
        <f t="shared" si="374"/>
        <v>0</v>
      </c>
      <c r="BH1483" s="80">
        <f t="shared" si="375"/>
        <v>0</v>
      </c>
      <c r="BI1483" s="80">
        <f t="shared" si="376"/>
        <v>0</v>
      </c>
      <c r="BJ1483" s="80">
        <f t="shared" si="377"/>
        <v>0</v>
      </c>
      <c r="BK1483" s="80"/>
      <c r="BL1483" s="38"/>
      <c r="BW1483" s="38">
        <v>21</v>
      </c>
    </row>
    <row r="1484" spans="1:75" ht="27" customHeight="1">
      <c r="A1484" s="78" t="s">
        <v>2928</v>
      </c>
      <c r="B1484" s="79" t="s">
        <v>93</v>
      </c>
      <c r="C1484" s="79" t="s">
        <v>2929</v>
      </c>
      <c r="D1484" s="198" t="s">
        <v>2930</v>
      </c>
      <c r="E1484" s="199"/>
      <c r="F1484" s="79" t="s">
        <v>2567</v>
      </c>
      <c r="G1484" s="80">
        <v>1</v>
      </c>
      <c r="H1484" s="81">
        <v>0</v>
      </c>
      <c r="I1484" s="80">
        <f t="shared" si="354"/>
        <v>0</v>
      </c>
      <c r="J1484" s="80">
        <v>0</v>
      </c>
      <c r="K1484" s="80">
        <f t="shared" si="355"/>
        <v>0</v>
      </c>
      <c r="L1484" s="82" t="s">
        <v>207</v>
      </c>
      <c r="Z1484" s="38">
        <f t="shared" si="356"/>
        <v>0</v>
      </c>
      <c r="AB1484" s="38">
        <f t="shared" si="357"/>
        <v>0</v>
      </c>
      <c r="AC1484" s="38">
        <f t="shared" si="358"/>
        <v>0</v>
      </c>
      <c r="AD1484" s="38">
        <f t="shared" si="359"/>
        <v>0</v>
      </c>
      <c r="AE1484" s="38">
        <f t="shared" si="360"/>
        <v>0</v>
      </c>
      <c r="AF1484" s="38">
        <f t="shared" si="361"/>
        <v>0</v>
      </c>
      <c r="AG1484" s="38">
        <f t="shared" si="362"/>
        <v>0</v>
      </c>
      <c r="AH1484" s="38">
        <f t="shared" si="363"/>
        <v>0</v>
      </c>
      <c r="AI1484" s="50" t="s">
        <v>93</v>
      </c>
      <c r="AJ1484" s="80">
        <f t="shared" si="364"/>
        <v>0</v>
      </c>
      <c r="AK1484" s="80">
        <f t="shared" si="365"/>
        <v>0</v>
      </c>
      <c r="AL1484" s="80">
        <f t="shared" si="366"/>
        <v>0</v>
      </c>
      <c r="AN1484" s="38">
        <v>21</v>
      </c>
      <c r="AO1484" s="38">
        <f t="shared" si="367"/>
        <v>0</v>
      </c>
      <c r="AP1484" s="38">
        <f t="shared" si="368"/>
        <v>0</v>
      </c>
      <c r="AQ1484" s="83" t="s">
        <v>169</v>
      </c>
      <c r="AV1484" s="38">
        <f t="shared" si="369"/>
        <v>0</v>
      </c>
      <c r="AW1484" s="38">
        <f t="shared" si="370"/>
        <v>0</v>
      </c>
      <c r="AX1484" s="38">
        <f t="shared" si="371"/>
        <v>0</v>
      </c>
      <c r="AY1484" s="72" t="s">
        <v>2827</v>
      </c>
      <c r="AZ1484" s="72" t="s">
        <v>2828</v>
      </c>
      <c r="BA1484" s="50" t="s">
        <v>2563</v>
      </c>
      <c r="BC1484" s="38">
        <f t="shared" si="372"/>
        <v>0</v>
      </c>
      <c r="BD1484" s="38">
        <f t="shared" si="373"/>
        <v>0</v>
      </c>
      <c r="BE1484" s="38">
        <v>0</v>
      </c>
      <c r="BF1484" s="38">
        <f t="shared" si="374"/>
        <v>0</v>
      </c>
      <c r="BH1484" s="80">
        <f t="shared" si="375"/>
        <v>0</v>
      </c>
      <c r="BI1484" s="80">
        <f t="shared" si="376"/>
        <v>0</v>
      </c>
      <c r="BJ1484" s="80">
        <f t="shared" si="377"/>
        <v>0</v>
      </c>
      <c r="BK1484" s="80"/>
      <c r="BL1484" s="38"/>
      <c r="BW1484" s="38">
        <v>21</v>
      </c>
    </row>
    <row r="1485" spans="1:75" ht="27" customHeight="1">
      <c r="A1485" s="78" t="s">
        <v>2931</v>
      </c>
      <c r="B1485" s="79" t="s">
        <v>93</v>
      </c>
      <c r="C1485" s="79" t="s">
        <v>2877</v>
      </c>
      <c r="D1485" s="198" t="s">
        <v>2878</v>
      </c>
      <c r="E1485" s="199"/>
      <c r="F1485" s="79" t="s">
        <v>2567</v>
      </c>
      <c r="G1485" s="80">
        <v>1</v>
      </c>
      <c r="H1485" s="81">
        <v>0</v>
      </c>
      <c r="I1485" s="80">
        <f t="shared" si="354"/>
        <v>0</v>
      </c>
      <c r="J1485" s="80">
        <v>0</v>
      </c>
      <c r="K1485" s="80">
        <f t="shared" si="355"/>
        <v>0</v>
      </c>
      <c r="L1485" s="82" t="s">
        <v>207</v>
      </c>
      <c r="Z1485" s="38">
        <f t="shared" si="356"/>
        <v>0</v>
      </c>
      <c r="AB1485" s="38">
        <f t="shared" si="357"/>
        <v>0</v>
      </c>
      <c r="AC1485" s="38">
        <f t="shared" si="358"/>
        <v>0</v>
      </c>
      <c r="AD1485" s="38">
        <f t="shared" si="359"/>
        <v>0</v>
      </c>
      <c r="AE1485" s="38">
        <f t="shared" si="360"/>
        <v>0</v>
      </c>
      <c r="AF1485" s="38">
        <f t="shared" si="361"/>
        <v>0</v>
      </c>
      <c r="AG1485" s="38">
        <f t="shared" si="362"/>
        <v>0</v>
      </c>
      <c r="AH1485" s="38">
        <f t="shared" si="363"/>
        <v>0</v>
      </c>
      <c r="AI1485" s="50" t="s">
        <v>93</v>
      </c>
      <c r="AJ1485" s="80">
        <f t="shared" si="364"/>
        <v>0</v>
      </c>
      <c r="AK1485" s="80">
        <f t="shared" si="365"/>
        <v>0</v>
      </c>
      <c r="AL1485" s="80">
        <f t="shared" si="366"/>
        <v>0</v>
      </c>
      <c r="AN1485" s="38">
        <v>21</v>
      </c>
      <c r="AO1485" s="38">
        <f t="shared" si="367"/>
        <v>0</v>
      </c>
      <c r="AP1485" s="38">
        <f t="shared" si="368"/>
        <v>0</v>
      </c>
      <c r="AQ1485" s="83" t="s">
        <v>169</v>
      </c>
      <c r="AV1485" s="38">
        <f t="shared" si="369"/>
        <v>0</v>
      </c>
      <c r="AW1485" s="38">
        <f t="shared" si="370"/>
        <v>0</v>
      </c>
      <c r="AX1485" s="38">
        <f t="shared" si="371"/>
        <v>0</v>
      </c>
      <c r="AY1485" s="72" t="s">
        <v>2827</v>
      </c>
      <c r="AZ1485" s="72" t="s">
        <v>2828</v>
      </c>
      <c r="BA1485" s="50" t="s">
        <v>2563</v>
      </c>
      <c r="BC1485" s="38">
        <f t="shared" si="372"/>
        <v>0</v>
      </c>
      <c r="BD1485" s="38">
        <f t="shared" si="373"/>
        <v>0</v>
      </c>
      <c r="BE1485" s="38">
        <v>0</v>
      </c>
      <c r="BF1485" s="38">
        <f t="shared" si="374"/>
        <v>0</v>
      </c>
      <c r="BH1485" s="80">
        <f t="shared" si="375"/>
        <v>0</v>
      </c>
      <c r="BI1485" s="80">
        <f t="shared" si="376"/>
        <v>0</v>
      </c>
      <c r="BJ1485" s="80">
        <f t="shared" si="377"/>
        <v>0</v>
      </c>
      <c r="BK1485" s="80"/>
      <c r="BL1485" s="38"/>
      <c r="BW1485" s="38">
        <v>21</v>
      </c>
    </row>
    <row r="1486" spans="1:75" ht="13.5" customHeight="1">
      <c r="A1486" s="78" t="s">
        <v>2932</v>
      </c>
      <c r="B1486" s="79" t="s">
        <v>93</v>
      </c>
      <c r="C1486" s="79" t="s">
        <v>2880</v>
      </c>
      <c r="D1486" s="198" t="s">
        <v>2881</v>
      </c>
      <c r="E1486" s="199"/>
      <c r="F1486" s="79" t="s">
        <v>2567</v>
      </c>
      <c r="G1486" s="80">
        <v>3</v>
      </c>
      <c r="H1486" s="81">
        <v>0</v>
      </c>
      <c r="I1486" s="80">
        <f t="shared" si="354"/>
        <v>0</v>
      </c>
      <c r="J1486" s="80">
        <v>0</v>
      </c>
      <c r="K1486" s="80">
        <f t="shared" si="355"/>
        <v>0</v>
      </c>
      <c r="L1486" s="82" t="s">
        <v>207</v>
      </c>
      <c r="Z1486" s="38">
        <f t="shared" si="356"/>
        <v>0</v>
      </c>
      <c r="AB1486" s="38">
        <f t="shared" si="357"/>
        <v>0</v>
      </c>
      <c r="AC1486" s="38">
        <f t="shared" si="358"/>
        <v>0</v>
      </c>
      <c r="AD1486" s="38">
        <f t="shared" si="359"/>
        <v>0</v>
      </c>
      <c r="AE1486" s="38">
        <f t="shared" si="360"/>
        <v>0</v>
      </c>
      <c r="AF1486" s="38">
        <f t="shared" si="361"/>
        <v>0</v>
      </c>
      <c r="AG1486" s="38">
        <f t="shared" si="362"/>
        <v>0</v>
      </c>
      <c r="AH1486" s="38">
        <f t="shared" si="363"/>
        <v>0</v>
      </c>
      <c r="AI1486" s="50" t="s">
        <v>93</v>
      </c>
      <c r="AJ1486" s="80">
        <f t="shared" si="364"/>
        <v>0</v>
      </c>
      <c r="AK1486" s="80">
        <f t="shared" si="365"/>
        <v>0</v>
      </c>
      <c r="AL1486" s="80">
        <f t="shared" si="366"/>
        <v>0</v>
      </c>
      <c r="AN1486" s="38">
        <v>21</v>
      </c>
      <c r="AO1486" s="38">
        <f t="shared" si="367"/>
        <v>0</v>
      </c>
      <c r="AP1486" s="38">
        <f t="shared" si="368"/>
        <v>0</v>
      </c>
      <c r="AQ1486" s="83" t="s">
        <v>169</v>
      </c>
      <c r="AV1486" s="38">
        <f t="shared" si="369"/>
        <v>0</v>
      </c>
      <c r="AW1486" s="38">
        <f t="shared" si="370"/>
        <v>0</v>
      </c>
      <c r="AX1486" s="38">
        <f t="shared" si="371"/>
        <v>0</v>
      </c>
      <c r="AY1486" s="72" t="s">
        <v>2827</v>
      </c>
      <c r="AZ1486" s="72" t="s">
        <v>2828</v>
      </c>
      <c r="BA1486" s="50" t="s">
        <v>2563</v>
      </c>
      <c r="BC1486" s="38">
        <f t="shared" si="372"/>
        <v>0</v>
      </c>
      <c r="BD1486" s="38">
        <f t="shared" si="373"/>
        <v>0</v>
      </c>
      <c r="BE1486" s="38">
        <v>0</v>
      </c>
      <c r="BF1486" s="38">
        <f t="shared" si="374"/>
        <v>0</v>
      </c>
      <c r="BH1486" s="80">
        <f t="shared" si="375"/>
        <v>0</v>
      </c>
      <c r="BI1486" s="80">
        <f t="shared" si="376"/>
        <v>0</v>
      </c>
      <c r="BJ1486" s="80">
        <f t="shared" si="377"/>
        <v>0</v>
      </c>
      <c r="BK1486" s="80"/>
      <c r="BL1486" s="38"/>
      <c r="BW1486" s="38">
        <v>21</v>
      </c>
    </row>
    <row r="1487" spans="1:75" ht="27" customHeight="1">
      <c r="A1487" s="78" t="s">
        <v>2933</v>
      </c>
      <c r="B1487" s="79" t="s">
        <v>93</v>
      </c>
      <c r="C1487" s="79" t="s">
        <v>2934</v>
      </c>
      <c r="D1487" s="198" t="s">
        <v>2935</v>
      </c>
      <c r="E1487" s="199"/>
      <c r="F1487" s="79" t="s">
        <v>2567</v>
      </c>
      <c r="G1487" s="80">
        <v>1</v>
      </c>
      <c r="H1487" s="81">
        <v>0</v>
      </c>
      <c r="I1487" s="80">
        <f t="shared" si="354"/>
        <v>0</v>
      </c>
      <c r="J1487" s="80">
        <v>0</v>
      </c>
      <c r="K1487" s="80">
        <f t="shared" si="355"/>
        <v>0</v>
      </c>
      <c r="L1487" s="82" t="s">
        <v>207</v>
      </c>
      <c r="Z1487" s="38">
        <f t="shared" si="356"/>
        <v>0</v>
      </c>
      <c r="AB1487" s="38">
        <f t="shared" si="357"/>
        <v>0</v>
      </c>
      <c r="AC1487" s="38">
        <f t="shared" si="358"/>
        <v>0</v>
      </c>
      <c r="AD1487" s="38">
        <f t="shared" si="359"/>
        <v>0</v>
      </c>
      <c r="AE1487" s="38">
        <f t="shared" si="360"/>
        <v>0</v>
      </c>
      <c r="AF1487" s="38">
        <f t="shared" si="361"/>
        <v>0</v>
      </c>
      <c r="AG1487" s="38">
        <f t="shared" si="362"/>
        <v>0</v>
      </c>
      <c r="AH1487" s="38">
        <f t="shared" si="363"/>
        <v>0</v>
      </c>
      <c r="AI1487" s="50" t="s">
        <v>93</v>
      </c>
      <c r="AJ1487" s="80">
        <f t="shared" si="364"/>
        <v>0</v>
      </c>
      <c r="AK1487" s="80">
        <f t="shared" si="365"/>
        <v>0</v>
      </c>
      <c r="AL1487" s="80">
        <f t="shared" si="366"/>
        <v>0</v>
      </c>
      <c r="AN1487" s="38">
        <v>21</v>
      </c>
      <c r="AO1487" s="38">
        <f t="shared" si="367"/>
        <v>0</v>
      </c>
      <c r="AP1487" s="38">
        <f t="shared" si="368"/>
        <v>0</v>
      </c>
      <c r="AQ1487" s="83" t="s">
        <v>169</v>
      </c>
      <c r="AV1487" s="38">
        <f t="shared" si="369"/>
        <v>0</v>
      </c>
      <c r="AW1487" s="38">
        <f t="shared" si="370"/>
        <v>0</v>
      </c>
      <c r="AX1487" s="38">
        <f t="shared" si="371"/>
        <v>0</v>
      </c>
      <c r="AY1487" s="72" t="s">
        <v>2827</v>
      </c>
      <c r="AZ1487" s="72" t="s">
        <v>2828</v>
      </c>
      <c r="BA1487" s="50" t="s">
        <v>2563</v>
      </c>
      <c r="BC1487" s="38">
        <f t="shared" si="372"/>
        <v>0</v>
      </c>
      <c r="BD1487" s="38">
        <f t="shared" si="373"/>
        <v>0</v>
      </c>
      <c r="BE1487" s="38">
        <v>0</v>
      </c>
      <c r="BF1487" s="38">
        <f t="shared" si="374"/>
        <v>0</v>
      </c>
      <c r="BH1487" s="80">
        <f t="shared" si="375"/>
        <v>0</v>
      </c>
      <c r="BI1487" s="80">
        <f t="shared" si="376"/>
        <v>0</v>
      </c>
      <c r="BJ1487" s="80">
        <f t="shared" si="377"/>
        <v>0</v>
      </c>
      <c r="BK1487" s="80"/>
      <c r="BL1487" s="38"/>
      <c r="BW1487" s="38">
        <v>21</v>
      </c>
    </row>
    <row r="1488" spans="1:75" ht="27" customHeight="1">
      <c r="A1488" s="78" t="s">
        <v>2936</v>
      </c>
      <c r="B1488" s="79" t="s">
        <v>93</v>
      </c>
      <c r="C1488" s="79" t="s">
        <v>2937</v>
      </c>
      <c r="D1488" s="198" t="s">
        <v>2938</v>
      </c>
      <c r="E1488" s="199"/>
      <c r="F1488" s="79" t="s">
        <v>2567</v>
      </c>
      <c r="G1488" s="80">
        <v>1</v>
      </c>
      <c r="H1488" s="81">
        <v>0</v>
      </c>
      <c r="I1488" s="80">
        <f t="shared" si="354"/>
        <v>0</v>
      </c>
      <c r="J1488" s="80">
        <v>0</v>
      </c>
      <c r="K1488" s="80">
        <f t="shared" si="355"/>
        <v>0</v>
      </c>
      <c r="L1488" s="82" t="s">
        <v>207</v>
      </c>
      <c r="Z1488" s="38">
        <f t="shared" si="356"/>
        <v>0</v>
      </c>
      <c r="AB1488" s="38">
        <f t="shared" si="357"/>
        <v>0</v>
      </c>
      <c r="AC1488" s="38">
        <f t="shared" si="358"/>
        <v>0</v>
      </c>
      <c r="AD1488" s="38">
        <f t="shared" si="359"/>
        <v>0</v>
      </c>
      <c r="AE1488" s="38">
        <f t="shared" si="360"/>
        <v>0</v>
      </c>
      <c r="AF1488" s="38">
        <f t="shared" si="361"/>
        <v>0</v>
      </c>
      <c r="AG1488" s="38">
        <f t="shared" si="362"/>
        <v>0</v>
      </c>
      <c r="AH1488" s="38">
        <f t="shared" si="363"/>
        <v>0</v>
      </c>
      <c r="AI1488" s="50" t="s">
        <v>93</v>
      </c>
      <c r="AJ1488" s="80">
        <f t="shared" si="364"/>
        <v>0</v>
      </c>
      <c r="AK1488" s="80">
        <f t="shared" si="365"/>
        <v>0</v>
      </c>
      <c r="AL1488" s="80">
        <f t="shared" si="366"/>
        <v>0</v>
      </c>
      <c r="AN1488" s="38">
        <v>21</v>
      </c>
      <c r="AO1488" s="38">
        <f t="shared" si="367"/>
        <v>0</v>
      </c>
      <c r="AP1488" s="38">
        <f t="shared" si="368"/>
        <v>0</v>
      </c>
      <c r="AQ1488" s="83" t="s">
        <v>169</v>
      </c>
      <c r="AV1488" s="38">
        <f t="shared" si="369"/>
        <v>0</v>
      </c>
      <c r="AW1488" s="38">
        <f t="shared" si="370"/>
        <v>0</v>
      </c>
      <c r="AX1488" s="38">
        <f t="shared" si="371"/>
        <v>0</v>
      </c>
      <c r="AY1488" s="72" t="s">
        <v>2827</v>
      </c>
      <c r="AZ1488" s="72" t="s">
        <v>2828</v>
      </c>
      <c r="BA1488" s="50" t="s">
        <v>2563</v>
      </c>
      <c r="BC1488" s="38">
        <f t="shared" si="372"/>
        <v>0</v>
      </c>
      <c r="BD1488" s="38">
        <f t="shared" si="373"/>
        <v>0</v>
      </c>
      <c r="BE1488" s="38">
        <v>0</v>
      </c>
      <c r="BF1488" s="38">
        <f t="shared" si="374"/>
        <v>0</v>
      </c>
      <c r="BH1488" s="80">
        <f t="shared" si="375"/>
        <v>0</v>
      </c>
      <c r="BI1488" s="80">
        <f t="shared" si="376"/>
        <v>0</v>
      </c>
      <c r="BJ1488" s="80">
        <f t="shared" si="377"/>
        <v>0</v>
      </c>
      <c r="BK1488" s="80"/>
      <c r="BL1488" s="38"/>
      <c r="BW1488" s="38">
        <v>21</v>
      </c>
    </row>
    <row r="1489" spans="1:75" ht="13.5" customHeight="1">
      <c r="A1489" s="78" t="s">
        <v>2939</v>
      </c>
      <c r="B1489" s="79" t="s">
        <v>93</v>
      </c>
      <c r="C1489" s="79" t="s">
        <v>2940</v>
      </c>
      <c r="D1489" s="198" t="s">
        <v>2941</v>
      </c>
      <c r="E1489" s="199"/>
      <c r="F1489" s="79" t="s">
        <v>2567</v>
      </c>
      <c r="G1489" s="80">
        <v>1</v>
      </c>
      <c r="H1489" s="81">
        <v>0</v>
      </c>
      <c r="I1489" s="80">
        <f t="shared" si="354"/>
        <v>0</v>
      </c>
      <c r="J1489" s="80">
        <v>0</v>
      </c>
      <c r="K1489" s="80">
        <f t="shared" si="355"/>
        <v>0</v>
      </c>
      <c r="L1489" s="82" t="s">
        <v>207</v>
      </c>
      <c r="Z1489" s="38">
        <f t="shared" si="356"/>
        <v>0</v>
      </c>
      <c r="AB1489" s="38">
        <f t="shared" si="357"/>
        <v>0</v>
      </c>
      <c r="AC1489" s="38">
        <f t="shared" si="358"/>
        <v>0</v>
      </c>
      <c r="AD1489" s="38">
        <f t="shared" si="359"/>
        <v>0</v>
      </c>
      <c r="AE1489" s="38">
        <f t="shared" si="360"/>
        <v>0</v>
      </c>
      <c r="AF1489" s="38">
        <f t="shared" si="361"/>
        <v>0</v>
      </c>
      <c r="AG1489" s="38">
        <f t="shared" si="362"/>
        <v>0</v>
      </c>
      <c r="AH1489" s="38">
        <f t="shared" si="363"/>
        <v>0</v>
      </c>
      <c r="AI1489" s="50" t="s">
        <v>93</v>
      </c>
      <c r="AJ1489" s="80">
        <f t="shared" si="364"/>
        <v>0</v>
      </c>
      <c r="AK1489" s="80">
        <f t="shared" si="365"/>
        <v>0</v>
      </c>
      <c r="AL1489" s="80">
        <f t="shared" si="366"/>
        <v>0</v>
      </c>
      <c r="AN1489" s="38">
        <v>21</v>
      </c>
      <c r="AO1489" s="38">
        <f t="shared" si="367"/>
        <v>0</v>
      </c>
      <c r="AP1489" s="38">
        <f t="shared" si="368"/>
        <v>0</v>
      </c>
      <c r="AQ1489" s="83" t="s">
        <v>169</v>
      </c>
      <c r="AV1489" s="38">
        <f t="shared" si="369"/>
        <v>0</v>
      </c>
      <c r="AW1489" s="38">
        <f t="shared" si="370"/>
        <v>0</v>
      </c>
      <c r="AX1489" s="38">
        <f t="shared" si="371"/>
        <v>0</v>
      </c>
      <c r="AY1489" s="72" t="s">
        <v>2827</v>
      </c>
      <c r="AZ1489" s="72" t="s">
        <v>2828</v>
      </c>
      <c r="BA1489" s="50" t="s">
        <v>2563</v>
      </c>
      <c r="BC1489" s="38">
        <f t="shared" si="372"/>
        <v>0</v>
      </c>
      <c r="BD1489" s="38">
        <f t="shared" si="373"/>
        <v>0</v>
      </c>
      <c r="BE1489" s="38">
        <v>0</v>
      </c>
      <c r="BF1489" s="38">
        <f t="shared" si="374"/>
        <v>0</v>
      </c>
      <c r="BH1489" s="80">
        <f t="shared" si="375"/>
        <v>0</v>
      </c>
      <c r="BI1489" s="80">
        <f t="shared" si="376"/>
        <v>0</v>
      </c>
      <c r="BJ1489" s="80">
        <f t="shared" si="377"/>
        <v>0</v>
      </c>
      <c r="BK1489" s="80"/>
      <c r="BL1489" s="38"/>
      <c r="BW1489" s="38">
        <v>21</v>
      </c>
    </row>
    <row r="1490" spans="1:75" ht="27" customHeight="1">
      <c r="A1490" s="78" t="s">
        <v>2942</v>
      </c>
      <c r="B1490" s="79" t="s">
        <v>93</v>
      </c>
      <c r="C1490" s="79" t="s">
        <v>2943</v>
      </c>
      <c r="D1490" s="198" t="s">
        <v>2944</v>
      </c>
      <c r="E1490" s="199"/>
      <c r="F1490" s="79" t="s">
        <v>2567</v>
      </c>
      <c r="G1490" s="80">
        <v>1</v>
      </c>
      <c r="H1490" s="81">
        <v>0</v>
      </c>
      <c r="I1490" s="80">
        <f t="shared" si="354"/>
        <v>0</v>
      </c>
      <c r="J1490" s="80">
        <v>0</v>
      </c>
      <c r="K1490" s="80">
        <f t="shared" si="355"/>
        <v>0</v>
      </c>
      <c r="L1490" s="82" t="s">
        <v>207</v>
      </c>
      <c r="Z1490" s="38">
        <f t="shared" si="356"/>
        <v>0</v>
      </c>
      <c r="AB1490" s="38">
        <f t="shared" si="357"/>
        <v>0</v>
      </c>
      <c r="AC1490" s="38">
        <f t="shared" si="358"/>
        <v>0</v>
      </c>
      <c r="AD1490" s="38">
        <f t="shared" si="359"/>
        <v>0</v>
      </c>
      <c r="AE1490" s="38">
        <f t="shared" si="360"/>
        <v>0</v>
      </c>
      <c r="AF1490" s="38">
        <f t="shared" si="361"/>
        <v>0</v>
      </c>
      <c r="AG1490" s="38">
        <f t="shared" si="362"/>
        <v>0</v>
      </c>
      <c r="AH1490" s="38">
        <f t="shared" si="363"/>
        <v>0</v>
      </c>
      <c r="AI1490" s="50" t="s">
        <v>93</v>
      </c>
      <c r="AJ1490" s="80">
        <f t="shared" si="364"/>
        <v>0</v>
      </c>
      <c r="AK1490" s="80">
        <f t="shared" si="365"/>
        <v>0</v>
      </c>
      <c r="AL1490" s="80">
        <f t="shared" si="366"/>
        <v>0</v>
      </c>
      <c r="AN1490" s="38">
        <v>21</v>
      </c>
      <c r="AO1490" s="38">
        <f t="shared" si="367"/>
        <v>0</v>
      </c>
      <c r="AP1490" s="38">
        <f t="shared" si="368"/>
        <v>0</v>
      </c>
      <c r="AQ1490" s="83" t="s">
        <v>169</v>
      </c>
      <c r="AV1490" s="38">
        <f t="shared" si="369"/>
        <v>0</v>
      </c>
      <c r="AW1490" s="38">
        <f t="shared" si="370"/>
        <v>0</v>
      </c>
      <c r="AX1490" s="38">
        <f t="shared" si="371"/>
        <v>0</v>
      </c>
      <c r="AY1490" s="72" t="s">
        <v>2827</v>
      </c>
      <c r="AZ1490" s="72" t="s">
        <v>2828</v>
      </c>
      <c r="BA1490" s="50" t="s">
        <v>2563</v>
      </c>
      <c r="BC1490" s="38">
        <f t="shared" si="372"/>
        <v>0</v>
      </c>
      <c r="BD1490" s="38">
        <f t="shared" si="373"/>
        <v>0</v>
      </c>
      <c r="BE1490" s="38">
        <v>0</v>
      </c>
      <c r="BF1490" s="38">
        <f t="shared" si="374"/>
        <v>0</v>
      </c>
      <c r="BH1490" s="80">
        <f t="shared" si="375"/>
        <v>0</v>
      </c>
      <c r="BI1490" s="80">
        <f t="shared" si="376"/>
        <v>0</v>
      </c>
      <c r="BJ1490" s="80">
        <f t="shared" si="377"/>
        <v>0</v>
      </c>
      <c r="BK1490" s="80"/>
      <c r="BL1490" s="38"/>
      <c r="BW1490" s="38">
        <v>21</v>
      </c>
    </row>
    <row r="1491" spans="1:75" ht="27" customHeight="1">
      <c r="A1491" s="78" t="s">
        <v>2945</v>
      </c>
      <c r="B1491" s="79" t="s">
        <v>93</v>
      </c>
      <c r="C1491" s="79" t="s">
        <v>2886</v>
      </c>
      <c r="D1491" s="198" t="s">
        <v>2887</v>
      </c>
      <c r="E1491" s="199"/>
      <c r="F1491" s="79" t="s">
        <v>2567</v>
      </c>
      <c r="G1491" s="80">
        <v>2</v>
      </c>
      <c r="H1491" s="81">
        <v>0</v>
      </c>
      <c r="I1491" s="80">
        <f t="shared" si="354"/>
        <v>0</v>
      </c>
      <c r="J1491" s="80">
        <v>0</v>
      </c>
      <c r="K1491" s="80">
        <f t="shared" si="355"/>
        <v>0</v>
      </c>
      <c r="L1491" s="82" t="s">
        <v>207</v>
      </c>
      <c r="Z1491" s="38">
        <f t="shared" si="356"/>
        <v>0</v>
      </c>
      <c r="AB1491" s="38">
        <f t="shared" si="357"/>
        <v>0</v>
      </c>
      <c r="AC1491" s="38">
        <f t="shared" si="358"/>
        <v>0</v>
      </c>
      <c r="AD1491" s="38">
        <f t="shared" si="359"/>
        <v>0</v>
      </c>
      <c r="AE1491" s="38">
        <f t="shared" si="360"/>
        <v>0</v>
      </c>
      <c r="AF1491" s="38">
        <f t="shared" si="361"/>
        <v>0</v>
      </c>
      <c r="AG1491" s="38">
        <f t="shared" si="362"/>
        <v>0</v>
      </c>
      <c r="AH1491" s="38">
        <f t="shared" si="363"/>
        <v>0</v>
      </c>
      <c r="AI1491" s="50" t="s">
        <v>93</v>
      </c>
      <c r="AJ1491" s="80">
        <f t="shared" si="364"/>
        <v>0</v>
      </c>
      <c r="AK1491" s="80">
        <f t="shared" si="365"/>
        <v>0</v>
      </c>
      <c r="AL1491" s="80">
        <f t="shared" si="366"/>
        <v>0</v>
      </c>
      <c r="AN1491" s="38">
        <v>21</v>
      </c>
      <c r="AO1491" s="38">
        <f t="shared" si="367"/>
        <v>0</v>
      </c>
      <c r="AP1491" s="38">
        <f t="shared" si="368"/>
        <v>0</v>
      </c>
      <c r="AQ1491" s="83" t="s">
        <v>169</v>
      </c>
      <c r="AV1491" s="38">
        <f t="shared" si="369"/>
        <v>0</v>
      </c>
      <c r="AW1491" s="38">
        <f t="shared" si="370"/>
        <v>0</v>
      </c>
      <c r="AX1491" s="38">
        <f t="shared" si="371"/>
        <v>0</v>
      </c>
      <c r="AY1491" s="72" t="s">
        <v>2827</v>
      </c>
      <c r="AZ1491" s="72" t="s">
        <v>2828</v>
      </c>
      <c r="BA1491" s="50" t="s">
        <v>2563</v>
      </c>
      <c r="BC1491" s="38">
        <f t="shared" si="372"/>
        <v>0</v>
      </c>
      <c r="BD1491" s="38">
        <f t="shared" si="373"/>
        <v>0</v>
      </c>
      <c r="BE1491" s="38">
        <v>0</v>
      </c>
      <c r="BF1491" s="38">
        <f t="shared" si="374"/>
        <v>0</v>
      </c>
      <c r="BH1491" s="80">
        <f t="shared" si="375"/>
        <v>0</v>
      </c>
      <c r="BI1491" s="80">
        <f t="shared" si="376"/>
        <v>0</v>
      </c>
      <c r="BJ1491" s="80">
        <f t="shared" si="377"/>
        <v>0</v>
      </c>
      <c r="BK1491" s="80"/>
      <c r="BL1491" s="38"/>
      <c r="BW1491" s="38">
        <v>21</v>
      </c>
    </row>
    <row r="1492" spans="1:75" ht="27" customHeight="1">
      <c r="A1492" s="78" t="s">
        <v>2946</v>
      </c>
      <c r="B1492" s="79" t="s">
        <v>93</v>
      </c>
      <c r="C1492" s="79" t="s">
        <v>2889</v>
      </c>
      <c r="D1492" s="198" t="s">
        <v>2890</v>
      </c>
      <c r="E1492" s="199"/>
      <c r="F1492" s="79" t="s">
        <v>2567</v>
      </c>
      <c r="G1492" s="80">
        <v>9</v>
      </c>
      <c r="H1492" s="81">
        <v>0</v>
      </c>
      <c r="I1492" s="80">
        <f t="shared" si="354"/>
        <v>0</v>
      </c>
      <c r="J1492" s="80">
        <v>0</v>
      </c>
      <c r="K1492" s="80">
        <f t="shared" si="355"/>
        <v>0</v>
      </c>
      <c r="L1492" s="82" t="s">
        <v>207</v>
      </c>
      <c r="Z1492" s="38">
        <f t="shared" si="356"/>
        <v>0</v>
      </c>
      <c r="AB1492" s="38">
        <f t="shared" si="357"/>
        <v>0</v>
      </c>
      <c r="AC1492" s="38">
        <f t="shared" si="358"/>
        <v>0</v>
      </c>
      <c r="AD1492" s="38">
        <f t="shared" si="359"/>
        <v>0</v>
      </c>
      <c r="AE1492" s="38">
        <f t="shared" si="360"/>
        <v>0</v>
      </c>
      <c r="AF1492" s="38">
        <f t="shared" si="361"/>
        <v>0</v>
      </c>
      <c r="AG1492" s="38">
        <f t="shared" si="362"/>
        <v>0</v>
      </c>
      <c r="AH1492" s="38">
        <f t="shared" si="363"/>
        <v>0</v>
      </c>
      <c r="AI1492" s="50" t="s">
        <v>93</v>
      </c>
      <c r="AJ1492" s="80">
        <f t="shared" si="364"/>
        <v>0</v>
      </c>
      <c r="AK1492" s="80">
        <f t="shared" si="365"/>
        <v>0</v>
      </c>
      <c r="AL1492" s="80">
        <f t="shared" si="366"/>
        <v>0</v>
      </c>
      <c r="AN1492" s="38">
        <v>21</v>
      </c>
      <c r="AO1492" s="38">
        <f t="shared" si="367"/>
        <v>0</v>
      </c>
      <c r="AP1492" s="38">
        <f t="shared" si="368"/>
        <v>0</v>
      </c>
      <c r="AQ1492" s="83" t="s">
        <v>169</v>
      </c>
      <c r="AV1492" s="38">
        <f t="shared" si="369"/>
        <v>0</v>
      </c>
      <c r="AW1492" s="38">
        <f t="shared" si="370"/>
        <v>0</v>
      </c>
      <c r="AX1492" s="38">
        <f t="shared" si="371"/>
        <v>0</v>
      </c>
      <c r="AY1492" s="72" t="s">
        <v>2827</v>
      </c>
      <c r="AZ1492" s="72" t="s">
        <v>2828</v>
      </c>
      <c r="BA1492" s="50" t="s">
        <v>2563</v>
      </c>
      <c r="BC1492" s="38">
        <f t="shared" si="372"/>
        <v>0</v>
      </c>
      <c r="BD1492" s="38">
        <f t="shared" si="373"/>
        <v>0</v>
      </c>
      <c r="BE1492" s="38">
        <v>0</v>
      </c>
      <c r="BF1492" s="38">
        <f t="shared" si="374"/>
        <v>0</v>
      </c>
      <c r="BH1492" s="80">
        <f t="shared" si="375"/>
        <v>0</v>
      </c>
      <c r="BI1492" s="80">
        <f t="shared" si="376"/>
        <v>0</v>
      </c>
      <c r="BJ1492" s="80">
        <f t="shared" si="377"/>
        <v>0</v>
      </c>
      <c r="BK1492" s="80"/>
      <c r="BL1492" s="38"/>
      <c r="BW1492" s="38">
        <v>21</v>
      </c>
    </row>
    <row r="1493" spans="1:75" ht="27" customHeight="1">
      <c r="A1493" s="78" t="s">
        <v>2947</v>
      </c>
      <c r="B1493" s="79" t="s">
        <v>93</v>
      </c>
      <c r="C1493" s="79" t="s">
        <v>2892</v>
      </c>
      <c r="D1493" s="198" t="s">
        <v>2893</v>
      </c>
      <c r="E1493" s="199"/>
      <c r="F1493" s="79" t="s">
        <v>2567</v>
      </c>
      <c r="G1493" s="80">
        <v>16</v>
      </c>
      <c r="H1493" s="81">
        <v>0</v>
      </c>
      <c r="I1493" s="80">
        <f t="shared" si="354"/>
        <v>0</v>
      </c>
      <c r="J1493" s="80">
        <v>0</v>
      </c>
      <c r="K1493" s="80">
        <f t="shared" si="355"/>
        <v>0</v>
      </c>
      <c r="L1493" s="82" t="s">
        <v>207</v>
      </c>
      <c r="Z1493" s="38">
        <f t="shared" si="356"/>
        <v>0</v>
      </c>
      <c r="AB1493" s="38">
        <f t="shared" si="357"/>
        <v>0</v>
      </c>
      <c r="AC1493" s="38">
        <f t="shared" si="358"/>
        <v>0</v>
      </c>
      <c r="AD1493" s="38">
        <f t="shared" si="359"/>
        <v>0</v>
      </c>
      <c r="AE1493" s="38">
        <f t="shared" si="360"/>
        <v>0</v>
      </c>
      <c r="AF1493" s="38">
        <f t="shared" si="361"/>
        <v>0</v>
      </c>
      <c r="AG1493" s="38">
        <f t="shared" si="362"/>
        <v>0</v>
      </c>
      <c r="AH1493" s="38">
        <f t="shared" si="363"/>
        <v>0</v>
      </c>
      <c r="AI1493" s="50" t="s">
        <v>93</v>
      </c>
      <c r="AJ1493" s="80">
        <f t="shared" si="364"/>
        <v>0</v>
      </c>
      <c r="AK1493" s="80">
        <f t="shared" si="365"/>
        <v>0</v>
      </c>
      <c r="AL1493" s="80">
        <f t="shared" si="366"/>
        <v>0</v>
      </c>
      <c r="AN1493" s="38">
        <v>21</v>
      </c>
      <c r="AO1493" s="38">
        <f t="shared" si="367"/>
        <v>0</v>
      </c>
      <c r="AP1493" s="38">
        <f t="shared" si="368"/>
        <v>0</v>
      </c>
      <c r="AQ1493" s="83" t="s">
        <v>169</v>
      </c>
      <c r="AV1493" s="38">
        <f t="shared" si="369"/>
        <v>0</v>
      </c>
      <c r="AW1493" s="38">
        <f t="shared" si="370"/>
        <v>0</v>
      </c>
      <c r="AX1493" s="38">
        <f t="shared" si="371"/>
        <v>0</v>
      </c>
      <c r="AY1493" s="72" t="s">
        <v>2827</v>
      </c>
      <c r="AZ1493" s="72" t="s">
        <v>2828</v>
      </c>
      <c r="BA1493" s="50" t="s">
        <v>2563</v>
      </c>
      <c r="BC1493" s="38">
        <f t="shared" si="372"/>
        <v>0</v>
      </c>
      <c r="BD1493" s="38">
        <f t="shared" si="373"/>
        <v>0</v>
      </c>
      <c r="BE1493" s="38">
        <v>0</v>
      </c>
      <c r="BF1493" s="38">
        <f t="shared" si="374"/>
        <v>0</v>
      </c>
      <c r="BH1493" s="80">
        <f t="shared" si="375"/>
        <v>0</v>
      </c>
      <c r="BI1493" s="80">
        <f t="shared" si="376"/>
        <v>0</v>
      </c>
      <c r="BJ1493" s="80">
        <f t="shared" si="377"/>
        <v>0</v>
      </c>
      <c r="BK1493" s="80"/>
      <c r="BL1493" s="38"/>
      <c r="BW1493" s="38">
        <v>21</v>
      </c>
    </row>
    <row r="1494" spans="1:75" ht="27" customHeight="1">
      <c r="A1494" s="78" t="s">
        <v>2948</v>
      </c>
      <c r="B1494" s="79" t="s">
        <v>93</v>
      </c>
      <c r="C1494" s="79" t="s">
        <v>2949</v>
      </c>
      <c r="D1494" s="198" t="s">
        <v>2950</v>
      </c>
      <c r="E1494" s="199"/>
      <c r="F1494" s="79" t="s">
        <v>2567</v>
      </c>
      <c r="G1494" s="80">
        <v>2</v>
      </c>
      <c r="H1494" s="81">
        <v>0</v>
      </c>
      <c r="I1494" s="80">
        <f t="shared" si="354"/>
        <v>0</v>
      </c>
      <c r="J1494" s="80">
        <v>0</v>
      </c>
      <c r="K1494" s="80">
        <f t="shared" si="355"/>
        <v>0</v>
      </c>
      <c r="L1494" s="82" t="s">
        <v>207</v>
      </c>
      <c r="Z1494" s="38">
        <f t="shared" si="356"/>
        <v>0</v>
      </c>
      <c r="AB1494" s="38">
        <f t="shared" si="357"/>
        <v>0</v>
      </c>
      <c r="AC1494" s="38">
        <f t="shared" si="358"/>
        <v>0</v>
      </c>
      <c r="AD1494" s="38">
        <f t="shared" si="359"/>
        <v>0</v>
      </c>
      <c r="AE1494" s="38">
        <f t="shared" si="360"/>
        <v>0</v>
      </c>
      <c r="AF1494" s="38">
        <f t="shared" si="361"/>
        <v>0</v>
      </c>
      <c r="AG1494" s="38">
        <f t="shared" si="362"/>
        <v>0</v>
      </c>
      <c r="AH1494" s="38">
        <f t="shared" si="363"/>
        <v>0</v>
      </c>
      <c r="AI1494" s="50" t="s">
        <v>93</v>
      </c>
      <c r="AJ1494" s="80">
        <f t="shared" si="364"/>
        <v>0</v>
      </c>
      <c r="AK1494" s="80">
        <f t="shared" si="365"/>
        <v>0</v>
      </c>
      <c r="AL1494" s="80">
        <f t="shared" si="366"/>
        <v>0</v>
      </c>
      <c r="AN1494" s="38">
        <v>21</v>
      </c>
      <c r="AO1494" s="38">
        <f t="shared" si="367"/>
        <v>0</v>
      </c>
      <c r="AP1494" s="38">
        <f t="shared" si="368"/>
        <v>0</v>
      </c>
      <c r="AQ1494" s="83" t="s">
        <v>169</v>
      </c>
      <c r="AV1494" s="38">
        <f t="shared" si="369"/>
        <v>0</v>
      </c>
      <c r="AW1494" s="38">
        <f t="shared" si="370"/>
        <v>0</v>
      </c>
      <c r="AX1494" s="38">
        <f t="shared" si="371"/>
        <v>0</v>
      </c>
      <c r="AY1494" s="72" t="s">
        <v>2827</v>
      </c>
      <c r="AZ1494" s="72" t="s">
        <v>2828</v>
      </c>
      <c r="BA1494" s="50" t="s">
        <v>2563</v>
      </c>
      <c r="BC1494" s="38">
        <f t="shared" si="372"/>
        <v>0</v>
      </c>
      <c r="BD1494" s="38">
        <f t="shared" si="373"/>
        <v>0</v>
      </c>
      <c r="BE1494" s="38">
        <v>0</v>
      </c>
      <c r="BF1494" s="38">
        <f t="shared" si="374"/>
        <v>0</v>
      </c>
      <c r="BH1494" s="80">
        <f t="shared" si="375"/>
        <v>0</v>
      </c>
      <c r="BI1494" s="80">
        <f t="shared" si="376"/>
        <v>0</v>
      </c>
      <c r="BJ1494" s="80">
        <f t="shared" si="377"/>
        <v>0</v>
      </c>
      <c r="BK1494" s="80"/>
      <c r="BL1494" s="38"/>
      <c r="BW1494" s="38">
        <v>21</v>
      </c>
    </row>
    <row r="1495" spans="1:75" ht="13.5" customHeight="1">
      <c r="A1495" s="78" t="s">
        <v>2951</v>
      </c>
      <c r="B1495" s="79" t="s">
        <v>93</v>
      </c>
      <c r="C1495" s="79" t="s">
        <v>2895</v>
      </c>
      <c r="D1495" s="198" t="s">
        <v>2896</v>
      </c>
      <c r="E1495" s="199"/>
      <c r="F1495" s="79" t="s">
        <v>2567</v>
      </c>
      <c r="G1495" s="80">
        <v>1</v>
      </c>
      <c r="H1495" s="81">
        <v>0</v>
      </c>
      <c r="I1495" s="80">
        <f t="shared" si="354"/>
        <v>0</v>
      </c>
      <c r="J1495" s="80">
        <v>0</v>
      </c>
      <c r="K1495" s="80">
        <f t="shared" si="355"/>
        <v>0</v>
      </c>
      <c r="L1495" s="82" t="s">
        <v>207</v>
      </c>
      <c r="Z1495" s="38">
        <f t="shared" si="356"/>
        <v>0</v>
      </c>
      <c r="AB1495" s="38">
        <f t="shared" si="357"/>
        <v>0</v>
      </c>
      <c r="AC1495" s="38">
        <f t="shared" si="358"/>
        <v>0</v>
      </c>
      <c r="AD1495" s="38">
        <f t="shared" si="359"/>
        <v>0</v>
      </c>
      <c r="AE1495" s="38">
        <f t="shared" si="360"/>
        <v>0</v>
      </c>
      <c r="AF1495" s="38">
        <f t="shared" si="361"/>
        <v>0</v>
      </c>
      <c r="AG1495" s="38">
        <f t="shared" si="362"/>
        <v>0</v>
      </c>
      <c r="AH1495" s="38">
        <f t="shared" si="363"/>
        <v>0</v>
      </c>
      <c r="AI1495" s="50" t="s">
        <v>93</v>
      </c>
      <c r="AJ1495" s="80">
        <f t="shared" si="364"/>
        <v>0</v>
      </c>
      <c r="AK1495" s="80">
        <f t="shared" si="365"/>
        <v>0</v>
      </c>
      <c r="AL1495" s="80">
        <f t="shared" si="366"/>
        <v>0</v>
      </c>
      <c r="AN1495" s="38">
        <v>21</v>
      </c>
      <c r="AO1495" s="38">
        <f t="shared" si="367"/>
        <v>0</v>
      </c>
      <c r="AP1495" s="38">
        <f t="shared" si="368"/>
        <v>0</v>
      </c>
      <c r="AQ1495" s="83" t="s">
        <v>169</v>
      </c>
      <c r="AV1495" s="38">
        <f t="shared" si="369"/>
        <v>0</v>
      </c>
      <c r="AW1495" s="38">
        <f t="shared" si="370"/>
        <v>0</v>
      </c>
      <c r="AX1495" s="38">
        <f t="shared" si="371"/>
        <v>0</v>
      </c>
      <c r="AY1495" s="72" t="s">
        <v>2827</v>
      </c>
      <c r="AZ1495" s="72" t="s">
        <v>2828</v>
      </c>
      <c r="BA1495" s="50" t="s">
        <v>2563</v>
      </c>
      <c r="BC1495" s="38">
        <f t="shared" si="372"/>
        <v>0</v>
      </c>
      <c r="BD1495" s="38">
        <f t="shared" si="373"/>
        <v>0</v>
      </c>
      <c r="BE1495" s="38">
        <v>0</v>
      </c>
      <c r="BF1495" s="38">
        <f t="shared" si="374"/>
        <v>0</v>
      </c>
      <c r="BH1495" s="80">
        <f t="shared" si="375"/>
        <v>0</v>
      </c>
      <c r="BI1495" s="80">
        <f t="shared" si="376"/>
        <v>0</v>
      </c>
      <c r="BJ1495" s="80">
        <f t="shared" si="377"/>
        <v>0</v>
      </c>
      <c r="BK1495" s="80"/>
      <c r="BL1495" s="38"/>
      <c r="BW1495" s="38">
        <v>21</v>
      </c>
    </row>
    <row r="1496" spans="1:75" ht="27" customHeight="1">
      <c r="A1496" s="78" t="s">
        <v>2952</v>
      </c>
      <c r="B1496" s="79" t="s">
        <v>93</v>
      </c>
      <c r="C1496" s="79" t="s">
        <v>2898</v>
      </c>
      <c r="D1496" s="198" t="s">
        <v>2899</v>
      </c>
      <c r="E1496" s="199"/>
      <c r="F1496" s="79" t="s">
        <v>2567</v>
      </c>
      <c r="G1496" s="80">
        <v>1</v>
      </c>
      <c r="H1496" s="81">
        <v>0</v>
      </c>
      <c r="I1496" s="80">
        <f t="shared" si="354"/>
        <v>0</v>
      </c>
      <c r="J1496" s="80">
        <v>0</v>
      </c>
      <c r="K1496" s="80">
        <f t="shared" si="355"/>
        <v>0</v>
      </c>
      <c r="L1496" s="82" t="s">
        <v>207</v>
      </c>
      <c r="Z1496" s="38">
        <f t="shared" si="356"/>
        <v>0</v>
      </c>
      <c r="AB1496" s="38">
        <f t="shared" si="357"/>
        <v>0</v>
      </c>
      <c r="AC1496" s="38">
        <f t="shared" si="358"/>
        <v>0</v>
      </c>
      <c r="AD1496" s="38">
        <f t="shared" si="359"/>
        <v>0</v>
      </c>
      <c r="AE1496" s="38">
        <f t="shared" si="360"/>
        <v>0</v>
      </c>
      <c r="AF1496" s="38">
        <f t="shared" si="361"/>
        <v>0</v>
      </c>
      <c r="AG1496" s="38">
        <f t="shared" si="362"/>
        <v>0</v>
      </c>
      <c r="AH1496" s="38">
        <f t="shared" si="363"/>
        <v>0</v>
      </c>
      <c r="AI1496" s="50" t="s">
        <v>93</v>
      </c>
      <c r="AJ1496" s="80">
        <f t="shared" si="364"/>
        <v>0</v>
      </c>
      <c r="AK1496" s="80">
        <f t="shared" si="365"/>
        <v>0</v>
      </c>
      <c r="AL1496" s="80">
        <f t="shared" si="366"/>
        <v>0</v>
      </c>
      <c r="AN1496" s="38">
        <v>21</v>
      </c>
      <c r="AO1496" s="38">
        <f t="shared" si="367"/>
        <v>0</v>
      </c>
      <c r="AP1496" s="38">
        <f t="shared" si="368"/>
        <v>0</v>
      </c>
      <c r="AQ1496" s="83" t="s">
        <v>169</v>
      </c>
      <c r="AV1496" s="38">
        <f t="shared" si="369"/>
        <v>0</v>
      </c>
      <c r="AW1496" s="38">
        <f t="shared" si="370"/>
        <v>0</v>
      </c>
      <c r="AX1496" s="38">
        <f t="shared" si="371"/>
        <v>0</v>
      </c>
      <c r="AY1496" s="72" t="s">
        <v>2827</v>
      </c>
      <c r="AZ1496" s="72" t="s">
        <v>2828</v>
      </c>
      <c r="BA1496" s="50" t="s">
        <v>2563</v>
      </c>
      <c r="BC1496" s="38">
        <f t="shared" si="372"/>
        <v>0</v>
      </c>
      <c r="BD1496" s="38">
        <f t="shared" si="373"/>
        <v>0</v>
      </c>
      <c r="BE1496" s="38">
        <v>0</v>
      </c>
      <c r="BF1496" s="38">
        <f t="shared" si="374"/>
        <v>0</v>
      </c>
      <c r="BH1496" s="80">
        <f t="shared" si="375"/>
        <v>0</v>
      </c>
      <c r="BI1496" s="80">
        <f t="shared" si="376"/>
        <v>0</v>
      </c>
      <c r="BJ1496" s="80">
        <f t="shared" si="377"/>
        <v>0</v>
      </c>
      <c r="BK1496" s="80"/>
      <c r="BL1496" s="38"/>
      <c r="BW1496" s="38">
        <v>21</v>
      </c>
    </row>
    <row r="1497" spans="1:75" ht="27" customHeight="1">
      <c r="A1497" s="78" t="s">
        <v>2953</v>
      </c>
      <c r="B1497" s="79" t="s">
        <v>93</v>
      </c>
      <c r="C1497" s="79" t="s">
        <v>2901</v>
      </c>
      <c r="D1497" s="198" t="s">
        <v>2902</v>
      </c>
      <c r="E1497" s="199"/>
      <c r="F1497" s="79" t="s">
        <v>2567</v>
      </c>
      <c r="G1497" s="80">
        <v>1</v>
      </c>
      <c r="H1497" s="81">
        <v>0</v>
      </c>
      <c r="I1497" s="80">
        <f t="shared" si="354"/>
        <v>0</v>
      </c>
      <c r="J1497" s="80">
        <v>0</v>
      </c>
      <c r="K1497" s="80">
        <f t="shared" si="355"/>
        <v>0</v>
      </c>
      <c r="L1497" s="82" t="s">
        <v>207</v>
      </c>
      <c r="Z1497" s="38">
        <f t="shared" si="356"/>
        <v>0</v>
      </c>
      <c r="AB1497" s="38">
        <f t="shared" si="357"/>
        <v>0</v>
      </c>
      <c r="AC1497" s="38">
        <f t="shared" si="358"/>
        <v>0</v>
      </c>
      <c r="AD1497" s="38">
        <f t="shared" si="359"/>
        <v>0</v>
      </c>
      <c r="AE1497" s="38">
        <f t="shared" si="360"/>
        <v>0</v>
      </c>
      <c r="AF1497" s="38">
        <f t="shared" si="361"/>
        <v>0</v>
      </c>
      <c r="AG1497" s="38">
        <f t="shared" si="362"/>
        <v>0</v>
      </c>
      <c r="AH1497" s="38">
        <f t="shared" si="363"/>
        <v>0</v>
      </c>
      <c r="AI1497" s="50" t="s">
        <v>93</v>
      </c>
      <c r="AJ1497" s="80">
        <f t="shared" si="364"/>
        <v>0</v>
      </c>
      <c r="AK1497" s="80">
        <f t="shared" si="365"/>
        <v>0</v>
      </c>
      <c r="AL1497" s="80">
        <f t="shared" si="366"/>
        <v>0</v>
      </c>
      <c r="AN1497" s="38">
        <v>21</v>
      </c>
      <c r="AO1497" s="38">
        <f t="shared" si="367"/>
        <v>0</v>
      </c>
      <c r="AP1497" s="38">
        <f t="shared" si="368"/>
        <v>0</v>
      </c>
      <c r="AQ1497" s="83" t="s">
        <v>169</v>
      </c>
      <c r="AV1497" s="38">
        <f t="shared" si="369"/>
        <v>0</v>
      </c>
      <c r="AW1497" s="38">
        <f t="shared" si="370"/>
        <v>0</v>
      </c>
      <c r="AX1497" s="38">
        <f t="shared" si="371"/>
        <v>0</v>
      </c>
      <c r="AY1497" s="72" t="s">
        <v>2827</v>
      </c>
      <c r="AZ1497" s="72" t="s">
        <v>2828</v>
      </c>
      <c r="BA1497" s="50" t="s">
        <v>2563</v>
      </c>
      <c r="BC1497" s="38">
        <f t="shared" si="372"/>
        <v>0</v>
      </c>
      <c r="BD1497" s="38">
        <f t="shared" si="373"/>
        <v>0</v>
      </c>
      <c r="BE1497" s="38">
        <v>0</v>
      </c>
      <c r="BF1497" s="38">
        <f t="shared" si="374"/>
        <v>0</v>
      </c>
      <c r="BH1497" s="80">
        <f t="shared" si="375"/>
        <v>0</v>
      </c>
      <c r="BI1497" s="80">
        <f t="shared" si="376"/>
        <v>0</v>
      </c>
      <c r="BJ1497" s="80">
        <f t="shared" si="377"/>
        <v>0</v>
      </c>
      <c r="BK1497" s="80"/>
      <c r="BL1497" s="38"/>
      <c r="BW1497" s="38">
        <v>21</v>
      </c>
    </row>
    <row r="1498" spans="1:75" ht="13.5" customHeight="1">
      <c r="A1498" s="78" t="s">
        <v>2954</v>
      </c>
      <c r="B1498" s="79" t="s">
        <v>93</v>
      </c>
      <c r="C1498" s="79" t="s">
        <v>2843</v>
      </c>
      <c r="D1498" s="198" t="s">
        <v>2844</v>
      </c>
      <c r="E1498" s="199"/>
      <c r="F1498" s="79" t="s">
        <v>2567</v>
      </c>
      <c r="G1498" s="80">
        <v>34</v>
      </c>
      <c r="H1498" s="81">
        <v>0</v>
      </c>
      <c r="I1498" s="80">
        <f t="shared" si="354"/>
        <v>0</v>
      </c>
      <c r="J1498" s="80">
        <v>0</v>
      </c>
      <c r="K1498" s="80">
        <f t="shared" si="355"/>
        <v>0</v>
      </c>
      <c r="L1498" s="82" t="s">
        <v>207</v>
      </c>
      <c r="Z1498" s="38">
        <f t="shared" si="356"/>
        <v>0</v>
      </c>
      <c r="AB1498" s="38">
        <f t="shared" si="357"/>
        <v>0</v>
      </c>
      <c r="AC1498" s="38">
        <f t="shared" si="358"/>
        <v>0</v>
      </c>
      <c r="AD1498" s="38">
        <f t="shared" si="359"/>
        <v>0</v>
      </c>
      <c r="AE1498" s="38">
        <f t="shared" si="360"/>
        <v>0</v>
      </c>
      <c r="AF1498" s="38">
        <f t="shared" si="361"/>
        <v>0</v>
      </c>
      <c r="AG1498" s="38">
        <f t="shared" si="362"/>
        <v>0</v>
      </c>
      <c r="AH1498" s="38">
        <f t="shared" si="363"/>
        <v>0</v>
      </c>
      <c r="AI1498" s="50" t="s">
        <v>93</v>
      </c>
      <c r="AJ1498" s="80">
        <f t="shared" si="364"/>
        <v>0</v>
      </c>
      <c r="AK1498" s="80">
        <f t="shared" si="365"/>
        <v>0</v>
      </c>
      <c r="AL1498" s="80">
        <f t="shared" si="366"/>
        <v>0</v>
      </c>
      <c r="AN1498" s="38">
        <v>21</v>
      </c>
      <c r="AO1498" s="38">
        <f t="shared" si="367"/>
        <v>0</v>
      </c>
      <c r="AP1498" s="38">
        <f t="shared" si="368"/>
        <v>0</v>
      </c>
      <c r="AQ1498" s="83" t="s">
        <v>169</v>
      </c>
      <c r="AV1498" s="38">
        <f t="shared" si="369"/>
        <v>0</v>
      </c>
      <c r="AW1498" s="38">
        <f t="shared" si="370"/>
        <v>0</v>
      </c>
      <c r="AX1498" s="38">
        <f t="shared" si="371"/>
        <v>0</v>
      </c>
      <c r="AY1498" s="72" t="s">
        <v>2827</v>
      </c>
      <c r="AZ1498" s="72" t="s">
        <v>2828</v>
      </c>
      <c r="BA1498" s="50" t="s">
        <v>2563</v>
      </c>
      <c r="BC1498" s="38">
        <f t="shared" si="372"/>
        <v>0</v>
      </c>
      <c r="BD1498" s="38">
        <f t="shared" si="373"/>
        <v>0</v>
      </c>
      <c r="BE1498" s="38">
        <v>0</v>
      </c>
      <c r="BF1498" s="38">
        <f t="shared" si="374"/>
        <v>0</v>
      </c>
      <c r="BH1498" s="80">
        <f t="shared" si="375"/>
        <v>0</v>
      </c>
      <c r="BI1498" s="80">
        <f t="shared" si="376"/>
        <v>0</v>
      </c>
      <c r="BJ1498" s="80">
        <f t="shared" si="377"/>
        <v>0</v>
      </c>
      <c r="BK1498" s="80"/>
      <c r="BL1498" s="38"/>
      <c r="BW1498" s="38">
        <v>21</v>
      </c>
    </row>
    <row r="1499" spans="1:75" ht="13.5" customHeight="1">
      <c r="A1499" s="78" t="s">
        <v>2955</v>
      </c>
      <c r="B1499" s="79" t="s">
        <v>93</v>
      </c>
      <c r="C1499" s="79" t="s">
        <v>2846</v>
      </c>
      <c r="D1499" s="198" t="s">
        <v>2847</v>
      </c>
      <c r="E1499" s="199"/>
      <c r="F1499" s="79" t="s">
        <v>2567</v>
      </c>
      <c r="G1499" s="80">
        <v>32</v>
      </c>
      <c r="H1499" s="81">
        <v>0</v>
      </c>
      <c r="I1499" s="80">
        <f t="shared" si="354"/>
        <v>0</v>
      </c>
      <c r="J1499" s="80">
        <v>0</v>
      </c>
      <c r="K1499" s="80">
        <f t="shared" si="355"/>
        <v>0</v>
      </c>
      <c r="L1499" s="82" t="s">
        <v>207</v>
      </c>
      <c r="Z1499" s="38">
        <f t="shared" si="356"/>
        <v>0</v>
      </c>
      <c r="AB1499" s="38">
        <f t="shared" si="357"/>
        <v>0</v>
      </c>
      <c r="AC1499" s="38">
        <f t="shared" si="358"/>
        <v>0</v>
      </c>
      <c r="AD1499" s="38">
        <f t="shared" si="359"/>
        <v>0</v>
      </c>
      <c r="AE1499" s="38">
        <f t="shared" si="360"/>
        <v>0</v>
      </c>
      <c r="AF1499" s="38">
        <f t="shared" si="361"/>
        <v>0</v>
      </c>
      <c r="AG1499" s="38">
        <f t="shared" si="362"/>
        <v>0</v>
      </c>
      <c r="AH1499" s="38">
        <f t="shared" si="363"/>
        <v>0</v>
      </c>
      <c r="AI1499" s="50" t="s">
        <v>93</v>
      </c>
      <c r="AJ1499" s="80">
        <f t="shared" si="364"/>
        <v>0</v>
      </c>
      <c r="AK1499" s="80">
        <f t="shared" si="365"/>
        <v>0</v>
      </c>
      <c r="AL1499" s="80">
        <f t="shared" si="366"/>
        <v>0</v>
      </c>
      <c r="AN1499" s="38">
        <v>21</v>
      </c>
      <c r="AO1499" s="38">
        <f t="shared" si="367"/>
        <v>0</v>
      </c>
      <c r="AP1499" s="38">
        <f t="shared" si="368"/>
        <v>0</v>
      </c>
      <c r="AQ1499" s="83" t="s">
        <v>169</v>
      </c>
      <c r="AV1499" s="38">
        <f t="shared" si="369"/>
        <v>0</v>
      </c>
      <c r="AW1499" s="38">
        <f t="shared" si="370"/>
        <v>0</v>
      </c>
      <c r="AX1499" s="38">
        <f t="shared" si="371"/>
        <v>0</v>
      </c>
      <c r="AY1499" s="72" t="s">
        <v>2827</v>
      </c>
      <c r="AZ1499" s="72" t="s">
        <v>2828</v>
      </c>
      <c r="BA1499" s="50" t="s">
        <v>2563</v>
      </c>
      <c r="BC1499" s="38">
        <f t="shared" si="372"/>
        <v>0</v>
      </c>
      <c r="BD1499" s="38">
        <f t="shared" si="373"/>
        <v>0</v>
      </c>
      <c r="BE1499" s="38">
        <v>0</v>
      </c>
      <c r="BF1499" s="38">
        <f t="shared" si="374"/>
        <v>0</v>
      </c>
      <c r="BH1499" s="80">
        <f t="shared" si="375"/>
        <v>0</v>
      </c>
      <c r="BI1499" s="80">
        <f t="shared" si="376"/>
        <v>0</v>
      </c>
      <c r="BJ1499" s="80">
        <f t="shared" si="377"/>
        <v>0</v>
      </c>
      <c r="BK1499" s="80"/>
      <c r="BL1499" s="38"/>
      <c r="BW1499" s="38">
        <v>21</v>
      </c>
    </row>
    <row r="1500" spans="1:75" ht="13.5" customHeight="1">
      <c r="A1500" s="78" t="s">
        <v>2956</v>
      </c>
      <c r="B1500" s="79" t="s">
        <v>93</v>
      </c>
      <c r="C1500" s="79" t="s">
        <v>2849</v>
      </c>
      <c r="D1500" s="198" t="s">
        <v>2850</v>
      </c>
      <c r="E1500" s="199"/>
      <c r="F1500" s="79" t="s">
        <v>2567</v>
      </c>
      <c r="G1500" s="80">
        <v>29</v>
      </c>
      <c r="H1500" s="81">
        <v>0</v>
      </c>
      <c r="I1500" s="80">
        <f t="shared" si="354"/>
        <v>0</v>
      </c>
      <c r="J1500" s="80">
        <v>0</v>
      </c>
      <c r="K1500" s="80">
        <f t="shared" si="355"/>
        <v>0</v>
      </c>
      <c r="L1500" s="82" t="s">
        <v>207</v>
      </c>
      <c r="Z1500" s="38">
        <f t="shared" si="356"/>
        <v>0</v>
      </c>
      <c r="AB1500" s="38">
        <f t="shared" si="357"/>
        <v>0</v>
      </c>
      <c r="AC1500" s="38">
        <f t="shared" si="358"/>
        <v>0</v>
      </c>
      <c r="AD1500" s="38">
        <f t="shared" si="359"/>
        <v>0</v>
      </c>
      <c r="AE1500" s="38">
        <f t="shared" si="360"/>
        <v>0</v>
      </c>
      <c r="AF1500" s="38">
        <f t="shared" si="361"/>
        <v>0</v>
      </c>
      <c r="AG1500" s="38">
        <f t="shared" si="362"/>
        <v>0</v>
      </c>
      <c r="AH1500" s="38">
        <f t="shared" si="363"/>
        <v>0</v>
      </c>
      <c r="AI1500" s="50" t="s">
        <v>93</v>
      </c>
      <c r="AJ1500" s="80">
        <f t="shared" si="364"/>
        <v>0</v>
      </c>
      <c r="AK1500" s="80">
        <f t="shared" si="365"/>
        <v>0</v>
      </c>
      <c r="AL1500" s="80">
        <f t="shared" si="366"/>
        <v>0</v>
      </c>
      <c r="AN1500" s="38">
        <v>21</v>
      </c>
      <c r="AO1500" s="38">
        <f t="shared" si="367"/>
        <v>0</v>
      </c>
      <c r="AP1500" s="38">
        <f t="shared" si="368"/>
        <v>0</v>
      </c>
      <c r="AQ1500" s="83" t="s">
        <v>169</v>
      </c>
      <c r="AV1500" s="38">
        <f t="shared" si="369"/>
        <v>0</v>
      </c>
      <c r="AW1500" s="38">
        <f t="shared" si="370"/>
        <v>0</v>
      </c>
      <c r="AX1500" s="38">
        <f t="shared" si="371"/>
        <v>0</v>
      </c>
      <c r="AY1500" s="72" t="s">
        <v>2827</v>
      </c>
      <c r="AZ1500" s="72" t="s">
        <v>2828</v>
      </c>
      <c r="BA1500" s="50" t="s">
        <v>2563</v>
      </c>
      <c r="BC1500" s="38">
        <f t="shared" si="372"/>
        <v>0</v>
      </c>
      <c r="BD1500" s="38">
        <f t="shared" si="373"/>
        <v>0</v>
      </c>
      <c r="BE1500" s="38">
        <v>0</v>
      </c>
      <c r="BF1500" s="38">
        <f t="shared" si="374"/>
        <v>0</v>
      </c>
      <c r="BH1500" s="80">
        <f t="shared" si="375"/>
        <v>0</v>
      </c>
      <c r="BI1500" s="80">
        <f t="shared" si="376"/>
        <v>0</v>
      </c>
      <c r="BJ1500" s="80">
        <f t="shared" si="377"/>
        <v>0</v>
      </c>
      <c r="BK1500" s="80"/>
      <c r="BL1500" s="38"/>
      <c r="BW1500" s="38">
        <v>21</v>
      </c>
    </row>
    <row r="1501" spans="1:75" ht="13.5" customHeight="1">
      <c r="A1501" s="78" t="s">
        <v>2957</v>
      </c>
      <c r="B1501" s="79" t="s">
        <v>93</v>
      </c>
      <c r="C1501" s="79" t="s">
        <v>2958</v>
      </c>
      <c r="D1501" s="198" t="s">
        <v>2959</v>
      </c>
      <c r="E1501" s="199"/>
      <c r="F1501" s="79" t="s">
        <v>2567</v>
      </c>
      <c r="G1501" s="80">
        <v>4</v>
      </c>
      <c r="H1501" s="81">
        <v>0</v>
      </c>
      <c r="I1501" s="80">
        <f t="shared" si="354"/>
        <v>0</v>
      </c>
      <c r="J1501" s="80">
        <v>0</v>
      </c>
      <c r="K1501" s="80">
        <f t="shared" si="355"/>
        <v>0</v>
      </c>
      <c r="L1501" s="82" t="s">
        <v>207</v>
      </c>
      <c r="Z1501" s="38">
        <f t="shared" si="356"/>
        <v>0</v>
      </c>
      <c r="AB1501" s="38">
        <f t="shared" si="357"/>
        <v>0</v>
      </c>
      <c r="AC1501" s="38">
        <f t="shared" si="358"/>
        <v>0</v>
      </c>
      <c r="AD1501" s="38">
        <f t="shared" si="359"/>
        <v>0</v>
      </c>
      <c r="AE1501" s="38">
        <f t="shared" si="360"/>
        <v>0</v>
      </c>
      <c r="AF1501" s="38">
        <f t="shared" si="361"/>
        <v>0</v>
      </c>
      <c r="AG1501" s="38">
        <f t="shared" si="362"/>
        <v>0</v>
      </c>
      <c r="AH1501" s="38">
        <f t="shared" si="363"/>
        <v>0</v>
      </c>
      <c r="AI1501" s="50" t="s">
        <v>93</v>
      </c>
      <c r="AJ1501" s="80">
        <f t="shared" si="364"/>
        <v>0</v>
      </c>
      <c r="AK1501" s="80">
        <f t="shared" si="365"/>
        <v>0</v>
      </c>
      <c r="AL1501" s="80">
        <f t="shared" si="366"/>
        <v>0</v>
      </c>
      <c r="AN1501" s="38">
        <v>21</v>
      </c>
      <c r="AO1501" s="38">
        <f t="shared" si="367"/>
        <v>0</v>
      </c>
      <c r="AP1501" s="38">
        <f t="shared" si="368"/>
        <v>0</v>
      </c>
      <c r="AQ1501" s="83" t="s">
        <v>169</v>
      </c>
      <c r="AV1501" s="38">
        <f t="shared" si="369"/>
        <v>0</v>
      </c>
      <c r="AW1501" s="38">
        <f t="shared" si="370"/>
        <v>0</v>
      </c>
      <c r="AX1501" s="38">
        <f t="shared" si="371"/>
        <v>0</v>
      </c>
      <c r="AY1501" s="72" t="s">
        <v>2827</v>
      </c>
      <c r="AZ1501" s="72" t="s">
        <v>2828</v>
      </c>
      <c r="BA1501" s="50" t="s">
        <v>2563</v>
      </c>
      <c r="BC1501" s="38">
        <f t="shared" si="372"/>
        <v>0</v>
      </c>
      <c r="BD1501" s="38">
        <f t="shared" si="373"/>
        <v>0</v>
      </c>
      <c r="BE1501" s="38">
        <v>0</v>
      </c>
      <c r="BF1501" s="38">
        <f t="shared" si="374"/>
        <v>0</v>
      </c>
      <c r="BH1501" s="80">
        <f t="shared" si="375"/>
        <v>0</v>
      </c>
      <c r="BI1501" s="80">
        <f t="shared" si="376"/>
        <v>0</v>
      </c>
      <c r="BJ1501" s="80">
        <f t="shared" si="377"/>
        <v>0</v>
      </c>
      <c r="BK1501" s="80"/>
      <c r="BL1501" s="38"/>
      <c r="BW1501" s="38">
        <v>21</v>
      </c>
    </row>
    <row r="1502" spans="1:75" ht="13.5" customHeight="1">
      <c r="A1502" s="78" t="s">
        <v>2960</v>
      </c>
      <c r="B1502" s="79" t="s">
        <v>93</v>
      </c>
      <c r="C1502" s="79" t="s">
        <v>2961</v>
      </c>
      <c r="D1502" s="198" t="s">
        <v>2962</v>
      </c>
      <c r="E1502" s="199"/>
      <c r="F1502" s="79" t="s">
        <v>2567</v>
      </c>
      <c r="G1502" s="80">
        <v>4</v>
      </c>
      <c r="H1502" s="81">
        <v>0</v>
      </c>
      <c r="I1502" s="80">
        <f t="shared" si="354"/>
        <v>0</v>
      </c>
      <c r="J1502" s="80">
        <v>0</v>
      </c>
      <c r="K1502" s="80">
        <f t="shared" si="355"/>
        <v>0</v>
      </c>
      <c r="L1502" s="82" t="s">
        <v>207</v>
      </c>
      <c r="Z1502" s="38">
        <f t="shared" si="356"/>
        <v>0</v>
      </c>
      <c r="AB1502" s="38">
        <f t="shared" si="357"/>
        <v>0</v>
      </c>
      <c r="AC1502" s="38">
        <f t="shared" si="358"/>
        <v>0</v>
      </c>
      <c r="AD1502" s="38">
        <f t="shared" si="359"/>
        <v>0</v>
      </c>
      <c r="AE1502" s="38">
        <f t="shared" si="360"/>
        <v>0</v>
      </c>
      <c r="AF1502" s="38">
        <f t="shared" si="361"/>
        <v>0</v>
      </c>
      <c r="AG1502" s="38">
        <f t="shared" si="362"/>
        <v>0</v>
      </c>
      <c r="AH1502" s="38">
        <f t="shared" si="363"/>
        <v>0</v>
      </c>
      <c r="AI1502" s="50" t="s">
        <v>93</v>
      </c>
      <c r="AJ1502" s="80">
        <f t="shared" si="364"/>
        <v>0</v>
      </c>
      <c r="AK1502" s="80">
        <f t="shared" si="365"/>
        <v>0</v>
      </c>
      <c r="AL1502" s="80">
        <f t="shared" si="366"/>
        <v>0</v>
      </c>
      <c r="AN1502" s="38">
        <v>21</v>
      </c>
      <c r="AO1502" s="38">
        <f t="shared" si="367"/>
        <v>0</v>
      </c>
      <c r="AP1502" s="38">
        <f t="shared" si="368"/>
        <v>0</v>
      </c>
      <c r="AQ1502" s="83" t="s">
        <v>169</v>
      </c>
      <c r="AV1502" s="38">
        <f t="shared" si="369"/>
        <v>0</v>
      </c>
      <c r="AW1502" s="38">
        <f t="shared" si="370"/>
        <v>0</v>
      </c>
      <c r="AX1502" s="38">
        <f t="shared" si="371"/>
        <v>0</v>
      </c>
      <c r="AY1502" s="72" t="s">
        <v>2827</v>
      </c>
      <c r="AZ1502" s="72" t="s">
        <v>2828</v>
      </c>
      <c r="BA1502" s="50" t="s">
        <v>2563</v>
      </c>
      <c r="BC1502" s="38">
        <f t="shared" si="372"/>
        <v>0</v>
      </c>
      <c r="BD1502" s="38">
        <f t="shared" si="373"/>
        <v>0</v>
      </c>
      <c r="BE1502" s="38">
        <v>0</v>
      </c>
      <c r="BF1502" s="38">
        <f t="shared" si="374"/>
        <v>0</v>
      </c>
      <c r="BH1502" s="80">
        <f t="shared" si="375"/>
        <v>0</v>
      </c>
      <c r="BI1502" s="80">
        <f t="shared" si="376"/>
        <v>0</v>
      </c>
      <c r="BJ1502" s="80">
        <f t="shared" si="377"/>
        <v>0</v>
      </c>
      <c r="BK1502" s="80"/>
      <c r="BL1502" s="38"/>
      <c r="BW1502" s="38">
        <v>21</v>
      </c>
    </row>
    <row r="1503" spans="1:75" ht="13.5" customHeight="1">
      <c r="A1503" s="78" t="s">
        <v>2963</v>
      </c>
      <c r="B1503" s="79" t="s">
        <v>93</v>
      </c>
      <c r="C1503" s="79" t="s">
        <v>2861</v>
      </c>
      <c r="D1503" s="198" t="s">
        <v>2862</v>
      </c>
      <c r="E1503" s="199"/>
      <c r="F1503" s="79" t="s">
        <v>2567</v>
      </c>
      <c r="G1503" s="80">
        <v>6</v>
      </c>
      <c r="H1503" s="81">
        <v>0</v>
      </c>
      <c r="I1503" s="80">
        <f t="shared" si="354"/>
        <v>0</v>
      </c>
      <c r="J1503" s="80">
        <v>0</v>
      </c>
      <c r="K1503" s="80">
        <f t="shared" si="355"/>
        <v>0</v>
      </c>
      <c r="L1503" s="82" t="s">
        <v>207</v>
      </c>
      <c r="Z1503" s="38">
        <f t="shared" si="356"/>
        <v>0</v>
      </c>
      <c r="AB1503" s="38">
        <f t="shared" si="357"/>
        <v>0</v>
      </c>
      <c r="AC1503" s="38">
        <f t="shared" si="358"/>
        <v>0</v>
      </c>
      <c r="AD1503" s="38">
        <f t="shared" si="359"/>
        <v>0</v>
      </c>
      <c r="AE1503" s="38">
        <f t="shared" si="360"/>
        <v>0</v>
      </c>
      <c r="AF1503" s="38">
        <f t="shared" si="361"/>
        <v>0</v>
      </c>
      <c r="AG1503" s="38">
        <f t="shared" si="362"/>
        <v>0</v>
      </c>
      <c r="AH1503" s="38">
        <f t="shared" si="363"/>
        <v>0</v>
      </c>
      <c r="AI1503" s="50" t="s">
        <v>93</v>
      </c>
      <c r="AJ1503" s="80">
        <f t="shared" si="364"/>
        <v>0</v>
      </c>
      <c r="AK1503" s="80">
        <f t="shared" si="365"/>
        <v>0</v>
      </c>
      <c r="AL1503" s="80">
        <f t="shared" si="366"/>
        <v>0</v>
      </c>
      <c r="AN1503" s="38">
        <v>21</v>
      </c>
      <c r="AO1503" s="38">
        <f t="shared" si="367"/>
        <v>0</v>
      </c>
      <c r="AP1503" s="38">
        <f t="shared" si="368"/>
        <v>0</v>
      </c>
      <c r="AQ1503" s="83" t="s">
        <v>169</v>
      </c>
      <c r="AV1503" s="38">
        <f t="shared" si="369"/>
        <v>0</v>
      </c>
      <c r="AW1503" s="38">
        <f t="shared" si="370"/>
        <v>0</v>
      </c>
      <c r="AX1503" s="38">
        <f t="shared" si="371"/>
        <v>0</v>
      </c>
      <c r="AY1503" s="72" t="s">
        <v>2827</v>
      </c>
      <c r="AZ1503" s="72" t="s">
        <v>2828</v>
      </c>
      <c r="BA1503" s="50" t="s">
        <v>2563</v>
      </c>
      <c r="BC1503" s="38">
        <f t="shared" si="372"/>
        <v>0</v>
      </c>
      <c r="BD1503" s="38">
        <f t="shared" si="373"/>
        <v>0</v>
      </c>
      <c r="BE1503" s="38">
        <v>0</v>
      </c>
      <c r="BF1503" s="38">
        <f t="shared" si="374"/>
        <v>0</v>
      </c>
      <c r="BH1503" s="80">
        <f t="shared" si="375"/>
        <v>0</v>
      </c>
      <c r="BI1503" s="80">
        <f t="shared" si="376"/>
        <v>0</v>
      </c>
      <c r="BJ1503" s="80">
        <f t="shared" si="377"/>
        <v>0</v>
      </c>
      <c r="BK1503" s="80"/>
      <c r="BL1503" s="38"/>
      <c r="BW1503" s="38">
        <v>21</v>
      </c>
    </row>
    <row r="1504" spans="1:75" ht="13.5" customHeight="1">
      <c r="A1504" s="78" t="s">
        <v>2964</v>
      </c>
      <c r="B1504" s="79" t="s">
        <v>93</v>
      </c>
      <c r="C1504" s="79" t="s">
        <v>2864</v>
      </c>
      <c r="D1504" s="198" t="s">
        <v>2865</v>
      </c>
      <c r="E1504" s="199"/>
      <c r="F1504" s="79" t="s">
        <v>2567</v>
      </c>
      <c r="G1504" s="80">
        <v>1</v>
      </c>
      <c r="H1504" s="81">
        <v>0</v>
      </c>
      <c r="I1504" s="80">
        <f t="shared" si="354"/>
        <v>0</v>
      </c>
      <c r="J1504" s="80">
        <v>0</v>
      </c>
      <c r="K1504" s="80">
        <f t="shared" si="355"/>
        <v>0</v>
      </c>
      <c r="L1504" s="82" t="s">
        <v>207</v>
      </c>
      <c r="Z1504" s="38">
        <f t="shared" si="356"/>
        <v>0</v>
      </c>
      <c r="AB1504" s="38">
        <f t="shared" si="357"/>
        <v>0</v>
      </c>
      <c r="AC1504" s="38">
        <f t="shared" si="358"/>
        <v>0</v>
      </c>
      <c r="AD1504" s="38">
        <f t="shared" si="359"/>
        <v>0</v>
      </c>
      <c r="AE1504" s="38">
        <f t="shared" si="360"/>
        <v>0</v>
      </c>
      <c r="AF1504" s="38">
        <f t="shared" si="361"/>
        <v>0</v>
      </c>
      <c r="AG1504" s="38">
        <f t="shared" si="362"/>
        <v>0</v>
      </c>
      <c r="AH1504" s="38">
        <f t="shared" si="363"/>
        <v>0</v>
      </c>
      <c r="AI1504" s="50" t="s">
        <v>93</v>
      </c>
      <c r="AJ1504" s="80">
        <f t="shared" si="364"/>
        <v>0</v>
      </c>
      <c r="AK1504" s="80">
        <f t="shared" si="365"/>
        <v>0</v>
      </c>
      <c r="AL1504" s="80">
        <f t="shared" si="366"/>
        <v>0</v>
      </c>
      <c r="AN1504" s="38">
        <v>21</v>
      </c>
      <c r="AO1504" s="38">
        <f t="shared" si="367"/>
        <v>0</v>
      </c>
      <c r="AP1504" s="38">
        <f t="shared" si="368"/>
        <v>0</v>
      </c>
      <c r="AQ1504" s="83" t="s">
        <v>169</v>
      </c>
      <c r="AV1504" s="38">
        <f t="shared" si="369"/>
        <v>0</v>
      </c>
      <c r="AW1504" s="38">
        <f t="shared" si="370"/>
        <v>0</v>
      </c>
      <c r="AX1504" s="38">
        <f t="shared" si="371"/>
        <v>0</v>
      </c>
      <c r="AY1504" s="72" t="s">
        <v>2827</v>
      </c>
      <c r="AZ1504" s="72" t="s">
        <v>2828</v>
      </c>
      <c r="BA1504" s="50" t="s">
        <v>2563</v>
      </c>
      <c r="BC1504" s="38">
        <f t="shared" si="372"/>
        <v>0</v>
      </c>
      <c r="BD1504" s="38">
        <f t="shared" si="373"/>
        <v>0</v>
      </c>
      <c r="BE1504" s="38">
        <v>0</v>
      </c>
      <c r="BF1504" s="38">
        <f t="shared" si="374"/>
        <v>0</v>
      </c>
      <c r="BH1504" s="80">
        <f t="shared" si="375"/>
        <v>0</v>
      </c>
      <c r="BI1504" s="80">
        <f t="shared" si="376"/>
        <v>0</v>
      </c>
      <c r="BJ1504" s="80">
        <f t="shared" si="377"/>
        <v>0</v>
      </c>
      <c r="BK1504" s="80"/>
      <c r="BL1504" s="38"/>
      <c r="BW1504" s="38">
        <v>21</v>
      </c>
    </row>
    <row r="1505" spans="1:75" ht="13.5" customHeight="1">
      <c r="A1505" s="78" t="s">
        <v>2965</v>
      </c>
      <c r="B1505" s="79" t="s">
        <v>93</v>
      </c>
      <c r="C1505" s="79" t="s">
        <v>2867</v>
      </c>
      <c r="D1505" s="198" t="s">
        <v>2868</v>
      </c>
      <c r="E1505" s="199"/>
      <c r="F1505" s="79" t="s">
        <v>2567</v>
      </c>
      <c r="G1505" s="80">
        <v>2</v>
      </c>
      <c r="H1505" s="81">
        <v>0</v>
      </c>
      <c r="I1505" s="80">
        <f t="shared" si="354"/>
        <v>0</v>
      </c>
      <c r="J1505" s="80">
        <v>0</v>
      </c>
      <c r="K1505" s="80">
        <f t="shared" si="355"/>
        <v>0</v>
      </c>
      <c r="L1505" s="82" t="s">
        <v>207</v>
      </c>
      <c r="Z1505" s="38">
        <f t="shared" si="356"/>
        <v>0</v>
      </c>
      <c r="AB1505" s="38">
        <f t="shared" si="357"/>
        <v>0</v>
      </c>
      <c r="AC1505" s="38">
        <f t="shared" si="358"/>
        <v>0</v>
      </c>
      <c r="AD1505" s="38">
        <f t="shared" si="359"/>
        <v>0</v>
      </c>
      <c r="AE1505" s="38">
        <f t="shared" si="360"/>
        <v>0</v>
      </c>
      <c r="AF1505" s="38">
        <f t="shared" si="361"/>
        <v>0</v>
      </c>
      <c r="AG1505" s="38">
        <f t="shared" si="362"/>
        <v>0</v>
      </c>
      <c r="AH1505" s="38">
        <f t="shared" si="363"/>
        <v>0</v>
      </c>
      <c r="AI1505" s="50" t="s">
        <v>93</v>
      </c>
      <c r="AJ1505" s="80">
        <f t="shared" si="364"/>
        <v>0</v>
      </c>
      <c r="AK1505" s="80">
        <f t="shared" si="365"/>
        <v>0</v>
      </c>
      <c r="AL1505" s="80">
        <f t="shared" si="366"/>
        <v>0</v>
      </c>
      <c r="AN1505" s="38">
        <v>21</v>
      </c>
      <c r="AO1505" s="38">
        <f t="shared" si="367"/>
        <v>0</v>
      </c>
      <c r="AP1505" s="38">
        <f t="shared" si="368"/>
        <v>0</v>
      </c>
      <c r="AQ1505" s="83" t="s">
        <v>169</v>
      </c>
      <c r="AV1505" s="38">
        <f t="shared" si="369"/>
        <v>0</v>
      </c>
      <c r="AW1505" s="38">
        <f t="shared" si="370"/>
        <v>0</v>
      </c>
      <c r="AX1505" s="38">
        <f t="shared" si="371"/>
        <v>0</v>
      </c>
      <c r="AY1505" s="72" t="s">
        <v>2827</v>
      </c>
      <c r="AZ1505" s="72" t="s">
        <v>2828</v>
      </c>
      <c r="BA1505" s="50" t="s">
        <v>2563</v>
      </c>
      <c r="BC1505" s="38">
        <f t="shared" si="372"/>
        <v>0</v>
      </c>
      <c r="BD1505" s="38">
        <f t="shared" si="373"/>
        <v>0</v>
      </c>
      <c r="BE1505" s="38">
        <v>0</v>
      </c>
      <c r="BF1505" s="38">
        <f t="shared" si="374"/>
        <v>0</v>
      </c>
      <c r="BH1505" s="80">
        <f t="shared" si="375"/>
        <v>0</v>
      </c>
      <c r="BI1505" s="80">
        <f t="shared" si="376"/>
        <v>0</v>
      </c>
      <c r="BJ1505" s="80">
        <f t="shared" si="377"/>
        <v>0</v>
      </c>
      <c r="BK1505" s="80"/>
      <c r="BL1505" s="38"/>
      <c r="BW1505" s="38">
        <v>21</v>
      </c>
    </row>
    <row r="1506" spans="1:75" ht="13.5" customHeight="1">
      <c r="A1506" s="78" t="s">
        <v>2966</v>
      </c>
      <c r="B1506" s="79" t="s">
        <v>93</v>
      </c>
      <c r="C1506" s="79" t="s">
        <v>2840</v>
      </c>
      <c r="D1506" s="198" t="s">
        <v>2841</v>
      </c>
      <c r="E1506" s="199"/>
      <c r="F1506" s="79" t="s">
        <v>2567</v>
      </c>
      <c r="G1506" s="80">
        <v>22</v>
      </c>
      <c r="H1506" s="81">
        <v>0</v>
      </c>
      <c r="I1506" s="80">
        <f t="shared" si="354"/>
        <v>0</v>
      </c>
      <c r="J1506" s="80">
        <v>0</v>
      </c>
      <c r="K1506" s="80">
        <f t="shared" si="355"/>
        <v>0</v>
      </c>
      <c r="L1506" s="82" t="s">
        <v>207</v>
      </c>
      <c r="Z1506" s="38">
        <f t="shared" si="356"/>
        <v>0</v>
      </c>
      <c r="AB1506" s="38">
        <f t="shared" si="357"/>
        <v>0</v>
      </c>
      <c r="AC1506" s="38">
        <f t="shared" si="358"/>
        <v>0</v>
      </c>
      <c r="AD1506" s="38">
        <f t="shared" si="359"/>
        <v>0</v>
      </c>
      <c r="AE1506" s="38">
        <f t="shared" si="360"/>
        <v>0</v>
      </c>
      <c r="AF1506" s="38">
        <f t="shared" si="361"/>
        <v>0</v>
      </c>
      <c r="AG1506" s="38">
        <f t="shared" si="362"/>
        <v>0</v>
      </c>
      <c r="AH1506" s="38">
        <f t="shared" si="363"/>
        <v>0</v>
      </c>
      <c r="AI1506" s="50" t="s">
        <v>93</v>
      </c>
      <c r="AJ1506" s="80">
        <f t="shared" si="364"/>
        <v>0</v>
      </c>
      <c r="AK1506" s="80">
        <f t="shared" si="365"/>
        <v>0</v>
      </c>
      <c r="AL1506" s="80">
        <f t="shared" si="366"/>
        <v>0</v>
      </c>
      <c r="AN1506" s="38">
        <v>21</v>
      </c>
      <c r="AO1506" s="38">
        <f t="shared" si="367"/>
        <v>0</v>
      </c>
      <c r="AP1506" s="38">
        <f t="shared" si="368"/>
        <v>0</v>
      </c>
      <c r="AQ1506" s="83" t="s">
        <v>169</v>
      </c>
      <c r="AV1506" s="38">
        <f t="shared" si="369"/>
        <v>0</v>
      </c>
      <c r="AW1506" s="38">
        <f t="shared" si="370"/>
        <v>0</v>
      </c>
      <c r="AX1506" s="38">
        <f t="shared" si="371"/>
        <v>0</v>
      </c>
      <c r="AY1506" s="72" t="s">
        <v>2827</v>
      </c>
      <c r="AZ1506" s="72" t="s">
        <v>2828</v>
      </c>
      <c r="BA1506" s="50" t="s">
        <v>2563</v>
      </c>
      <c r="BC1506" s="38">
        <f t="shared" si="372"/>
        <v>0</v>
      </c>
      <c r="BD1506" s="38">
        <f t="shared" si="373"/>
        <v>0</v>
      </c>
      <c r="BE1506" s="38">
        <v>0</v>
      </c>
      <c r="BF1506" s="38">
        <f t="shared" si="374"/>
        <v>0</v>
      </c>
      <c r="BH1506" s="80">
        <f t="shared" si="375"/>
        <v>0</v>
      </c>
      <c r="BI1506" s="80">
        <f t="shared" si="376"/>
        <v>0</v>
      </c>
      <c r="BJ1506" s="80">
        <f t="shared" si="377"/>
        <v>0</v>
      </c>
      <c r="BK1506" s="80"/>
      <c r="BL1506" s="38"/>
      <c r="BW1506" s="38">
        <v>21</v>
      </c>
    </row>
    <row r="1507" spans="1:75" ht="13.5" customHeight="1">
      <c r="A1507" s="78" t="s">
        <v>2967</v>
      </c>
      <c r="B1507" s="79" t="s">
        <v>93</v>
      </c>
      <c r="C1507" s="79" t="s">
        <v>2843</v>
      </c>
      <c r="D1507" s="198" t="s">
        <v>2844</v>
      </c>
      <c r="E1507" s="199"/>
      <c r="F1507" s="79" t="s">
        <v>2567</v>
      </c>
      <c r="G1507" s="80">
        <v>19</v>
      </c>
      <c r="H1507" s="81">
        <v>0</v>
      </c>
      <c r="I1507" s="80">
        <f t="shared" si="354"/>
        <v>0</v>
      </c>
      <c r="J1507" s="80">
        <v>0</v>
      </c>
      <c r="K1507" s="80">
        <f t="shared" si="355"/>
        <v>0</v>
      </c>
      <c r="L1507" s="82" t="s">
        <v>207</v>
      </c>
      <c r="Z1507" s="38">
        <f t="shared" si="356"/>
        <v>0</v>
      </c>
      <c r="AB1507" s="38">
        <f t="shared" si="357"/>
        <v>0</v>
      </c>
      <c r="AC1507" s="38">
        <f t="shared" si="358"/>
        <v>0</v>
      </c>
      <c r="AD1507" s="38">
        <f t="shared" si="359"/>
        <v>0</v>
      </c>
      <c r="AE1507" s="38">
        <f t="shared" si="360"/>
        <v>0</v>
      </c>
      <c r="AF1507" s="38">
        <f t="shared" si="361"/>
        <v>0</v>
      </c>
      <c r="AG1507" s="38">
        <f t="shared" si="362"/>
        <v>0</v>
      </c>
      <c r="AH1507" s="38">
        <f t="shared" si="363"/>
        <v>0</v>
      </c>
      <c r="AI1507" s="50" t="s">
        <v>93</v>
      </c>
      <c r="AJ1507" s="80">
        <f t="shared" si="364"/>
        <v>0</v>
      </c>
      <c r="AK1507" s="80">
        <f t="shared" si="365"/>
        <v>0</v>
      </c>
      <c r="AL1507" s="80">
        <f t="shared" si="366"/>
        <v>0</v>
      </c>
      <c r="AN1507" s="38">
        <v>21</v>
      </c>
      <c r="AO1507" s="38">
        <f t="shared" si="367"/>
        <v>0</v>
      </c>
      <c r="AP1507" s="38">
        <f t="shared" si="368"/>
        <v>0</v>
      </c>
      <c r="AQ1507" s="83" t="s">
        <v>169</v>
      </c>
      <c r="AV1507" s="38">
        <f t="shared" si="369"/>
        <v>0</v>
      </c>
      <c r="AW1507" s="38">
        <f t="shared" si="370"/>
        <v>0</v>
      </c>
      <c r="AX1507" s="38">
        <f t="shared" si="371"/>
        <v>0</v>
      </c>
      <c r="AY1507" s="72" t="s">
        <v>2827</v>
      </c>
      <c r="AZ1507" s="72" t="s">
        <v>2828</v>
      </c>
      <c r="BA1507" s="50" t="s">
        <v>2563</v>
      </c>
      <c r="BC1507" s="38">
        <f t="shared" si="372"/>
        <v>0</v>
      </c>
      <c r="BD1507" s="38">
        <f t="shared" si="373"/>
        <v>0</v>
      </c>
      <c r="BE1507" s="38">
        <v>0</v>
      </c>
      <c r="BF1507" s="38">
        <f t="shared" si="374"/>
        <v>0</v>
      </c>
      <c r="BH1507" s="80">
        <f t="shared" si="375"/>
        <v>0</v>
      </c>
      <c r="BI1507" s="80">
        <f t="shared" si="376"/>
        <v>0</v>
      </c>
      <c r="BJ1507" s="80">
        <f t="shared" si="377"/>
        <v>0</v>
      </c>
      <c r="BK1507" s="80"/>
      <c r="BL1507" s="38"/>
      <c r="BW1507" s="38">
        <v>21</v>
      </c>
    </row>
    <row r="1508" spans="1:75" ht="13.5" customHeight="1">
      <c r="A1508" s="1" t="s">
        <v>2968</v>
      </c>
      <c r="B1508" s="2" t="s">
        <v>93</v>
      </c>
      <c r="C1508" s="2" t="s">
        <v>2817</v>
      </c>
      <c r="D1508" s="108" t="s">
        <v>2818</v>
      </c>
      <c r="E1508" s="103"/>
      <c r="F1508" s="2" t="s">
        <v>2286</v>
      </c>
      <c r="G1508" s="38">
        <v>11</v>
      </c>
      <c r="H1508" s="70">
        <v>0</v>
      </c>
      <c r="I1508" s="38">
        <f t="shared" si="354"/>
        <v>0</v>
      </c>
      <c r="J1508" s="38">
        <v>0</v>
      </c>
      <c r="K1508" s="38">
        <f t="shared" si="355"/>
        <v>0</v>
      </c>
      <c r="L1508" s="71" t="s">
        <v>207</v>
      </c>
      <c r="Z1508" s="38">
        <f t="shared" si="356"/>
        <v>0</v>
      </c>
      <c r="AB1508" s="38">
        <f t="shared" si="357"/>
        <v>0</v>
      </c>
      <c r="AC1508" s="38">
        <f t="shared" si="358"/>
        <v>0</v>
      </c>
      <c r="AD1508" s="38">
        <f t="shared" si="359"/>
        <v>0</v>
      </c>
      <c r="AE1508" s="38">
        <f t="shared" si="360"/>
        <v>0</v>
      </c>
      <c r="AF1508" s="38">
        <f t="shared" si="361"/>
        <v>0</v>
      </c>
      <c r="AG1508" s="38">
        <f t="shared" si="362"/>
        <v>0</v>
      </c>
      <c r="AH1508" s="38">
        <f t="shared" si="363"/>
        <v>0</v>
      </c>
      <c r="AI1508" s="50" t="s">
        <v>93</v>
      </c>
      <c r="AJ1508" s="38">
        <f t="shared" si="364"/>
        <v>0</v>
      </c>
      <c r="AK1508" s="38">
        <f t="shared" si="365"/>
        <v>0</v>
      </c>
      <c r="AL1508" s="38">
        <f t="shared" si="366"/>
        <v>0</v>
      </c>
      <c r="AN1508" s="38">
        <v>21</v>
      </c>
      <c r="AO1508" s="38">
        <f>H1508*0</f>
        <v>0</v>
      </c>
      <c r="AP1508" s="38">
        <f>H1508*(1-0)</f>
        <v>0</v>
      </c>
      <c r="AQ1508" s="72" t="s">
        <v>169</v>
      </c>
      <c r="AV1508" s="38">
        <f t="shared" si="369"/>
        <v>0</v>
      </c>
      <c r="AW1508" s="38">
        <f t="shared" si="370"/>
        <v>0</v>
      </c>
      <c r="AX1508" s="38">
        <f t="shared" si="371"/>
        <v>0</v>
      </c>
      <c r="AY1508" s="72" t="s">
        <v>2827</v>
      </c>
      <c r="AZ1508" s="72" t="s">
        <v>2828</v>
      </c>
      <c r="BA1508" s="50" t="s">
        <v>2563</v>
      </c>
      <c r="BC1508" s="38">
        <f t="shared" si="372"/>
        <v>0</v>
      </c>
      <c r="BD1508" s="38">
        <f t="shared" si="373"/>
        <v>0</v>
      </c>
      <c r="BE1508" s="38">
        <v>0</v>
      </c>
      <c r="BF1508" s="38">
        <f t="shared" si="374"/>
        <v>0</v>
      </c>
      <c r="BH1508" s="38">
        <f t="shared" si="375"/>
        <v>0</v>
      </c>
      <c r="BI1508" s="38">
        <f t="shared" si="376"/>
        <v>0</v>
      </c>
      <c r="BJ1508" s="38">
        <f t="shared" si="377"/>
        <v>0</v>
      </c>
      <c r="BK1508" s="38"/>
      <c r="BL1508" s="38"/>
      <c r="BW1508" s="38">
        <v>21</v>
      </c>
    </row>
    <row r="1509" spans="1:12" ht="13.5" customHeight="1">
      <c r="A1509" s="74"/>
      <c r="D1509" s="194" t="s">
        <v>2969</v>
      </c>
      <c r="E1509" s="195"/>
      <c r="F1509" s="195"/>
      <c r="G1509" s="195"/>
      <c r="H1509" s="196"/>
      <c r="I1509" s="195"/>
      <c r="J1509" s="195"/>
      <c r="K1509" s="195"/>
      <c r="L1509" s="197"/>
    </row>
    <row r="1510" spans="1:75" ht="27" customHeight="1">
      <c r="A1510" s="78" t="s">
        <v>2970</v>
      </c>
      <c r="B1510" s="79" t="s">
        <v>93</v>
      </c>
      <c r="C1510" s="79" t="s">
        <v>2971</v>
      </c>
      <c r="D1510" s="198" t="s">
        <v>2972</v>
      </c>
      <c r="E1510" s="199"/>
      <c r="F1510" s="79" t="s">
        <v>2567</v>
      </c>
      <c r="G1510" s="80">
        <v>1</v>
      </c>
      <c r="H1510" s="81">
        <v>0</v>
      </c>
      <c r="I1510" s="80">
        <f aca="true" t="shared" si="378" ref="I1510:I1524">G1510*H1510</f>
        <v>0</v>
      </c>
      <c r="J1510" s="80">
        <v>0</v>
      </c>
      <c r="K1510" s="80">
        <f aca="true" t="shared" si="379" ref="K1510:K1524">G1510*J1510</f>
        <v>0</v>
      </c>
      <c r="L1510" s="82" t="s">
        <v>207</v>
      </c>
      <c r="Z1510" s="38">
        <f aca="true" t="shared" si="380" ref="Z1510:Z1524">IF(AQ1510="5",BJ1510,0)</f>
        <v>0</v>
      </c>
      <c r="AB1510" s="38">
        <f aca="true" t="shared" si="381" ref="AB1510:AB1524">IF(AQ1510="1",BH1510,0)</f>
        <v>0</v>
      </c>
      <c r="AC1510" s="38">
        <f aca="true" t="shared" si="382" ref="AC1510:AC1524">IF(AQ1510="1",BI1510,0)</f>
        <v>0</v>
      </c>
      <c r="AD1510" s="38">
        <f aca="true" t="shared" si="383" ref="AD1510:AD1524">IF(AQ1510="7",BH1510,0)</f>
        <v>0</v>
      </c>
      <c r="AE1510" s="38">
        <f aca="true" t="shared" si="384" ref="AE1510:AE1524">IF(AQ1510="7",BI1510,0)</f>
        <v>0</v>
      </c>
      <c r="AF1510" s="38">
        <f aca="true" t="shared" si="385" ref="AF1510:AF1524">IF(AQ1510="2",BH1510,0)</f>
        <v>0</v>
      </c>
      <c r="AG1510" s="38">
        <f aca="true" t="shared" si="386" ref="AG1510:AG1524">IF(AQ1510="2",BI1510,0)</f>
        <v>0</v>
      </c>
      <c r="AH1510" s="38">
        <f aca="true" t="shared" si="387" ref="AH1510:AH1524">IF(AQ1510="0",BJ1510,0)</f>
        <v>0</v>
      </c>
      <c r="AI1510" s="50" t="s">
        <v>93</v>
      </c>
      <c r="AJ1510" s="80">
        <f aca="true" t="shared" si="388" ref="AJ1510:AJ1524">IF(AN1510=0,I1510,0)</f>
        <v>0</v>
      </c>
      <c r="AK1510" s="80">
        <f aca="true" t="shared" si="389" ref="AK1510:AK1524">IF(AN1510=12,I1510,0)</f>
        <v>0</v>
      </c>
      <c r="AL1510" s="80">
        <f aca="true" t="shared" si="390" ref="AL1510:AL1524">IF(AN1510=21,I1510,0)</f>
        <v>0</v>
      </c>
      <c r="AN1510" s="38">
        <v>21</v>
      </c>
      <c r="AO1510" s="38">
        <f aca="true" t="shared" si="391" ref="AO1510:AO1524">H1510*1</f>
        <v>0</v>
      </c>
      <c r="AP1510" s="38">
        <f aca="true" t="shared" si="392" ref="AP1510:AP1524">H1510*(1-1)</f>
        <v>0</v>
      </c>
      <c r="AQ1510" s="83" t="s">
        <v>169</v>
      </c>
      <c r="AV1510" s="38">
        <f aca="true" t="shared" si="393" ref="AV1510:AV1524">AW1510+AX1510</f>
        <v>0</v>
      </c>
      <c r="AW1510" s="38">
        <f aca="true" t="shared" si="394" ref="AW1510:AW1524">G1510*AO1510</f>
        <v>0</v>
      </c>
      <c r="AX1510" s="38">
        <f aca="true" t="shared" si="395" ref="AX1510:AX1524">G1510*AP1510</f>
        <v>0</v>
      </c>
      <c r="AY1510" s="72" t="s">
        <v>2827</v>
      </c>
      <c r="AZ1510" s="72" t="s">
        <v>2828</v>
      </c>
      <c r="BA1510" s="50" t="s">
        <v>2563</v>
      </c>
      <c r="BC1510" s="38">
        <f aca="true" t="shared" si="396" ref="BC1510:BC1524">AW1510+AX1510</f>
        <v>0</v>
      </c>
      <c r="BD1510" s="38">
        <f aca="true" t="shared" si="397" ref="BD1510:BD1524">H1510/(100-BE1510)*100</f>
        <v>0</v>
      </c>
      <c r="BE1510" s="38">
        <v>0</v>
      </c>
      <c r="BF1510" s="38">
        <f aca="true" t="shared" si="398" ref="BF1510:BF1524">K1510</f>
        <v>0</v>
      </c>
      <c r="BH1510" s="80">
        <f aca="true" t="shared" si="399" ref="BH1510:BH1524">G1510*AO1510</f>
        <v>0</v>
      </c>
      <c r="BI1510" s="80">
        <f aca="true" t="shared" si="400" ref="BI1510:BI1524">G1510*AP1510</f>
        <v>0</v>
      </c>
      <c r="BJ1510" s="80">
        <f aca="true" t="shared" si="401" ref="BJ1510:BJ1524">G1510*H1510</f>
        <v>0</v>
      </c>
      <c r="BK1510" s="80"/>
      <c r="BL1510" s="38"/>
      <c r="BW1510" s="38">
        <v>21</v>
      </c>
    </row>
    <row r="1511" spans="1:75" ht="13.5" customHeight="1">
      <c r="A1511" s="78" t="s">
        <v>2973</v>
      </c>
      <c r="B1511" s="79" t="s">
        <v>93</v>
      </c>
      <c r="C1511" s="79" t="s">
        <v>2913</v>
      </c>
      <c r="D1511" s="198" t="s">
        <v>2832</v>
      </c>
      <c r="E1511" s="199"/>
      <c r="F1511" s="79" t="s">
        <v>2567</v>
      </c>
      <c r="G1511" s="80">
        <v>1</v>
      </c>
      <c r="H1511" s="81">
        <v>0</v>
      </c>
      <c r="I1511" s="80">
        <f t="shared" si="378"/>
        <v>0</v>
      </c>
      <c r="J1511" s="80">
        <v>0</v>
      </c>
      <c r="K1511" s="80">
        <f t="shared" si="379"/>
        <v>0</v>
      </c>
      <c r="L1511" s="82" t="s">
        <v>207</v>
      </c>
      <c r="Z1511" s="38">
        <f t="shared" si="380"/>
        <v>0</v>
      </c>
      <c r="AB1511" s="38">
        <f t="shared" si="381"/>
        <v>0</v>
      </c>
      <c r="AC1511" s="38">
        <f t="shared" si="382"/>
        <v>0</v>
      </c>
      <c r="AD1511" s="38">
        <f t="shared" si="383"/>
        <v>0</v>
      </c>
      <c r="AE1511" s="38">
        <f t="shared" si="384"/>
        <v>0</v>
      </c>
      <c r="AF1511" s="38">
        <f t="shared" si="385"/>
        <v>0</v>
      </c>
      <c r="AG1511" s="38">
        <f t="shared" si="386"/>
        <v>0</v>
      </c>
      <c r="AH1511" s="38">
        <f t="shared" si="387"/>
        <v>0</v>
      </c>
      <c r="AI1511" s="50" t="s">
        <v>93</v>
      </c>
      <c r="AJ1511" s="80">
        <f t="shared" si="388"/>
        <v>0</v>
      </c>
      <c r="AK1511" s="80">
        <f t="shared" si="389"/>
        <v>0</v>
      </c>
      <c r="AL1511" s="80">
        <f t="shared" si="390"/>
        <v>0</v>
      </c>
      <c r="AN1511" s="38">
        <v>21</v>
      </c>
      <c r="AO1511" s="38">
        <f t="shared" si="391"/>
        <v>0</v>
      </c>
      <c r="AP1511" s="38">
        <f t="shared" si="392"/>
        <v>0</v>
      </c>
      <c r="AQ1511" s="83" t="s">
        <v>169</v>
      </c>
      <c r="AV1511" s="38">
        <f t="shared" si="393"/>
        <v>0</v>
      </c>
      <c r="AW1511" s="38">
        <f t="shared" si="394"/>
        <v>0</v>
      </c>
      <c r="AX1511" s="38">
        <f t="shared" si="395"/>
        <v>0</v>
      </c>
      <c r="AY1511" s="72" t="s">
        <v>2827</v>
      </c>
      <c r="AZ1511" s="72" t="s">
        <v>2828</v>
      </c>
      <c r="BA1511" s="50" t="s">
        <v>2563</v>
      </c>
      <c r="BC1511" s="38">
        <f t="shared" si="396"/>
        <v>0</v>
      </c>
      <c r="BD1511" s="38">
        <f t="shared" si="397"/>
        <v>0</v>
      </c>
      <c r="BE1511" s="38">
        <v>0</v>
      </c>
      <c r="BF1511" s="38">
        <f t="shared" si="398"/>
        <v>0</v>
      </c>
      <c r="BH1511" s="80">
        <f t="shared" si="399"/>
        <v>0</v>
      </c>
      <c r="BI1511" s="80">
        <f t="shared" si="400"/>
        <v>0</v>
      </c>
      <c r="BJ1511" s="80">
        <f t="shared" si="401"/>
        <v>0</v>
      </c>
      <c r="BK1511" s="80"/>
      <c r="BL1511" s="38"/>
      <c r="BW1511" s="38">
        <v>21</v>
      </c>
    </row>
    <row r="1512" spans="1:75" ht="13.5" customHeight="1">
      <c r="A1512" s="78" t="s">
        <v>2974</v>
      </c>
      <c r="B1512" s="79" t="s">
        <v>93</v>
      </c>
      <c r="C1512" s="79" t="s">
        <v>2915</v>
      </c>
      <c r="D1512" s="198" t="s">
        <v>2835</v>
      </c>
      <c r="E1512" s="199"/>
      <c r="F1512" s="79" t="s">
        <v>2567</v>
      </c>
      <c r="G1512" s="80">
        <v>1</v>
      </c>
      <c r="H1512" s="81">
        <v>0</v>
      </c>
      <c r="I1512" s="80">
        <f t="shared" si="378"/>
        <v>0</v>
      </c>
      <c r="J1512" s="80">
        <v>0</v>
      </c>
      <c r="K1512" s="80">
        <f t="shared" si="379"/>
        <v>0</v>
      </c>
      <c r="L1512" s="82" t="s">
        <v>207</v>
      </c>
      <c r="Z1512" s="38">
        <f t="shared" si="380"/>
        <v>0</v>
      </c>
      <c r="AB1512" s="38">
        <f t="shared" si="381"/>
        <v>0</v>
      </c>
      <c r="AC1512" s="38">
        <f t="shared" si="382"/>
        <v>0</v>
      </c>
      <c r="AD1512" s="38">
        <f t="shared" si="383"/>
        <v>0</v>
      </c>
      <c r="AE1512" s="38">
        <f t="shared" si="384"/>
        <v>0</v>
      </c>
      <c r="AF1512" s="38">
        <f t="shared" si="385"/>
        <v>0</v>
      </c>
      <c r="AG1512" s="38">
        <f t="shared" si="386"/>
        <v>0</v>
      </c>
      <c r="AH1512" s="38">
        <f t="shared" si="387"/>
        <v>0</v>
      </c>
      <c r="AI1512" s="50" t="s">
        <v>93</v>
      </c>
      <c r="AJ1512" s="80">
        <f t="shared" si="388"/>
        <v>0</v>
      </c>
      <c r="AK1512" s="80">
        <f t="shared" si="389"/>
        <v>0</v>
      </c>
      <c r="AL1512" s="80">
        <f t="shared" si="390"/>
        <v>0</v>
      </c>
      <c r="AN1512" s="38">
        <v>21</v>
      </c>
      <c r="AO1512" s="38">
        <f t="shared" si="391"/>
        <v>0</v>
      </c>
      <c r="AP1512" s="38">
        <f t="shared" si="392"/>
        <v>0</v>
      </c>
      <c r="AQ1512" s="83" t="s">
        <v>169</v>
      </c>
      <c r="AV1512" s="38">
        <f t="shared" si="393"/>
        <v>0</v>
      </c>
      <c r="AW1512" s="38">
        <f t="shared" si="394"/>
        <v>0</v>
      </c>
      <c r="AX1512" s="38">
        <f t="shared" si="395"/>
        <v>0</v>
      </c>
      <c r="AY1512" s="72" t="s">
        <v>2827</v>
      </c>
      <c r="AZ1512" s="72" t="s">
        <v>2828</v>
      </c>
      <c r="BA1512" s="50" t="s">
        <v>2563</v>
      </c>
      <c r="BC1512" s="38">
        <f t="shared" si="396"/>
        <v>0</v>
      </c>
      <c r="BD1512" s="38">
        <f t="shared" si="397"/>
        <v>0</v>
      </c>
      <c r="BE1512" s="38">
        <v>0</v>
      </c>
      <c r="BF1512" s="38">
        <f t="shared" si="398"/>
        <v>0</v>
      </c>
      <c r="BH1512" s="80">
        <f t="shared" si="399"/>
        <v>0</v>
      </c>
      <c r="BI1512" s="80">
        <f t="shared" si="400"/>
        <v>0</v>
      </c>
      <c r="BJ1512" s="80">
        <f t="shared" si="401"/>
        <v>0</v>
      </c>
      <c r="BK1512" s="80"/>
      <c r="BL1512" s="38"/>
      <c r="BW1512" s="38">
        <v>21</v>
      </c>
    </row>
    <row r="1513" spans="1:75" ht="27" customHeight="1">
      <c r="A1513" s="78" t="s">
        <v>2975</v>
      </c>
      <c r="B1513" s="79" t="s">
        <v>93</v>
      </c>
      <c r="C1513" s="79" t="s">
        <v>2976</v>
      </c>
      <c r="D1513" s="198" t="s">
        <v>2977</v>
      </c>
      <c r="E1513" s="199"/>
      <c r="F1513" s="79" t="s">
        <v>2567</v>
      </c>
      <c r="G1513" s="80">
        <v>1</v>
      </c>
      <c r="H1513" s="81">
        <v>0</v>
      </c>
      <c r="I1513" s="80">
        <f t="shared" si="378"/>
        <v>0</v>
      </c>
      <c r="J1513" s="80">
        <v>0</v>
      </c>
      <c r="K1513" s="80">
        <f t="shared" si="379"/>
        <v>0</v>
      </c>
      <c r="L1513" s="82" t="s">
        <v>207</v>
      </c>
      <c r="Z1513" s="38">
        <f t="shared" si="380"/>
        <v>0</v>
      </c>
      <c r="AB1513" s="38">
        <f t="shared" si="381"/>
        <v>0</v>
      </c>
      <c r="AC1513" s="38">
        <f t="shared" si="382"/>
        <v>0</v>
      </c>
      <c r="AD1513" s="38">
        <f t="shared" si="383"/>
        <v>0</v>
      </c>
      <c r="AE1513" s="38">
        <f t="shared" si="384"/>
        <v>0</v>
      </c>
      <c r="AF1513" s="38">
        <f t="shared" si="385"/>
        <v>0</v>
      </c>
      <c r="AG1513" s="38">
        <f t="shared" si="386"/>
        <v>0</v>
      </c>
      <c r="AH1513" s="38">
        <f t="shared" si="387"/>
        <v>0</v>
      </c>
      <c r="AI1513" s="50" t="s">
        <v>93</v>
      </c>
      <c r="AJ1513" s="80">
        <f t="shared" si="388"/>
        <v>0</v>
      </c>
      <c r="AK1513" s="80">
        <f t="shared" si="389"/>
        <v>0</v>
      </c>
      <c r="AL1513" s="80">
        <f t="shared" si="390"/>
        <v>0</v>
      </c>
      <c r="AN1513" s="38">
        <v>21</v>
      </c>
      <c r="AO1513" s="38">
        <f t="shared" si="391"/>
        <v>0</v>
      </c>
      <c r="AP1513" s="38">
        <f t="shared" si="392"/>
        <v>0</v>
      </c>
      <c r="AQ1513" s="83" t="s">
        <v>169</v>
      </c>
      <c r="AV1513" s="38">
        <f t="shared" si="393"/>
        <v>0</v>
      </c>
      <c r="AW1513" s="38">
        <f t="shared" si="394"/>
        <v>0</v>
      </c>
      <c r="AX1513" s="38">
        <f t="shared" si="395"/>
        <v>0</v>
      </c>
      <c r="AY1513" s="72" t="s">
        <v>2827</v>
      </c>
      <c r="AZ1513" s="72" t="s">
        <v>2828</v>
      </c>
      <c r="BA1513" s="50" t="s">
        <v>2563</v>
      </c>
      <c r="BC1513" s="38">
        <f t="shared" si="396"/>
        <v>0</v>
      </c>
      <c r="BD1513" s="38">
        <f t="shared" si="397"/>
        <v>0</v>
      </c>
      <c r="BE1513" s="38">
        <v>0</v>
      </c>
      <c r="BF1513" s="38">
        <f t="shared" si="398"/>
        <v>0</v>
      </c>
      <c r="BH1513" s="80">
        <f t="shared" si="399"/>
        <v>0</v>
      </c>
      <c r="BI1513" s="80">
        <f t="shared" si="400"/>
        <v>0</v>
      </c>
      <c r="BJ1513" s="80">
        <f t="shared" si="401"/>
        <v>0</v>
      </c>
      <c r="BK1513" s="80"/>
      <c r="BL1513" s="38"/>
      <c r="BW1513" s="38">
        <v>21</v>
      </c>
    </row>
    <row r="1514" spans="1:75" ht="27" customHeight="1">
      <c r="A1514" s="78" t="s">
        <v>2978</v>
      </c>
      <c r="B1514" s="79" t="s">
        <v>93</v>
      </c>
      <c r="C1514" s="79" t="s">
        <v>2877</v>
      </c>
      <c r="D1514" s="198" t="s">
        <v>2878</v>
      </c>
      <c r="E1514" s="199"/>
      <c r="F1514" s="79" t="s">
        <v>2567</v>
      </c>
      <c r="G1514" s="80">
        <v>1</v>
      </c>
      <c r="H1514" s="81">
        <v>0</v>
      </c>
      <c r="I1514" s="80">
        <f t="shared" si="378"/>
        <v>0</v>
      </c>
      <c r="J1514" s="80">
        <v>0</v>
      </c>
      <c r="K1514" s="80">
        <f t="shared" si="379"/>
        <v>0</v>
      </c>
      <c r="L1514" s="82" t="s">
        <v>207</v>
      </c>
      <c r="Z1514" s="38">
        <f t="shared" si="380"/>
        <v>0</v>
      </c>
      <c r="AB1514" s="38">
        <f t="shared" si="381"/>
        <v>0</v>
      </c>
      <c r="AC1514" s="38">
        <f t="shared" si="382"/>
        <v>0</v>
      </c>
      <c r="AD1514" s="38">
        <f t="shared" si="383"/>
        <v>0</v>
      </c>
      <c r="AE1514" s="38">
        <f t="shared" si="384"/>
        <v>0</v>
      </c>
      <c r="AF1514" s="38">
        <f t="shared" si="385"/>
        <v>0</v>
      </c>
      <c r="AG1514" s="38">
        <f t="shared" si="386"/>
        <v>0</v>
      </c>
      <c r="AH1514" s="38">
        <f t="shared" si="387"/>
        <v>0</v>
      </c>
      <c r="AI1514" s="50" t="s">
        <v>93</v>
      </c>
      <c r="AJ1514" s="80">
        <f t="shared" si="388"/>
        <v>0</v>
      </c>
      <c r="AK1514" s="80">
        <f t="shared" si="389"/>
        <v>0</v>
      </c>
      <c r="AL1514" s="80">
        <f t="shared" si="390"/>
        <v>0</v>
      </c>
      <c r="AN1514" s="38">
        <v>21</v>
      </c>
      <c r="AO1514" s="38">
        <f t="shared" si="391"/>
        <v>0</v>
      </c>
      <c r="AP1514" s="38">
        <f t="shared" si="392"/>
        <v>0</v>
      </c>
      <c r="AQ1514" s="83" t="s">
        <v>169</v>
      </c>
      <c r="AV1514" s="38">
        <f t="shared" si="393"/>
        <v>0</v>
      </c>
      <c r="AW1514" s="38">
        <f t="shared" si="394"/>
        <v>0</v>
      </c>
      <c r="AX1514" s="38">
        <f t="shared" si="395"/>
        <v>0</v>
      </c>
      <c r="AY1514" s="72" t="s">
        <v>2827</v>
      </c>
      <c r="AZ1514" s="72" t="s">
        <v>2828</v>
      </c>
      <c r="BA1514" s="50" t="s">
        <v>2563</v>
      </c>
      <c r="BC1514" s="38">
        <f t="shared" si="396"/>
        <v>0</v>
      </c>
      <c r="BD1514" s="38">
        <f t="shared" si="397"/>
        <v>0</v>
      </c>
      <c r="BE1514" s="38">
        <v>0</v>
      </c>
      <c r="BF1514" s="38">
        <f t="shared" si="398"/>
        <v>0</v>
      </c>
      <c r="BH1514" s="80">
        <f t="shared" si="399"/>
        <v>0</v>
      </c>
      <c r="BI1514" s="80">
        <f t="shared" si="400"/>
        <v>0</v>
      </c>
      <c r="BJ1514" s="80">
        <f t="shared" si="401"/>
        <v>0</v>
      </c>
      <c r="BK1514" s="80"/>
      <c r="BL1514" s="38"/>
      <c r="BW1514" s="38">
        <v>21</v>
      </c>
    </row>
    <row r="1515" spans="1:75" ht="13.5" customHeight="1">
      <c r="A1515" s="78" t="s">
        <v>2979</v>
      </c>
      <c r="B1515" s="79" t="s">
        <v>93</v>
      </c>
      <c r="C1515" s="79" t="s">
        <v>2880</v>
      </c>
      <c r="D1515" s="198" t="s">
        <v>2881</v>
      </c>
      <c r="E1515" s="199"/>
      <c r="F1515" s="79" t="s">
        <v>2567</v>
      </c>
      <c r="G1515" s="80">
        <v>3</v>
      </c>
      <c r="H1515" s="81">
        <v>0</v>
      </c>
      <c r="I1515" s="80">
        <f t="shared" si="378"/>
        <v>0</v>
      </c>
      <c r="J1515" s="80">
        <v>0</v>
      </c>
      <c r="K1515" s="80">
        <f t="shared" si="379"/>
        <v>0</v>
      </c>
      <c r="L1515" s="82" t="s">
        <v>207</v>
      </c>
      <c r="Z1515" s="38">
        <f t="shared" si="380"/>
        <v>0</v>
      </c>
      <c r="AB1515" s="38">
        <f t="shared" si="381"/>
        <v>0</v>
      </c>
      <c r="AC1515" s="38">
        <f t="shared" si="382"/>
        <v>0</v>
      </c>
      <c r="AD1515" s="38">
        <f t="shared" si="383"/>
        <v>0</v>
      </c>
      <c r="AE1515" s="38">
        <f t="shared" si="384"/>
        <v>0</v>
      </c>
      <c r="AF1515" s="38">
        <f t="shared" si="385"/>
        <v>0</v>
      </c>
      <c r="AG1515" s="38">
        <f t="shared" si="386"/>
        <v>0</v>
      </c>
      <c r="AH1515" s="38">
        <f t="shared" si="387"/>
        <v>0</v>
      </c>
      <c r="AI1515" s="50" t="s">
        <v>93</v>
      </c>
      <c r="AJ1515" s="80">
        <f t="shared" si="388"/>
        <v>0</v>
      </c>
      <c r="AK1515" s="80">
        <f t="shared" si="389"/>
        <v>0</v>
      </c>
      <c r="AL1515" s="80">
        <f t="shared" si="390"/>
        <v>0</v>
      </c>
      <c r="AN1515" s="38">
        <v>21</v>
      </c>
      <c r="AO1515" s="38">
        <f t="shared" si="391"/>
        <v>0</v>
      </c>
      <c r="AP1515" s="38">
        <f t="shared" si="392"/>
        <v>0</v>
      </c>
      <c r="AQ1515" s="83" t="s">
        <v>169</v>
      </c>
      <c r="AV1515" s="38">
        <f t="shared" si="393"/>
        <v>0</v>
      </c>
      <c r="AW1515" s="38">
        <f t="shared" si="394"/>
        <v>0</v>
      </c>
      <c r="AX1515" s="38">
        <f t="shared" si="395"/>
        <v>0</v>
      </c>
      <c r="AY1515" s="72" t="s">
        <v>2827</v>
      </c>
      <c r="AZ1515" s="72" t="s">
        <v>2828</v>
      </c>
      <c r="BA1515" s="50" t="s">
        <v>2563</v>
      </c>
      <c r="BC1515" s="38">
        <f t="shared" si="396"/>
        <v>0</v>
      </c>
      <c r="BD1515" s="38">
        <f t="shared" si="397"/>
        <v>0</v>
      </c>
      <c r="BE1515" s="38">
        <v>0</v>
      </c>
      <c r="BF1515" s="38">
        <f t="shared" si="398"/>
        <v>0</v>
      </c>
      <c r="BH1515" s="80">
        <f t="shared" si="399"/>
        <v>0</v>
      </c>
      <c r="BI1515" s="80">
        <f t="shared" si="400"/>
        <v>0</v>
      </c>
      <c r="BJ1515" s="80">
        <f t="shared" si="401"/>
        <v>0</v>
      </c>
      <c r="BK1515" s="80"/>
      <c r="BL1515" s="38"/>
      <c r="BW1515" s="38">
        <v>21</v>
      </c>
    </row>
    <row r="1516" spans="1:75" ht="27" customHeight="1">
      <c r="A1516" s="78" t="s">
        <v>2980</v>
      </c>
      <c r="B1516" s="79" t="s">
        <v>93</v>
      </c>
      <c r="C1516" s="79" t="s">
        <v>2883</v>
      </c>
      <c r="D1516" s="198" t="s">
        <v>2884</v>
      </c>
      <c r="E1516" s="199"/>
      <c r="F1516" s="79" t="s">
        <v>2567</v>
      </c>
      <c r="G1516" s="80">
        <v>1</v>
      </c>
      <c r="H1516" s="81">
        <v>0</v>
      </c>
      <c r="I1516" s="80">
        <f t="shared" si="378"/>
        <v>0</v>
      </c>
      <c r="J1516" s="80">
        <v>0</v>
      </c>
      <c r="K1516" s="80">
        <f t="shared" si="379"/>
        <v>0</v>
      </c>
      <c r="L1516" s="82" t="s">
        <v>207</v>
      </c>
      <c r="Z1516" s="38">
        <f t="shared" si="380"/>
        <v>0</v>
      </c>
      <c r="AB1516" s="38">
        <f t="shared" si="381"/>
        <v>0</v>
      </c>
      <c r="AC1516" s="38">
        <f t="shared" si="382"/>
        <v>0</v>
      </c>
      <c r="AD1516" s="38">
        <f t="shared" si="383"/>
        <v>0</v>
      </c>
      <c r="AE1516" s="38">
        <f t="shared" si="384"/>
        <v>0</v>
      </c>
      <c r="AF1516" s="38">
        <f t="shared" si="385"/>
        <v>0</v>
      </c>
      <c r="AG1516" s="38">
        <f t="shared" si="386"/>
        <v>0</v>
      </c>
      <c r="AH1516" s="38">
        <f t="shared" si="387"/>
        <v>0</v>
      </c>
      <c r="AI1516" s="50" t="s">
        <v>93</v>
      </c>
      <c r="AJ1516" s="80">
        <f t="shared" si="388"/>
        <v>0</v>
      </c>
      <c r="AK1516" s="80">
        <f t="shared" si="389"/>
        <v>0</v>
      </c>
      <c r="AL1516" s="80">
        <f t="shared" si="390"/>
        <v>0</v>
      </c>
      <c r="AN1516" s="38">
        <v>21</v>
      </c>
      <c r="AO1516" s="38">
        <f t="shared" si="391"/>
        <v>0</v>
      </c>
      <c r="AP1516" s="38">
        <f t="shared" si="392"/>
        <v>0</v>
      </c>
      <c r="AQ1516" s="83" t="s">
        <v>169</v>
      </c>
      <c r="AV1516" s="38">
        <f t="shared" si="393"/>
        <v>0</v>
      </c>
      <c r="AW1516" s="38">
        <f t="shared" si="394"/>
        <v>0</v>
      </c>
      <c r="AX1516" s="38">
        <f t="shared" si="395"/>
        <v>0</v>
      </c>
      <c r="AY1516" s="72" t="s">
        <v>2827</v>
      </c>
      <c r="AZ1516" s="72" t="s">
        <v>2828</v>
      </c>
      <c r="BA1516" s="50" t="s">
        <v>2563</v>
      </c>
      <c r="BC1516" s="38">
        <f t="shared" si="396"/>
        <v>0</v>
      </c>
      <c r="BD1516" s="38">
        <f t="shared" si="397"/>
        <v>0</v>
      </c>
      <c r="BE1516" s="38">
        <v>0</v>
      </c>
      <c r="BF1516" s="38">
        <f t="shared" si="398"/>
        <v>0</v>
      </c>
      <c r="BH1516" s="80">
        <f t="shared" si="399"/>
        <v>0</v>
      </c>
      <c r="BI1516" s="80">
        <f t="shared" si="400"/>
        <v>0</v>
      </c>
      <c r="BJ1516" s="80">
        <f t="shared" si="401"/>
        <v>0</v>
      </c>
      <c r="BK1516" s="80"/>
      <c r="BL1516" s="38"/>
      <c r="BW1516" s="38">
        <v>21</v>
      </c>
    </row>
    <row r="1517" spans="1:75" ht="27" customHeight="1">
      <c r="A1517" s="78" t="s">
        <v>2981</v>
      </c>
      <c r="B1517" s="79" t="s">
        <v>93</v>
      </c>
      <c r="C1517" s="79" t="s">
        <v>2889</v>
      </c>
      <c r="D1517" s="198" t="s">
        <v>2890</v>
      </c>
      <c r="E1517" s="199"/>
      <c r="F1517" s="79" t="s">
        <v>2567</v>
      </c>
      <c r="G1517" s="80">
        <v>3</v>
      </c>
      <c r="H1517" s="81">
        <v>0</v>
      </c>
      <c r="I1517" s="80">
        <f t="shared" si="378"/>
        <v>0</v>
      </c>
      <c r="J1517" s="80">
        <v>0</v>
      </c>
      <c r="K1517" s="80">
        <f t="shared" si="379"/>
        <v>0</v>
      </c>
      <c r="L1517" s="82" t="s">
        <v>207</v>
      </c>
      <c r="Z1517" s="38">
        <f t="shared" si="380"/>
        <v>0</v>
      </c>
      <c r="AB1517" s="38">
        <f t="shared" si="381"/>
        <v>0</v>
      </c>
      <c r="AC1517" s="38">
        <f t="shared" si="382"/>
        <v>0</v>
      </c>
      <c r="AD1517" s="38">
        <f t="shared" si="383"/>
        <v>0</v>
      </c>
      <c r="AE1517" s="38">
        <f t="shared" si="384"/>
        <v>0</v>
      </c>
      <c r="AF1517" s="38">
        <f t="shared" si="385"/>
        <v>0</v>
      </c>
      <c r="AG1517" s="38">
        <f t="shared" si="386"/>
        <v>0</v>
      </c>
      <c r="AH1517" s="38">
        <f t="shared" si="387"/>
        <v>0</v>
      </c>
      <c r="AI1517" s="50" t="s">
        <v>93</v>
      </c>
      <c r="AJ1517" s="80">
        <f t="shared" si="388"/>
        <v>0</v>
      </c>
      <c r="AK1517" s="80">
        <f t="shared" si="389"/>
        <v>0</v>
      </c>
      <c r="AL1517" s="80">
        <f t="shared" si="390"/>
        <v>0</v>
      </c>
      <c r="AN1517" s="38">
        <v>21</v>
      </c>
      <c r="AO1517" s="38">
        <f t="shared" si="391"/>
        <v>0</v>
      </c>
      <c r="AP1517" s="38">
        <f t="shared" si="392"/>
        <v>0</v>
      </c>
      <c r="AQ1517" s="83" t="s">
        <v>169</v>
      </c>
      <c r="AV1517" s="38">
        <f t="shared" si="393"/>
        <v>0</v>
      </c>
      <c r="AW1517" s="38">
        <f t="shared" si="394"/>
        <v>0</v>
      </c>
      <c r="AX1517" s="38">
        <f t="shared" si="395"/>
        <v>0</v>
      </c>
      <c r="AY1517" s="72" t="s">
        <v>2827</v>
      </c>
      <c r="AZ1517" s="72" t="s">
        <v>2828</v>
      </c>
      <c r="BA1517" s="50" t="s">
        <v>2563</v>
      </c>
      <c r="BC1517" s="38">
        <f t="shared" si="396"/>
        <v>0</v>
      </c>
      <c r="BD1517" s="38">
        <f t="shared" si="397"/>
        <v>0</v>
      </c>
      <c r="BE1517" s="38">
        <v>0</v>
      </c>
      <c r="BF1517" s="38">
        <f t="shared" si="398"/>
        <v>0</v>
      </c>
      <c r="BH1517" s="80">
        <f t="shared" si="399"/>
        <v>0</v>
      </c>
      <c r="BI1517" s="80">
        <f t="shared" si="400"/>
        <v>0</v>
      </c>
      <c r="BJ1517" s="80">
        <f t="shared" si="401"/>
        <v>0</v>
      </c>
      <c r="BK1517" s="80"/>
      <c r="BL1517" s="38"/>
      <c r="BW1517" s="38">
        <v>21</v>
      </c>
    </row>
    <row r="1518" spans="1:75" ht="27" customHeight="1">
      <c r="A1518" s="78" t="s">
        <v>2982</v>
      </c>
      <c r="B1518" s="79" t="s">
        <v>93</v>
      </c>
      <c r="C1518" s="79" t="s">
        <v>2892</v>
      </c>
      <c r="D1518" s="198" t="s">
        <v>2893</v>
      </c>
      <c r="E1518" s="199"/>
      <c r="F1518" s="79" t="s">
        <v>2567</v>
      </c>
      <c r="G1518" s="80">
        <v>8</v>
      </c>
      <c r="H1518" s="81">
        <v>0</v>
      </c>
      <c r="I1518" s="80">
        <f t="shared" si="378"/>
        <v>0</v>
      </c>
      <c r="J1518" s="80">
        <v>0</v>
      </c>
      <c r="K1518" s="80">
        <f t="shared" si="379"/>
        <v>0</v>
      </c>
      <c r="L1518" s="82" t="s">
        <v>207</v>
      </c>
      <c r="Z1518" s="38">
        <f t="shared" si="380"/>
        <v>0</v>
      </c>
      <c r="AB1518" s="38">
        <f t="shared" si="381"/>
        <v>0</v>
      </c>
      <c r="AC1518" s="38">
        <f t="shared" si="382"/>
        <v>0</v>
      </c>
      <c r="AD1518" s="38">
        <f t="shared" si="383"/>
        <v>0</v>
      </c>
      <c r="AE1518" s="38">
        <f t="shared" si="384"/>
        <v>0</v>
      </c>
      <c r="AF1518" s="38">
        <f t="shared" si="385"/>
        <v>0</v>
      </c>
      <c r="AG1518" s="38">
        <f t="shared" si="386"/>
        <v>0</v>
      </c>
      <c r="AH1518" s="38">
        <f t="shared" si="387"/>
        <v>0</v>
      </c>
      <c r="AI1518" s="50" t="s">
        <v>93</v>
      </c>
      <c r="AJ1518" s="80">
        <f t="shared" si="388"/>
        <v>0</v>
      </c>
      <c r="AK1518" s="80">
        <f t="shared" si="389"/>
        <v>0</v>
      </c>
      <c r="AL1518" s="80">
        <f t="shared" si="390"/>
        <v>0</v>
      </c>
      <c r="AN1518" s="38">
        <v>21</v>
      </c>
      <c r="AO1518" s="38">
        <f t="shared" si="391"/>
        <v>0</v>
      </c>
      <c r="AP1518" s="38">
        <f t="shared" si="392"/>
        <v>0</v>
      </c>
      <c r="AQ1518" s="83" t="s">
        <v>169</v>
      </c>
      <c r="AV1518" s="38">
        <f t="shared" si="393"/>
        <v>0</v>
      </c>
      <c r="AW1518" s="38">
        <f t="shared" si="394"/>
        <v>0</v>
      </c>
      <c r="AX1518" s="38">
        <f t="shared" si="395"/>
        <v>0</v>
      </c>
      <c r="AY1518" s="72" t="s">
        <v>2827</v>
      </c>
      <c r="AZ1518" s="72" t="s">
        <v>2828</v>
      </c>
      <c r="BA1518" s="50" t="s">
        <v>2563</v>
      </c>
      <c r="BC1518" s="38">
        <f t="shared" si="396"/>
        <v>0</v>
      </c>
      <c r="BD1518" s="38">
        <f t="shared" si="397"/>
        <v>0</v>
      </c>
      <c r="BE1518" s="38">
        <v>0</v>
      </c>
      <c r="BF1518" s="38">
        <f t="shared" si="398"/>
        <v>0</v>
      </c>
      <c r="BH1518" s="80">
        <f t="shared" si="399"/>
        <v>0</v>
      </c>
      <c r="BI1518" s="80">
        <f t="shared" si="400"/>
        <v>0</v>
      </c>
      <c r="BJ1518" s="80">
        <f t="shared" si="401"/>
        <v>0</v>
      </c>
      <c r="BK1518" s="80"/>
      <c r="BL1518" s="38"/>
      <c r="BW1518" s="38">
        <v>21</v>
      </c>
    </row>
    <row r="1519" spans="1:75" ht="13.5" customHeight="1">
      <c r="A1519" s="78" t="s">
        <v>2983</v>
      </c>
      <c r="B1519" s="79" t="s">
        <v>93</v>
      </c>
      <c r="C1519" s="79" t="s">
        <v>2843</v>
      </c>
      <c r="D1519" s="198" t="s">
        <v>2844</v>
      </c>
      <c r="E1519" s="199"/>
      <c r="F1519" s="79" t="s">
        <v>2567</v>
      </c>
      <c r="G1519" s="80">
        <v>11</v>
      </c>
      <c r="H1519" s="81">
        <v>0</v>
      </c>
      <c r="I1519" s="80">
        <f t="shared" si="378"/>
        <v>0</v>
      </c>
      <c r="J1519" s="80">
        <v>0</v>
      </c>
      <c r="K1519" s="80">
        <f t="shared" si="379"/>
        <v>0</v>
      </c>
      <c r="L1519" s="82" t="s">
        <v>207</v>
      </c>
      <c r="Z1519" s="38">
        <f t="shared" si="380"/>
        <v>0</v>
      </c>
      <c r="AB1519" s="38">
        <f t="shared" si="381"/>
        <v>0</v>
      </c>
      <c r="AC1519" s="38">
        <f t="shared" si="382"/>
        <v>0</v>
      </c>
      <c r="AD1519" s="38">
        <f t="shared" si="383"/>
        <v>0</v>
      </c>
      <c r="AE1519" s="38">
        <f t="shared" si="384"/>
        <v>0</v>
      </c>
      <c r="AF1519" s="38">
        <f t="shared" si="385"/>
        <v>0</v>
      </c>
      <c r="AG1519" s="38">
        <f t="shared" si="386"/>
        <v>0</v>
      </c>
      <c r="AH1519" s="38">
        <f t="shared" si="387"/>
        <v>0</v>
      </c>
      <c r="AI1519" s="50" t="s">
        <v>93</v>
      </c>
      <c r="AJ1519" s="80">
        <f t="shared" si="388"/>
        <v>0</v>
      </c>
      <c r="AK1519" s="80">
        <f t="shared" si="389"/>
        <v>0</v>
      </c>
      <c r="AL1519" s="80">
        <f t="shared" si="390"/>
        <v>0</v>
      </c>
      <c r="AN1519" s="38">
        <v>21</v>
      </c>
      <c r="AO1519" s="38">
        <f t="shared" si="391"/>
        <v>0</v>
      </c>
      <c r="AP1519" s="38">
        <f t="shared" si="392"/>
        <v>0</v>
      </c>
      <c r="AQ1519" s="83" t="s">
        <v>169</v>
      </c>
      <c r="AV1519" s="38">
        <f t="shared" si="393"/>
        <v>0</v>
      </c>
      <c r="AW1519" s="38">
        <f t="shared" si="394"/>
        <v>0</v>
      </c>
      <c r="AX1519" s="38">
        <f t="shared" si="395"/>
        <v>0</v>
      </c>
      <c r="AY1519" s="72" t="s">
        <v>2827</v>
      </c>
      <c r="AZ1519" s="72" t="s">
        <v>2828</v>
      </c>
      <c r="BA1519" s="50" t="s">
        <v>2563</v>
      </c>
      <c r="BC1519" s="38">
        <f t="shared" si="396"/>
        <v>0</v>
      </c>
      <c r="BD1519" s="38">
        <f t="shared" si="397"/>
        <v>0</v>
      </c>
      <c r="BE1519" s="38">
        <v>0</v>
      </c>
      <c r="BF1519" s="38">
        <f t="shared" si="398"/>
        <v>0</v>
      </c>
      <c r="BH1519" s="80">
        <f t="shared" si="399"/>
        <v>0</v>
      </c>
      <c r="BI1519" s="80">
        <f t="shared" si="400"/>
        <v>0</v>
      </c>
      <c r="BJ1519" s="80">
        <f t="shared" si="401"/>
        <v>0</v>
      </c>
      <c r="BK1519" s="80"/>
      <c r="BL1519" s="38"/>
      <c r="BW1519" s="38">
        <v>21</v>
      </c>
    </row>
    <row r="1520" spans="1:75" ht="13.5" customHeight="1">
      <c r="A1520" s="78" t="s">
        <v>2984</v>
      </c>
      <c r="B1520" s="79" t="s">
        <v>93</v>
      </c>
      <c r="C1520" s="79" t="s">
        <v>2846</v>
      </c>
      <c r="D1520" s="198" t="s">
        <v>2847</v>
      </c>
      <c r="E1520" s="199"/>
      <c r="F1520" s="79" t="s">
        <v>2567</v>
      </c>
      <c r="G1520" s="80">
        <v>11</v>
      </c>
      <c r="H1520" s="81">
        <v>0</v>
      </c>
      <c r="I1520" s="80">
        <f t="shared" si="378"/>
        <v>0</v>
      </c>
      <c r="J1520" s="80">
        <v>0</v>
      </c>
      <c r="K1520" s="80">
        <f t="shared" si="379"/>
        <v>0</v>
      </c>
      <c r="L1520" s="82" t="s">
        <v>207</v>
      </c>
      <c r="Z1520" s="38">
        <f t="shared" si="380"/>
        <v>0</v>
      </c>
      <c r="AB1520" s="38">
        <f t="shared" si="381"/>
        <v>0</v>
      </c>
      <c r="AC1520" s="38">
        <f t="shared" si="382"/>
        <v>0</v>
      </c>
      <c r="AD1520" s="38">
        <f t="shared" si="383"/>
        <v>0</v>
      </c>
      <c r="AE1520" s="38">
        <f t="shared" si="384"/>
        <v>0</v>
      </c>
      <c r="AF1520" s="38">
        <f t="shared" si="385"/>
        <v>0</v>
      </c>
      <c r="AG1520" s="38">
        <f t="shared" si="386"/>
        <v>0</v>
      </c>
      <c r="AH1520" s="38">
        <f t="shared" si="387"/>
        <v>0</v>
      </c>
      <c r="AI1520" s="50" t="s">
        <v>93</v>
      </c>
      <c r="AJ1520" s="80">
        <f t="shared" si="388"/>
        <v>0</v>
      </c>
      <c r="AK1520" s="80">
        <f t="shared" si="389"/>
        <v>0</v>
      </c>
      <c r="AL1520" s="80">
        <f t="shared" si="390"/>
        <v>0</v>
      </c>
      <c r="AN1520" s="38">
        <v>21</v>
      </c>
      <c r="AO1520" s="38">
        <f t="shared" si="391"/>
        <v>0</v>
      </c>
      <c r="AP1520" s="38">
        <f t="shared" si="392"/>
        <v>0</v>
      </c>
      <c r="AQ1520" s="83" t="s">
        <v>169</v>
      </c>
      <c r="AV1520" s="38">
        <f t="shared" si="393"/>
        <v>0</v>
      </c>
      <c r="AW1520" s="38">
        <f t="shared" si="394"/>
        <v>0</v>
      </c>
      <c r="AX1520" s="38">
        <f t="shared" si="395"/>
        <v>0</v>
      </c>
      <c r="AY1520" s="72" t="s">
        <v>2827</v>
      </c>
      <c r="AZ1520" s="72" t="s">
        <v>2828</v>
      </c>
      <c r="BA1520" s="50" t="s">
        <v>2563</v>
      </c>
      <c r="BC1520" s="38">
        <f t="shared" si="396"/>
        <v>0</v>
      </c>
      <c r="BD1520" s="38">
        <f t="shared" si="397"/>
        <v>0</v>
      </c>
      <c r="BE1520" s="38">
        <v>0</v>
      </c>
      <c r="BF1520" s="38">
        <f t="shared" si="398"/>
        <v>0</v>
      </c>
      <c r="BH1520" s="80">
        <f t="shared" si="399"/>
        <v>0</v>
      </c>
      <c r="BI1520" s="80">
        <f t="shared" si="400"/>
        <v>0</v>
      </c>
      <c r="BJ1520" s="80">
        <f t="shared" si="401"/>
        <v>0</v>
      </c>
      <c r="BK1520" s="80"/>
      <c r="BL1520" s="38"/>
      <c r="BW1520" s="38">
        <v>21</v>
      </c>
    </row>
    <row r="1521" spans="1:75" ht="13.5" customHeight="1">
      <c r="A1521" s="78" t="s">
        <v>2985</v>
      </c>
      <c r="B1521" s="79" t="s">
        <v>93</v>
      </c>
      <c r="C1521" s="79" t="s">
        <v>2849</v>
      </c>
      <c r="D1521" s="198" t="s">
        <v>2850</v>
      </c>
      <c r="E1521" s="199"/>
      <c r="F1521" s="79" t="s">
        <v>2567</v>
      </c>
      <c r="G1521" s="80">
        <v>11</v>
      </c>
      <c r="H1521" s="81">
        <v>0</v>
      </c>
      <c r="I1521" s="80">
        <f t="shared" si="378"/>
        <v>0</v>
      </c>
      <c r="J1521" s="80">
        <v>0</v>
      </c>
      <c r="K1521" s="80">
        <f t="shared" si="379"/>
        <v>0</v>
      </c>
      <c r="L1521" s="82" t="s">
        <v>207</v>
      </c>
      <c r="Z1521" s="38">
        <f t="shared" si="380"/>
        <v>0</v>
      </c>
      <c r="AB1521" s="38">
        <f t="shared" si="381"/>
        <v>0</v>
      </c>
      <c r="AC1521" s="38">
        <f t="shared" si="382"/>
        <v>0</v>
      </c>
      <c r="AD1521" s="38">
        <f t="shared" si="383"/>
        <v>0</v>
      </c>
      <c r="AE1521" s="38">
        <f t="shared" si="384"/>
        <v>0</v>
      </c>
      <c r="AF1521" s="38">
        <f t="shared" si="385"/>
        <v>0</v>
      </c>
      <c r="AG1521" s="38">
        <f t="shared" si="386"/>
        <v>0</v>
      </c>
      <c r="AH1521" s="38">
        <f t="shared" si="387"/>
        <v>0</v>
      </c>
      <c r="AI1521" s="50" t="s">
        <v>93</v>
      </c>
      <c r="AJ1521" s="80">
        <f t="shared" si="388"/>
        <v>0</v>
      </c>
      <c r="AK1521" s="80">
        <f t="shared" si="389"/>
        <v>0</v>
      </c>
      <c r="AL1521" s="80">
        <f t="shared" si="390"/>
        <v>0</v>
      </c>
      <c r="AN1521" s="38">
        <v>21</v>
      </c>
      <c r="AO1521" s="38">
        <f t="shared" si="391"/>
        <v>0</v>
      </c>
      <c r="AP1521" s="38">
        <f t="shared" si="392"/>
        <v>0</v>
      </c>
      <c r="AQ1521" s="83" t="s">
        <v>169</v>
      </c>
      <c r="AV1521" s="38">
        <f t="shared" si="393"/>
        <v>0</v>
      </c>
      <c r="AW1521" s="38">
        <f t="shared" si="394"/>
        <v>0</v>
      </c>
      <c r="AX1521" s="38">
        <f t="shared" si="395"/>
        <v>0</v>
      </c>
      <c r="AY1521" s="72" t="s">
        <v>2827</v>
      </c>
      <c r="AZ1521" s="72" t="s">
        <v>2828</v>
      </c>
      <c r="BA1521" s="50" t="s">
        <v>2563</v>
      </c>
      <c r="BC1521" s="38">
        <f t="shared" si="396"/>
        <v>0</v>
      </c>
      <c r="BD1521" s="38">
        <f t="shared" si="397"/>
        <v>0</v>
      </c>
      <c r="BE1521" s="38">
        <v>0</v>
      </c>
      <c r="BF1521" s="38">
        <f t="shared" si="398"/>
        <v>0</v>
      </c>
      <c r="BH1521" s="80">
        <f t="shared" si="399"/>
        <v>0</v>
      </c>
      <c r="BI1521" s="80">
        <f t="shared" si="400"/>
        <v>0</v>
      </c>
      <c r="BJ1521" s="80">
        <f t="shared" si="401"/>
        <v>0</v>
      </c>
      <c r="BK1521" s="80"/>
      <c r="BL1521" s="38"/>
      <c r="BW1521" s="38">
        <v>21</v>
      </c>
    </row>
    <row r="1522" spans="1:75" ht="13.5" customHeight="1">
      <c r="A1522" s="78" t="s">
        <v>2986</v>
      </c>
      <c r="B1522" s="79" t="s">
        <v>93</v>
      </c>
      <c r="C1522" s="79" t="s">
        <v>2861</v>
      </c>
      <c r="D1522" s="198" t="s">
        <v>2862</v>
      </c>
      <c r="E1522" s="199"/>
      <c r="F1522" s="79" t="s">
        <v>2567</v>
      </c>
      <c r="G1522" s="80">
        <v>3</v>
      </c>
      <c r="H1522" s="81">
        <v>0</v>
      </c>
      <c r="I1522" s="80">
        <f t="shared" si="378"/>
        <v>0</v>
      </c>
      <c r="J1522" s="80">
        <v>0</v>
      </c>
      <c r="K1522" s="80">
        <f t="shared" si="379"/>
        <v>0</v>
      </c>
      <c r="L1522" s="82" t="s">
        <v>207</v>
      </c>
      <c r="Z1522" s="38">
        <f t="shared" si="380"/>
        <v>0</v>
      </c>
      <c r="AB1522" s="38">
        <f t="shared" si="381"/>
        <v>0</v>
      </c>
      <c r="AC1522" s="38">
        <f t="shared" si="382"/>
        <v>0</v>
      </c>
      <c r="AD1522" s="38">
        <f t="shared" si="383"/>
        <v>0</v>
      </c>
      <c r="AE1522" s="38">
        <f t="shared" si="384"/>
        <v>0</v>
      </c>
      <c r="AF1522" s="38">
        <f t="shared" si="385"/>
        <v>0</v>
      </c>
      <c r="AG1522" s="38">
        <f t="shared" si="386"/>
        <v>0</v>
      </c>
      <c r="AH1522" s="38">
        <f t="shared" si="387"/>
        <v>0</v>
      </c>
      <c r="AI1522" s="50" t="s">
        <v>93</v>
      </c>
      <c r="AJ1522" s="80">
        <f t="shared" si="388"/>
        <v>0</v>
      </c>
      <c r="AK1522" s="80">
        <f t="shared" si="389"/>
        <v>0</v>
      </c>
      <c r="AL1522" s="80">
        <f t="shared" si="390"/>
        <v>0</v>
      </c>
      <c r="AN1522" s="38">
        <v>21</v>
      </c>
      <c r="AO1522" s="38">
        <f t="shared" si="391"/>
        <v>0</v>
      </c>
      <c r="AP1522" s="38">
        <f t="shared" si="392"/>
        <v>0</v>
      </c>
      <c r="AQ1522" s="83" t="s">
        <v>169</v>
      </c>
      <c r="AV1522" s="38">
        <f t="shared" si="393"/>
        <v>0</v>
      </c>
      <c r="AW1522" s="38">
        <f t="shared" si="394"/>
        <v>0</v>
      </c>
      <c r="AX1522" s="38">
        <f t="shared" si="395"/>
        <v>0</v>
      </c>
      <c r="AY1522" s="72" t="s">
        <v>2827</v>
      </c>
      <c r="AZ1522" s="72" t="s">
        <v>2828</v>
      </c>
      <c r="BA1522" s="50" t="s">
        <v>2563</v>
      </c>
      <c r="BC1522" s="38">
        <f t="shared" si="396"/>
        <v>0</v>
      </c>
      <c r="BD1522" s="38">
        <f t="shared" si="397"/>
        <v>0</v>
      </c>
      <c r="BE1522" s="38">
        <v>0</v>
      </c>
      <c r="BF1522" s="38">
        <f t="shared" si="398"/>
        <v>0</v>
      </c>
      <c r="BH1522" s="80">
        <f t="shared" si="399"/>
        <v>0</v>
      </c>
      <c r="BI1522" s="80">
        <f t="shared" si="400"/>
        <v>0</v>
      </c>
      <c r="BJ1522" s="80">
        <f t="shared" si="401"/>
        <v>0</v>
      </c>
      <c r="BK1522" s="80"/>
      <c r="BL1522" s="38"/>
      <c r="BW1522" s="38">
        <v>21</v>
      </c>
    </row>
    <row r="1523" spans="1:75" ht="13.5" customHeight="1">
      <c r="A1523" s="78" t="s">
        <v>2987</v>
      </c>
      <c r="B1523" s="79" t="s">
        <v>93</v>
      </c>
      <c r="C1523" s="79" t="s">
        <v>2864</v>
      </c>
      <c r="D1523" s="198" t="s">
        <v>2865</v>
      </c>
      <c r="E1523" s="199"/>
      <c r="F1523" s="79" t="s">
        <v>2567</v>
      </c>
      <c r="G1523" s="80">
        <v>1</v>
      </c>
      <c r="H1523" s="81">
        <v>0</v>
      </c>
      <c r="I1523" s="80">
        <f t="shared" si="378"/>
        <v>0</v>
      </c>
      <c r="J1523" s="80">
        <v>0</v>
      </c>
      <c r="K1523" s="80">
        <f t="shared" si="379"/>
        <v>0</v>
      </c>
      <c r="L1523" s="82" t="s">
        <v>207</v>
      </c>
      <c r="Z1523" s="38">
        <f t="shared" si="380"/>
        <v>0</v>
      </c>
      <c r="AB1523" s="38">
        <f t="shared" si="381"/>
        <v>0</v>
      </c>
      <c r="AC1523" s="38">
        <f t="shared" si="382"/>
        <v>0</v>
      </c>
      <c r="AD1523" s="38">
        <f t="shared" si="383"/>
        <v>0</v>
      </c>
      <c r="AE1523" s="38">
        <f t="shared" si="384"/>
        <v>0</v>
      </c>
      <c r="AF1523" s="38">
        <f t="shared" si="385"/>
        <v>0</v>
      </c>
      <c r="AG1523" s="38">
        <f t="shared" si="386"/>
        <v>0</v>
      </c>
      <c r="AH1523" s="38">
        <f t="shared" si="387"/>
        <v>0</v>
      </c>
      <c r="AI1523" s="50" t="s">
        <v>93</v>
      </c>
      <c r="AJ1523" s="80">
        <f t="shared" si="388"/>
        <v>0</v>
      </c>
      <c r="AK1523" s="80">
        <f t="shared" si="389"/>
        <v>0</v>
      </c>
      <c r="AL1523" s="80">
        <f t="shared" si="390"/>
        <v>0</v>
      </c>
      <c r="AN1523" s="38">
        <v>21</v>
      </c>
      <c r="AO1523" s="38">
        <f t="shared" si="391"/>
        <v>0</v>
      </c>
      <c r="AP1523" s="38">
        <f t="shared" si="392"/>
        <v>0</v>
      </c>
      <c r="AQ1523" s="83" t="s">
        <v>169</v>
      </c>
      <c r="AV1523" s="38">
        <f t="shared" si="393"/>
        <v>0</v>
      </c>
      <c r="AW1523" s="38">
        <f t="shared" si="394"/>
        <v>0</v>
      </c>
      <c r="AX1523" s="38">
        <f t="shared" si="395"/>
        <v>0</v>
      </c>
      <c r="AY1523" s="72" t="s">
        <v>2827</v>
      </c>
      <c r="AZ1523" s="72" t="s">
        <v>2828</v>
      </c>
      <c r="BA1523" s="50" t="s">
        <v>2563</v>
      </c>
      <c r="BC1523" s="38">
        <f t="shared" si="396"/>
        <v>0</v>
      </c>
      <c r="BD1523" s="38">
        <f t="shared" si="397"/>
        <v>0</v>
      </c>
      <c r="BE1523" s="38">
        <v>0</v>
      </c>
      <c r="BF1523" s="38">
        <f t="shared" si="398"/>
        <v>0</v>
      </c>
      <c r="BH1523" s="80">
        <f t="shared" si="399"/>
        <v>0</v>
      </c>
      <c r="BI1523" s="80">
        <f t="shared" si="400"/>
        <v>0</v>
      </c>
      <c r="BJ1523" s="80">
        <f t="shared" si="401"/>
        <v>0</v>
      </c>
      <c r="BK1523" s="80"/>
      <c r="BL1523" s="38"/>
      <c r="BW1523" s="38">
        <v>21</v>
      </c>
    </row>
    <row r="1524" spans="1:75" ht="13.5" customHeight="1">
      <c r="A1524" s="78" t="s">
        <v>2988</v>
      </c>
      <c r="B1524" s="79" t="s">
        <v>93</v>
      </c>
      <c r="C1524" s="79" t="s">
        <v>2867</v>
      </c>
      <c r="D1524" s="198" t="s">
        <v>2868</v>
      </c>
      <c r="E1524" s="199"/>
      <c r="F1524" s="79" t="s">
        <v>2567</v>
      </c>
      <c r="G1524" s="80">
        <v>1</v>
      </c>
      <c r="H1524" s="81">
        <v>0</v>
      </c>
      <c r="I1524" s="80">
        <f t="shared" si="378"/>
        <v>0</v>
      </c>
      <c r="J1524" s="80">
        <v>0</v>
      </c>
      <c r="K1524" s="80">
        <f t="shared" si="379"/>
        <v>0</v>
      </c>
      <c r="L1524" s="82" t="s">
        <v>207</v>
      </c>
      <c r="Z1524" s="38">
        <f t="shared" si="380"/>
        <v>0</v>
      </c>
      <c r="AB1524" s="38">
        <f t="shared" si="381"/>
        <v>0</v>
      </c>
      <c r="AC1524" s="38">
        <f t="shared" si="382"/>
        <v>0</v>
      </c>
      <c r="AD1524" s="38">
        <f t="shared" si="383"/>
        <v>0</v>
      </c>
      <c r="AE1524" s="38">
        <f t="shared" si="384"/>
        <v>0</v>
      </c>
      <c r="AF1524" s="38">
        <f t="shared" si="385"/>
        <v>0</v>
      </c>
      <c r="AG1524" s="38">
        <f t="shared" si="386"/>
        <v>0</v>
      </c>
      <c r="AH1524" s="38">
        <f t="shared" si="387"/>
        <v>0</v>
      </c>
      <c r="AI1524" s="50" t="s">
        <v>93</v>
      </c>
      <c r="AJ1524" s="80">
        <f t="shared" si="388"/>
        <v>0</v>
      </c>
      <c r="AK1524" s="80">
        <f t="shared" si="389"/>
        <v>0</v>
      </c>
      <c r="AL1524" s="80">
        <f t="shared" si="390"/>
        <v>0</v>
      </c>
      <c r="AN1524" s="38">
        <v>21</v>
      </c>
      <c r="AO1524" s="38">
        <f t="shared" si="391"/>
        <v>0</v>
      </c>
      <c r="AP1524" s="38">
        <f t="shared" si="392"/>
        <v>0</v>
      </c>
      <c r="AQ1524" s="83" t="s">
        <v>169</v>
      </c>
      <c r="AV1524" s="38">
        <f t="shared" si="393"/>
        <v>0</v>
      </c>
      <c r="AW1524" s="38">
        <f t="shared" si="394"/>
        <v>0</v>
      </c>
      <c r="AX1524" s="38">
        <f t="shared" si="395"/>
        <v>0</v>
      </c>
      <c r="AY1524" s="72" t="s">
        <v>2827</v>
      </c>
      <c r="AZ1524" s="72" t="s">
        <v>2828</v>
      </c>
      <c r="BA1524" s="50" t="s">
        <v>2563</v>
      </c>
      <c r="BC1524" s="38">
        <f t="shared" si="396"/>
        <v>0</v>
      </c>
      <c r="BD1524" s="38">
        <f t="shared" si="397"/>
        <v>0</v>
      </c>
      <c r="BE1524" s="38">
        <v>0</v>
      </c>
      <c r="BF1524" s="38">
        <f t="shared" si="398"/>
        <v>0</v>
      </c>
      <c r="BH1524" s="80">
        <f t="shared" si="399"/>
        <v>0</v>
      </c>
      <c r="BI1524" s="80">
        <f t="shared" si="400"/>
        <v>0</v>
      </c>
      <c r="BJ1524" s="80">
        <f t="shared" si="401"/>
        <v>0</v>
      </c>
      <c r="BK1524" s="80"/>
      <c r="BL1524" s="38"/>
      <c r="BW1524" s="38">
        <v>21</v>
      </c>
    </row>
    <row r="1525" spans="1:47" ht="15">
      <c r="A1525" s="65" t="s">
        <v>4</v>
      </c>
      <c r="B1525" s="66" t="s">
        <v>93</v>
      </c>
      <c r="C1525" s="66" t="s">
        <v>2661</v>
      </c>
      <c r="D1525" s="192" t="s">
        <v>2989</v>
      </c>
      <c r="E1525" s="193"/>
      <c r="F1525" s="67" t="s">
        <v>78</v>
      </c>
      <c r="G1525" s="67" t="s">
        <v>78</v>
      </c>
      <c r="H1525" s="68" t="s">
        <v>78</v>
      </c>
      <c r="I1525" s="44">
        <f>SUM(I1526:I1527)</f>
        <v>0</v>
      </c>
      <c r="J1525" s="50" t="s">
        <v>4</v>
      </c>
      <c r="K1525" s="44">
        <f>SUM(K1526:K1527)</f>
        <v>0</v>
      </c>
      <c r="L1525" s="69" t="s">
        <v>4</v>
      </c>
      <c r="AI1525" s="50" t="s">
        <v>93</v>
      </c>
      <c r="AS1525" s="44">
        <f>SUM(AJ1526:AJ1527)</f>
        <v>0</v>
      </c>
      <c r="AT1525" s="44">
        <f>SUM(AK1526:AK1527)</f>
        <v>0</v>
      </c>
      <c r="AU1525" s="44">
        <f>SUM(AL1526:AL1527)</f>
        <v>0</v>
      </c>
    </row>
    <row r="1526" spans="1:75" ht="27" customHeight="1">
      <c r="A1526" s="1" t="s">
        <v>2990</v>
      </c>
      <c r="B1526" s="2" t="s">
        <v>93</v>
      </c>
      <c r="C1526" s="2" t="s">
        <v>2991</v>
      </c>
      <c r="D1526" s="108" t="s">
        <v>2992</v>
      </c>
      <c r="E1526" s="103"/>
      <c r="F1526" s="2" t="s">
        <v>214</v>
      </c>
      <c r="G1526" s="38">
        <v>341</v>
      </c>
      <c r="H1526" s="70">
        <v>0</v>
      </c>
      <c r="I1526" s="38">
        <f>G1526*H1526</f>
        <v>0</v>
      </c>
      <c r="J1526" s="38">
        <v>0</v>
      </c>
      <c r="K1526" s="38">
        <f>G1526*J1526</f>
        <v>0</v>
      </c>
      <c r="L1526" s="71" t="s">
        <v>207</v>
      </c>
      <c r="Z1526" s="38">
        <f>IF(AQ1526="5",BJ1526,0)</f>
        <v>0</v>
      </c>
      <c r="AB1526" s="38">
        <f>IF(AQ1526="1",BH1526,0)</f>
        <v>0</v>
      </c>
      <c r="AC1526" s="38">
        <f>IF(AQ1526="1",BI1526,0)</f>
        <v>0</v>
      </c>
      <c r="AD1526" s="38">
        <f>IF(AQ1526="7",BH1526,0)</f>
        <v>0</v>
      </c>
      <c r="AE1526" s="38">
        <f>IF(AQ1526="7",BI1526,0)</f>
        <v>0</v>
      </c>
      <c r="AF1526" s="38">
        <f>IF(AQ1526="2",BH1526,0)</f>
        <v>0</v>
      </c>
      <c r="AG1526" s="38">
        <f>IF(AQ1526="2",BI1526,0)</f>
        <v>0</v>
      </c>
      <c r="AH1526" s="38">
        <f>IF(AQ1526="0",BJ1526,0)</f>
        <v>0</v>
      </c>
      <c r="AI1526" s="50" t="s">
        <v>93</v>
      </c>
      <c r="AJ1526" s="38">
        <f>IF(AN1526=0,I1526,0)</f>
        <v>0</v>
      </c>
      <c r="AK1526" s="38">
        <f>IF(AN1526=12,I1526,0)</f>
        <v>0</v>
      </c>
      <c r="AL1526" s="38">
        <f>IF(AN1526=21,I1526,0)</f>
        <v>0</v>
      </c>
      <c r="AN1526" s="38">
        <v>21</v>
      </c>
      <c r="AO1526" s="38">
        <f>H1526*0</f>
        <v>0</v>
      </c>
      <c r="AP1526" s="38">
        <f>H1526*(1-0)</f>
        <v>0</v>
      </c>
      <c r="AQ1526" s="72" t="s">
        <v>143</v>
      </c>
      <c r="AV1526" s="38">
        <f>AW1526+AX1526</f>
        <v>0</v>
      </c>
      <c r="AW1526" s="38">
        <f>G1526*AO1526</f>
        <v>0</v>
      </c>
      <c r="AX1526" s="38">
        <f>G1526*AP1526</f>
        <v>0</v>
      </c>
      <c r="AY1526" s="72" t="s">
        <v>2993</v>
      </c>
      <c r="AZ1526" s="72" t="s">
        <v>2562</v>
      </c>
      <c r="BA1526" s="50" t="s">
        <v>2563</v>
      </c>
      <c r="BC1526" s="38">
        <f>AW1526+AX1526</f>
        <v>0</v>
      </c>
      <c r="BD1526" s="38">
        <f>H1526/(100-BE1526)*100</f>
        <v>0</v>
      </c>
      <c r="BE1526" s="38">
        <v>0</v>
      </c>
      <c r="BF1526" s="38">
        <f>K1526</f>
        <v>0</v>
      </c>
      <c r="BH1526" s="38">
        <f>G1526*AO1526</f>
        <v>0</v>
      </c>
      <c r="BI1526" s="38">
        <f>G1526*AP1526</f>
        <v>0</v>
      </c>
      <c r="BJ1526" s="38">
        <f>G1526*H1526</f>
        <v>0</v>
      </c>
      <c r="BK1526" s="38"/>
      <c r="BL1526" s="38"/>
      <c r="BW1526" s="38">
        <v>21</v>
      </c>
    </row>
    <row r="1527" spans="1:75" ht="27" customHeight="1">
      <c r="A1527" s="1" t="s">
        <v>2994</v>
      </c>
      <c r="B1527" s="2" t="s">
        <v>93</v>
      </c>
      <c r="C1527" s="2" t="s">
        <v>2995</v>
      </c>
      <c r="D1527" s="108" t="s">
        <v>2996</v>
      </c>
      <c r="E1527" s="103"/>
      <c r="F1527" s="2" t="s">
        <v>199</v>
      </c>
      <c r="G1527" s="38">
        <v>206</v>
      </c>
      <c r="H1527" s="70">
        <v>0</v>
      </c>
      <c r="I1527" s="38">
        <f>G1527*H1527</f>
        <v>0</v>
      </c>
      <c r="J1527" s="38">
        <v>0</v>
      </c>
      <c r="K1527" s="38">
        <f>G1527*J1527</f>
        <v>0</v>
      </c>
      <c r="L1527" s="71" t="s">
        <v>207</v>
      </c>
      <c r="Z1527" s="38">
        <f>IF(AQ1527="5",BJ1527,0)</f>
        <v>0</v>
      </c>
      <c r="AB1527" s="38">
        <f>IF(AQ1527="1",BH1527,0)</f>
        <v>0</v>
      </c>
      <c r="AC1527" s="38">
        <f>IF(AQ1527="1",BI1527,0)</f>
        <v>0</v>
      </c>
      <c r="AD1527" s="38">
        <f>IF(AQ1527="7",BH1527,0)</f>
        <v>0</v>
      </c>
      <c r="AE1527" s="38">
        <f>IF(AQ1527="7",BI1527,0)</f>
        <v>0</v>
      </c>
      <c r="AF1527" s="38">
        <f>IF(AQ1527="2",BH1527,0)</f>
        <v>0</v>
      </c>
      <c r="AG1527" s="38">
        <f>IF(AQ1527="2",BI1527,0)</f>
        <v>0</v>
      </c>
      <c r="AH1527" s="38">
        <f>IF(AQ1527="0",BJ1527,0)</f>
        <v>0</v>
      </c>
      <c r="AI1527" s="50" t="s">
        <v>93</v>
      </c>
      <c r="AJ1527" s="38">
        <f>IF(AN1527=0,I1527,0)</f>
        <v>0</v>
      </c>
      <c r="AK1527" s="38">
        <f>IF(AN1527=12,I1527,0)</f>
        <v>0</v>
      </c>
      <c r="AL1527" s="38">
        <f>IF(AN1527=21,I1527,0)</f>
        <v>0</v>
      </c>
      <c r="AN1527" s="38">
        <v>21</v>
      </c>
      <c r="AO1527" s="38">
        <f>H1527*0</f>
        <v>0</v>
      </c>
      <c r="AP1527" s="38">
        <f>H1527*(1-0)</f>
        <v>0</v>
      </c>
      <c r="AQ1527" s="72" t="s">
        <v>143</v>
      </c>
      <c r="AV1527" s="38">
        <f>AW1527+AX1527</f>
        <v>0</v>
      </c>
      <c r="AW1527" s="38">
        <f>G1527*AO1527</f>
        <v>0</v>
      </c>
      <c r="AX1527" s="38">
        <f>G1527*AP1527</f>
        <v>0</v>
      </c>
      <c r="AY1527" s="72" t="s">
        <v>2993</v>
      </c>
      <c r="AZ1527" s="72" t="s">
        <v>2562</v>
      </c>
      <c r="BA1527" s="50" t="s">
        <v>2563</v>
      </c>
      <c r="BC1527" s="38">
        <f>AW1527+AX1527</f>
        <v>0</v>
      </c>
      <c r="BD1527" s="38">
        <f>H1527/(100-BE1527)*100</f>
        <v>0</v>
      </c>
      <c r="BE1527" s="38">
        <v>0</v>
      </c>
      <c r="BF1527" s="38">
        <f>K1527</f>
        <v>0</v>
      </c>
      <c r="BH1527" s="38">
        <f>G1527*AO1527</f>
        <v>0</v>
      </c>
      <c r="BI1527" s="38">
        <f>G1527*AP1527</f>
        <v>0</v>
      </c>
      <c r="BJ1527" s="38">
        <f>G1527*H1527</f>
        <v>0</v>
      </c>
      <c r="BK1527" s="38"/>
      <c r="BL1527" s="38"/>
      <c r="BW1527" s="38">
        <v>21</v>
      </c>
    </row>
    <row r="1528" spans="1:47" ht="15">
      <c r="A1528" s="65" t="s">
        <v>4</v>
      </c>
      <c r="B1528" s="66" t="s">
        <v>93</v>
      </c>
      <c r="C1528" s="66" t="s">
        <v>696</v>
      </c>
      <c r="D1528" s="192" t="s">
        <v>1959</v>
      </c>
      <c r="E1528" s="193"/>
      <c r="F1528" s="67" t="s">
        <v>78</v>
      </c>
      <c r="G1528" s="67" t="s">
        <v>78</v>
      </c>
      <c r="H1528" s="68" t="s">
        <v>78</v>
      </c>
      <c r="I1528" s="44">
        <f>SUM(I1529:I1539)</f>
        <v>0</v>
      </c>
      <c r="J1528" s="50" t="s">
        <v>4</v>
      </c>
      <c r="K1528" s="44">
        <f>SUM(K1529:K1539)</f>
        <v>0</v>
      </c>
      <c r="L1528" s="69" t="s">
        <v>4</v>
      </c>
      <c r="AI1528" s="50" t="s">
        <v>93</v>
      </c>
      <c r="AS1528" s="44">
        <f>SUM(AJ1529:AJ1539)</f>
        <v>0</v>
      </c>
      <c r="AT1528" s="44">
        <f>SUM(AK1529:AK1539)</f>
        <v>0</v>
      </c>
      <c r="AU1528" s="44">
        <f>SUM(AL1529:AL1539)</f>
        <v>0</v>
      </c>
    </row>
    <row r="1529" spans="1:75" ht="27" customHeight="1">
      <c r="A1529" s="1" t="s">
        <v>2997</v>
      </c>
      <c r="B1529" s="2" t="s">
        <v>93</v>
      </c>
      <c r="C1529" s="2" t="s">
        <v>2998</v>
      </c>
      <c r="D1529" s="108" t="s">
        <v>2999</v>
      </c>
      <c r="E1529" s="103"/>
      <c r="F1529" s="2" t="s">
        <v>2286</v>
      </c>
      <c r="G1529" s="38">
        <v>10</v>
      </c>
      <c r="H1529" s="70">
        <v>0</v>
      </c>
      <c r="I1529" s="38">
        <f>G1529*H1529</f>
        <v>0</v>
      </c>
      <c r="J1529" s="38">
        <v>0</v>
      </c>
      <c r="K1529" s="38">
        <f>G1529*J1529</f>
        <v>0</v>
      </c>
      <c r="L1529" s="71" t="s">
        <v>207</v>
      </c>
      <c r="Z1529" s="38">
        <f>IF(AQ1529="5",BJ1529,0)</f>
        <v>0</v>
      </c>
      <c r="AB1529" s="38">
        <f>IF(AQ1529="1",BH1529,0)</f>
        <v>0</v>
      </c>
      <c r="AC1529" s="38">
        <f>IF(AQ1529="1",BI1529,0)</f>
        <v>0</v>
      </c>
      <c r="AD1529" s="38">
        <f>IF(AQ1529="7",BH1529,0)</f>
        <v>0</v>
      </c>
      <c r="AE1529" s="38">
        <f>IF(AQ1529="7",BI1529,0)</f>
        <v>0</v>
      </c>
      <c r="AF1529" s="38">
        <f>IF(AQ1529="2",BH1529,0)</f>
        <v>0</v>
      </c>
      <c r="AG1529" s="38">
        <f>IF(AQ1529="2",BI1529,0)</f>
        <v>0</v>
      </c>
      <c r="AH1529" s="38">
        <f>IF(AQ1529="0",BJ1529,0)</f>
        <v>0</v>
      </c>
      <c r="AI1529" s="50" t="s">
        <v>93</v>
      </c>
      <c r="AJ1529" s="38">
        <f>IF(AN1529=0,I1529,0)</f>
        <v>0</v>
      </c>
      <c r="AK1529" s="38">
        <f>IF(AN1529=12,I1529,0)</f>
        <v>0</v>
      </c>
      <c r="AL1529" s="38">
        <f>IF(AN1529=21,I1529,0)</f>
        <v>0</v>
      </c>
      <c r="AN1529" s="38">
        <v>21</v>
      </c>
      <c r="AO1529" s="38">
        <f>H1529*0</f>
        <v>0</v>
      </c>
      <c r="AP1529" s="38">
        <f>H1529*(1-0)</f>
        <v>0</v>
      </c>
      <c r="AQ1529" s="72" t="s">
        <v>132</v>
      </c>
      <c r="AV1529" s="38">
        <f>AW1529+AX1529</f>
        <v>0</v>
      </c>
      <c r="AW1529" s="38">
        <f>G1529*AO1529</f>
        <v>0</v>
      </c>
      <c r="AX1529" s="38">
        <f>G1529*AP1529</f>
        <v>0</v>
      </c>
      <c r="AY1529" s="72" t="s">
        <v>1964</v>
      </c>
      <c r="AZ1529" s="72" t="s">
        <v>2562</v>
      </c>
      <c r="BA1529" s="50" t="s">
        <v>2563</v>
      </c>
      <c r="BC1529" s="38">
        <f>AW1529+AX1529</f>
        <v>0</v>
      </c>
      <c r="BD1529" s="38">
        <f>H1529/(100-BE1529)*100</f>
        <v>0</v>
      </c>
      <c r="BE1529" s="38">
        <v>0</v>
      </c>
      <c r="BF1529" s="38">
        <f>K1529</f>
        <v>0</v>
      </c>
      <c r="BH1529" s="38">
        <f>G1529*AO1529</f>
        <v>0</v>
      </c>
      <c r="BI1529" s="38">
        <f>G1529*AP1529</f>
        <v>0</v>
      </c>
      <c r="BJ1529" s="38">
        <f>G1529*H1529</f>
        <v>0</v>
      </c>
      <c r="BK1529" s="38"/>
      <c r="BL1529" s="38">
        <v>90</v>
      </c>
      <c r="BW1529" s="38">
        <v>21</v>
      </c>
    </row>
    <row r="1530" spans="1:12" ht="13.5" customHeight="1">
      <c r="A1530" s="74"/>
      <c r="D1530" s="194" t="s">
        <v>3000</v>
      </c>
      <c r="E1530" s="195"/>
      <c r="F1530" s="195"/>
      <c r="G1530" s="195"/>
      <c r="H1530" s="196"/>
      <c r="I1530" s="195"/>
      <c r="J1530" s="195"/>
      <c r="K1530" s="195"/>
      <c r="L1530" s="197"/>
    </row>
    <row r="1531" spans="1:75" ht="27" customHeight="1">
      <c r="A1531" s="1" t="s">
        <v>3001</v>
      </c>
      <c r="B1531" s="2" t="s">
        <v>93</v>
      </c>
      <c r="C1531" s="2" t="s">
        <v>2998</v>
      </c>
      <c r="D1531" s="108" t="s">
        <v>2999</v>
      </c>
      <c r="E1531" s="103"/>
      <c r="F1531" s="2" t="s">
        <v>2286</v>
      </c>
      <c r="G1531" s="38">
        <v>4</v>
      </c>
      <c r="H1531" s="70">
        <v>0</v>
      </c>
      <c r="I1531" s="38">
        <f>G1531*H1531</f>
        <v>0</v>
      </c>
      <c r="J1531" s="38">
        <v>0</v>
      </c>
      <c r="K1531" s="38">
        <f>G1531*J1531</f>
        <v>0</v>
      </c>
      <c r="L1531" s="71" t="s">
        <v>207</v>
      </c>
      <c r="Z1531" s="38">
        <f>IF(AQ1531="5",BJ1531,0)</f>
        <v>0</v>
      </c>
      <c r="AB1531" s="38">
        <f>IF(AQ1531="1",BH1531,0)</f>
        <v>0</v>
      </c>
      <c r="AC1531" s="38">
        <f>IF(AQ1531="1",BI1531,0)</f>
        <v>0</v>
      </c>
      <c r="AD1531" s="38">
        <f>IF(AQ1531="7",BH1531,0)</f>
        <v>0</v>
      </c>
      <c r="AE1531" s="38">
        <f>IF(AQ1531="7",BI1531,0)</f>
        <v>0</v>
      </c>
      <c r="AF1531" s="38">
        <f>IF(AQ1531="2",BH1531,0)</f>
        <v>0</v>
      </c>
      <c r="AG1531" s="38">
        <f>IF(AQ1531="2",BI1531,0)</f>
        <v>0</v>
      </c>
      <c r="AH1531" s="38">
        <f>IF(AQ1531="0",BJ1531,0)</f>
        <v>0</v>
      </c>
      <c r="AI1531" s="50" t="s">
        <v>93</v>
      </c>
      <c r="AJ1531" s="38">
        <f>IF(AN1531=0,I1531,0)</f>
        <v>0</v>
      </c>
      <c r="AK1531" s="38">
        <f>IF(AN1531=12,I1531,0)</f>
        <v>0</v>
      </c>
      <c r="AL1531" s="38">
        <f>IF(AN1531=21,I1531,0)</f>
        <v>0</v>
      </c>
      <c r="AN1531" s="38">
        <v>21</v>
      </c>
      <c r="AO1531" s="38">
        <f>H1531*0</f>
        <v>0</v>
      </c>
      <c r="AP1531" s="38">
        <f>H1531*(1-0)</f>
        <v>0</v>
      </c>
      <c r="AQ1531" s="72" t="s">
        <v>132</v>
      </c>
      <c r="AV1531" s="38">
        <f>AW1531+AX1531</f>
        <v>0</v>
      </c>
      <c r="AW1531" s="38">
        <f>G1531*AO1531</f>
        <v>0</v>
      </c>
      <c r="AX1531" s="38">
        <f>G1531*AP1531</f>
        <v>0</v>
      </c>
      <c r="AY1531" s="72" t="s">
        <v>1964</v>
      </c>
      <c r="AZ1531" s="72" t="s">
        <v>2562</v>
      </c>
      <c r="BA1531" s="50" t="s">
        <v>2563</v>
      </c>
      <c r="BC1531" s="38">
        <f>AW1531+AX1531</f>
        <v>0</v>
      </c>
      <c r="BD1531" s="38">
        <f>H1531/(100-BE1531)*100</f>
        <v>0</v>
      </c>
      <c r="BE1531" s="38">
        <v>0</v>
      </c>
      <c r="BF1531" s="38">
        <f>K1531</f>
        <v>0</v>
      </c>
      <c r="BH1531" s="38">
        <f>G1531*AO1531</f>
        <v>0</v>
      </c>
      <c r="BI1531" s="38">
        <f>G1531*AP1531</f>
        <v>0</v>
      </c>
      <c r="BJ1531" s="38">
        <f>G1531*H1531</f>
        <v>0</v>
      </c>
      <c r="BK1531" s="38"/>
      <c r="BL1531" s="38">
        <v>90</v>
      </c>
      <c r="BW1531" s="38">
        <v>21</v>
      </c>
    </row>
    <row r="1532" spans="1:12" ht="13.5" customHeight="1">
      <c r="A1532" s="74"/>
      <c r="D1532" s="194" t="s">
        <v>3002</v>
      </c>
      <c r="E1532" s="195"/>
      <c r="F1532" s="195"/>
      <c r="G1532" s="195"/>
      <c r="H1532" s="196"/>
      <c r="I1532" s="195"/>
      <c r="J1532" s="195"/>
      <c r="K1532" s="195"/>
      <c r="L1532" s="197"/>
    </row>
    <row r="1533" spans="1:75" ht="27" customHeight="1">
      <c r="A1533" s="1" t="s">
        <v>869</v>
      </c>
      <c r="B1533" s="2" t="s">
        <v>93</v>
      </c>
      <c r="C1533" s="2" t="s">
        <v>2998</v>
      </c>
      <c r="D1533" s="108" t="s">
        <v>2999</v>
      </c>
      <c r="E1533" s="103"/>
      <c r="F1533" s="2" t="s">
        <v>2286</v>
      </c>
      <c r="G1533" s="38">
        <v>10</v>
      </c>
      <c r="H1533" s="70">
        <v>0</v>
      </c>
      <c r="I1533" s="38">
        <f>G1533*H1533</f>
        <v>0</v>
      </c>
      <c r="J1533" s="38">
        <v>0</v>
      </c>
      <c r="K1533" s="38">
        <f>G1533*J1533</f>
        <v>0</v>
      </c>
      <c r="L1533" s="71" t="s">
        <v>207</v>
      </c>
      <c r="Z1533" s="38">
        <f>IF(AQ1533="5",BJ1533,0)</f>
        <v>0</v>
      </c>
      <c r="AB1533" s="38">
        <f>IF(AQ1533="1",BH1533,0)</f>
        <v>0</v>
      </c>
      <c r="AC1533" s="38">
        <f>IF(AQ1533="1",BI1533,0)</f>
        <v>0</v>
      </c>
      <c r="AD1533" s="38">
        <f>IF(AQ1533="7",BH1533,0)</f>
        <v>0</v>
      </c>
      <c r="AE1533" s="38">
        <f>IF(AQ1533="7",BI1533,0)</f>
        <v>0</v>
      </c>
      <c r="AF1533" s="38">
        <f>IF(AQ1533="2",BH1533,0)</f>
        <v>0</v>
      </c>
      <c r="AG1533" s="38">
        <f>IF(AQ1533="2",BI1533,0)</f>
        <v>0</v>
      </c>
      <c r="AH1533" s="38">
        <f>IF(AQ1533="0",BJ1533,0)</f>
        <v>0</v>
      </c>
      <c r="AI1533" s="50" t="s">
        <v>93</v>
      </c>
      <c r="AJ1533" s="38">
        <f>IF(AN1533=0,I1533,0)</f>
        <v>0</v>
      </c>
      <c r="AK1533" s="38">
        <f>IF(AN1533=12,I1533,0)</f>
        <v>0</v>
      </c>
      <c r="AL1533" s="38">
        <f>IF(AN1533=21,I1533,0)</f>
        <v>0</v>
      </c>
      <c r="AN1533" s="38">
        <v>21</v>
      </c>
      <c r="AO1533" s="38">
        <f>H1533*0</f>
        <v>0</v>
      </c>
      <c r="AP1533" s="38">
        <f>H1533*(1-0)</f>
        <v>0</v>
      </c>
      <c r="AQ1533" s="72" t="s">
        <v>132</v>
      </c>
      <c r="AV1533" s="38">
        <f>AW1533+AX1533</f>
        <v>0</v>
      </c>
      <c r="AW1533" s="38">
        <f>G1533*AO1533</f>
        <v>0</v>
      </c>
      <c r="AX1533" s="38">
        <f>G1533*AP1533</f>
        <v>0</v>
      </c>
      <c r="AY1533" s="72" t="s">
        <v>1964</v>
      </c>
      <c r="AZ1533" s="72" t="s">
        <v>2562</v>
      </c>
      <c r="BA1533" s="50" t="s">
        <v>2563</v>
      </c>
      <c r="BC1533" s="38">
        <f>AW1533+AX1533</f>
        <v>0</v>
      </c>
      <c r="BD1533" s="38">
        <f>H1533/(100-BE1533)*100</f>
        <v>0</v>
      </c>
      <c r="BE1533" s="38">
        <v>0</v>
      </c>
      <c r="BF1533" s="38">
        <f>K1533</f>
        <v>0</v>
      </c>
      <c r="BH1533" s="38">
        <f>G1533*AO1533</f>
        <v>0</v>
      </c>
      <c r="BI1533" s="38">
        <f>G1533*AP1533</f>
        <v>0</v>
      </c>
      <c r="BJ1533" s="38">
        <f>G1533*H1533</f>
        <v>0</v>
      </c>
      <c r="BK1533" s="38"/>
      <c r="BL1533" s="38">
        <v>90</v>
      </c>
      <c r="BW1533" s="38">
        <v>21</v>
      </c>
    </row>
    <row r="1534" spans="1:12" ht="13.5" customHeight="1">
      <c r="A1534" s="74"/>
      <c r="D1534" s="194" t="s">
        <v>3003</v>
      </c>
      <c r="E1534" s="195"/>
      <c r="F1534" s="195"/>
      <c r="G1534" s="195"/>
      <c r="H1534" s="196"/>
      <c r="I1534" s="195"/>
      <c r="J1534" s="195"/>
      <c r="K1534" s="195"/>
      <c r="L1534" s="197"/>
    </row>
    <row r="1535" spans="1:75" ht="13.5" customHeight="1">
      <c r="A1535" s="1" t="s">
        <v>890</v>
      </c>
      <c r="B1535" s="2" t="s">
        <v>93</v>
      </c>
      <c r="C1535" s="2" t="s">
        <v>3004</v>
      </c>
      <c r="D1535" s="108" t="s">
        <v>3005</v>
      </c>
      <c r="E1535" s="103"/>
      <c r="F1535" s="2" t="s">
        <v>2286</v>
      </c>
      <c r="G1535" s="38">
        <v>20</v>
      </c>
      <c r="H1535" s="70">
        <v>0</v>
      </c>
      <c r="I1535" s="38">
        <f>G1535*H1535</f>
        <v>0</v>
      </c>
      <c r="J1535" s="38">
        <v>0</v>
      </c>
      <c r="K1535" s="38">
        <f>G1535*J1535</f>
        <v>0</v>
      </c>
      <c r="L1535" s="71" t="s">
        <v>207</v>
      </c>
      <c r="Z1535" s="38">
        <f>IF(AQ1535="5",BJ1535,0)</f>
        <v>0</v>
      </c>
      <c r="AB1535" s="38">
        <f>IF(AQ1535="1",BH1535,0)</f>
        <v>0</v>
      </c>
      <c r="AC1535" s="38">
        <f>IF(AQ1535="1",BI1535,0)</f>
        <v>0</v>
      </c>
      <c r="AD1535" s="38">
        <f>IF(AQ1535="7",BH1535,0)</f>
        <v>0</v>
      </c>
      <c r="AE1535" s="38">
        <f>IF(AQ1535="7",BI1535,0)</f>
        <v>0</v>
      </c>
      <c r="AF1535" s="38">
        <f>IF(AQ1535="2",BH1535,0)</f>
        <v>0</v>
      </c>
      <c r="AG1535" s="38">
        <f>IF(AQ1535="2",BI1535,0)</f>
        <v>0</v>
      </c>
      <c r="AH1535" s="38">
        <f>IF(AQ1535="0",BJ1535,0)</f>
        <v>0</v>
      </c>
      <c r="AI1535" s="50" t="s">
        <v>93</v>
      </c>
      <c r="AJ1535" s="38">
        <f>IF(AN1535=0,I1535,0)</f>
        <v>0</v>
      </c>
      <c r="AK1535" s="38">
        <f>IF(AN1535=12,I1535,0)</f>
        <v>0</v>
      </c>
      <c r="AL1535" s="38">
        <f>IF(AN1535=21,I1535,0)</f>
        <v>0</v>
      </c>
      <c r="AN1535" s="38">
        <v>21</v>
      </c>
      <c r="AO1535" s="38">
        <f>H1535*0</f>
        <v>0</v>
      </c>
      <c r="AP1535" s="38">
        <f>H1535*(1-0)</f>
        <v>0</v>
      </c>
      <c r="AQ1535" s="72" t="s">
        <v>132</v>
      </c>
      <c r="AV1535" s="38">
        <f>AW1535+AX1535</f>
        <v>0</v>
      </c>
      <c r="AW1535" s="38">
        <f>G1535*AO1535</f>
        <v>0</v>
      </c>
      <c r="AX1535" s="38">
        <f>G1535*AP1535</f>
        <v>0</v>
      </c>
      <c r="AY1535" s="72" t="s">
        <v>1964</v>
      </c>
      <c r="AZ1535" s="72" t="s">
        <v>2562</v>
      </c>
      <c r="BA1535" s="50" t="s">
        <v>2563</v>
      </c>
      <c r="BC1535" s="38">
        <f>AW1535+AX1535</f>
        <v>0</v>
      </c>
      <c r="BD1535" s="38">
        <f>H1535/(100-BE1535)*100</f>
        <v>0</v>
      </c>
      <c r="BE1535" s="38">
        <v>0</v>
      </c>
      <c r="BF1535" s="38">
        <f>K1535</f>
        <v>0</v>
      </c>
      <c r="BH1535" s="38">
        <f>G1535*AO1535</f>
        <v>0</v>
      </c>
      <c r="BI1535" s="38">
        <f>G1535*AP1535</f>
        <v>0</v>
      </c>
      <c r="BJ1535" s="38">
        <f>G1535*H1535</f>
        <v>0</v>
      </c>
      <c r="BK1535" s="38"/>
      <c r="BL1535" s="38">
        <v>90</v>
      </c>
      <c r="BW1535" s="38">
        <v>21</v>
      </c>
    </row>
    <row r="1536" spans="1:12" ht="13.5" customHeight="1">
      <c r="A1536" s="74"/>
      <c r="D1536" s="194" t="s">
        <v>3006</v>
      </c>
      <c r="E1536" s="195"/>
      <c r="F1536" s="195"/>
      <c r="G1536" s="195"/>
      <c r="H1536" s="196"/>
      <c r="I1536" s="195"/>
      <c r="J1536" s="195"/>
      <c r="K1536" s="195"/>
      <c r="L1536" s="197"/>
    </row>
    <row r="1537" spans="1:75" ht="13.5" customHeight="1">
      <c r="A1537" s="1" t="s">
        <v>3007</v>
      </c>
      <c r="B1537" s="2" t="s">
        <v>93</v>
      </c>
      <c r="C1537" s="2" t="s">
        <v>2289</v>
      </c>
      <c r="D1537" s="108" t="s">
        <v>3008</v>
      </c>
      <c r="E1537" s="103"/>
      <c r="F1537" s="2" t="s">
        <v>2286</v>
      </c>
      <c r="G1537" s="38">
        <v>30</v>
      </c>
      <c r="H1537" s="70">
        <v>0</v>
      </c>
      <c r="I1537" s="38">
        <f>G1537*H1537</f>
        <v>0</v>
      </c>
      <c r="J1537" s="38">
        <v>0</v>
      </c>
      <c r="K1537" s="38">
        <f>G1537*J1537</f>
        <v>0</v>
      </c>
      <c r="L1537" s="71" t="s">
        <v>207</v>
      </c>
      <c r="Z1537" s="38">
        <f>IF(AQ1537="5",BJ1537,0)</f>
        <v>0</v>
      </c>
      <c r="AB1537" s="38">
        <f>IF(AQ1537="1",BH1537,0)</f>
        <v>0</v>
      </c>
      <c r="AC1537" s="38">
        <f>IF(AQ1537="1",BI1537,0)</f>
        <v>0</v>
      </c>
      <c r="AD1537" s="38">
        <f>IF(AQ1537="7",BH1537,0)</f>
        <v>0</v>
      </c>
      <c r="AE1537" s="38">
        <f>IF(AQ1537="7",BI1537,0)</f>
        <v>0</v>
      </c>
      <c r="AF1537" s="38">
        <f>IF(AQ1537="2",BH1537,0)</f>
        <v>0</v>
      </c>
      <c r="AG1537" s="38">
        <f>IF(AQ1537="2",BI1537,0)</f>
        <v>0</v>
      </c>
      <c r="AH1537" s="38">
        <f>IF(AQ1537="0",BJ1537,0)</f>
        <v>0</v>
      </c>
      <c r="AI1537" s="50" t="s">
        <v>93</v>
      </c>
      <c r="AJ1537" s="38">
        <f>IF(AN1537=0,I1537,0)</f>
        <v>0</v>
      </c>
      <c r="AK1537" s="38">
        <f>IF(AN1537=12,I1537,0)</f>
        <v>0</v>
      </c>
      <c r="AL1537" s="38">
        <f>IF(AN1537=21,I1537,0)</f>
        <v>0</v>
      </c>
      <c r="AN1537" s="38">
        <v>21</v>
      </c>
      <c r="AO1537" s="38">
        <f>H1537*0</f>
        <v>0</v>
      </c>
      <c r="AP1537" s="38">
        <f>H1537*(1-0)</f>
        <v>0</v>
      </c>
      <c r="AQ1537" s="72" t="s">
        <v>132</v>
      </c>
      <c r="AV1537" s="38">
        <f>AW1537+AX1537</f>
        <v>0</v>
      </c>
      <c r="AW1537" s="38">
        <f>G1537*AO1537</f>
        <v>0</v>
      </c>
      <c r="AX1537" s="38">
        <f>G1537*AP1537</f>
        <v>0</v>
      </c>
      <c r="AY1537" s="72" t="s">
        <v>1964</v>
      </c>
      <c r="AZ1537" s="72" t="s">
        <v>2562</v>
      </c>
      <c r="BA1537" s="50" t="s">
        <v>2563</v>
      </c>
      <c r="BC1537" s="38">
        <f>AW1537+AX1537</f>
        <v>0</v>
      </c>
      <c r="BD1537" s="38">
        <f>H1537/(100-BE1537)*100</f>
        <v>0</v>
      </c>
      <c r="BE1537" s="38">
        <v>0</v>
      </c>
      <c r="BF1537" s="38">
        <f>K1537</f>
        <v>0</v>
      </c>
      <c r="BH1537" s="38">
        <f>G1537*AO1537</f>
        <v>0</v>
      </c>
      <c r="BI1537" s="38">
        <f>G1537*AP1537</f>
        <v>0</v>
      </c>
      <c r="BJ1537" s="38">
        <f>G1537*H1537</f>
        <v>0</v>
      </c>
      <c r="BK1537" s="38"/>
      <c r="BL1537" s="38">
        <v>90</v>
      </c>
      <c r="BW1537" s="38">
        <v>21</v>
      </c>
    </row>
    <row r="1538" spans="1:12" ht="13.5" customHeight="1">
      <c r="A1538" s="74"/>
      <c r="D1538" s="194" t="s">
        <v>3009</v>
      </c>
      <c r="E1538" s="195"/>
      <c r="F1538" s="195"/>
      <c r="G1538" s="195"/>
      <c r="H1538" s="196"/>
      <c r="I1538" s="195"/>
      <c r="J1538" s="195"/>
      <c r="K1538" s="195"/>
      <c r="L1538" s="197"/>
    </row>
    <row r="1539" spans="1:75" ht="13.5" customHeight="1">
      <c r="A1539" s="1" t="s">
        <v>3010</v>
      </c>
      <c r="B1539" s="2" t="s">
        <v>93</v>
      </c>
      <c r="C1539" s="2" t="s">
        <v>2289</v>
      </c>
      <c r="D1539" s="108" t="s">
        <v>3008</v>
      </c>
      <c r="E1539" s="103"/>
      <c r="F1539" s="2" t="s">
        <v>2286</v>
      </c>
      <c r="G1539" s="38">
        <v>46</v>
      </c>
      <c r="H1539" s="70">
        <v>0</v>
      </c>
      <c r="I1539" s="38">
        <f>G1539*H1539</f>
        <v>0</v>
      </c>
      <c r="J1539" s="38">
        <v>0</v>
      </c>
      <c r="K1539" s="38">
        <f>G1539*J1539</f>
        <v>0</v>
      </c>
      <c r="L1539" s="71" t="s">
        <v>207</v>
      </c>
      <c r="Z1539" s="38">
        <f>IF(AQ1539="5",BJ1539,0)</f>
        <v>0</v>
      </c>
      <c r="AB1539" s="38">
        <f>IF(AQ1539="1",BH1539,0)</f>
        <v>0</v>
      </c>
      <c r="AC1539" s="38">
        <f>IF(AQ1539="1",BI1539,0)</f>
        <v>0</v>
      </c>
      <c r="AD1539" s="38">
        <f>IF(AQ1539="7",BH1539,0)</f>
        <v>0</v>
      </c>
      <c r="AE1539" s="38">
        <f>IF(AQ1539="7",BI1539,0)</f>
        <v>0</v>
      </c>
      <c r="AF1539" s="38">
        <f>IF(AQ1539="2",BH1539,0)</f>
        <v>0</v>
      </c>
      <c r="AG1539" s="38">
        <f>IF(AQ1539="2",BI1539,0)</f>
        <v>0</v>
      </c>
      <c r="AH1539" s="38">
        <f>IF(AQ1539="0",BJ1539,0)</f>
        <v>0</v>
      </c>
      <c r="AI1539" s="50" t="s">
        <v>93</v>
      </c>
      <c r="AJ1539" s="38">
        <f>IF(AN1539=0,I1539,0)</f>
        <v>0</v>
      </c>
      <c r="AK1539" s="38">
        <f>IF(AN1539=12,I1539,0)</f>
        <v>0</v>
      </c>
      <c r="AL1539" s="38">
        <f>IF(AN1539=21,I1539,0)</f>
        <v>0</v>
      </c>
      <c r="AN1539" s="38">
        <v>21</v>
      </c>
      <c r="AO1539" s="38">
        <f>H1539*0</f>
        <v>0</v>
      </c>
      <c r="AP1539" s="38">
        <f>H1539*(1-0)</f>
        <v>0</v>
      </c>
      <c r="AQ1539" s="72" t="s">
        <v>132</v>
      </c>
      <c r="AV1539" s="38">
        <f>AW1539+AX1539</f>
        <v>0</v>
      </c>
      <c r="AW1539" s="38">
        <f>G1539*AO1539</f>
        <v>0</v>
      </c>
      <c r="AX1539" s="38">
        <f>G1539*AP1539</f>
        <v>0</v>
      </c>
      <c r="AY1539" s="72" t="s">
        <v>1964</v>
      </c>
      <c r="AZ1539" s="72" t="s">
        <v>2562</v>
      </c>
      <c r="BA1539" s="50" t="s">
        <v>2563</v>
      </c>
      <c r="BC1539" s="38">
        <f>AW1539+AX1539</f>
        <v>0</v>
      </c>
      <c r="BD1539" s="38">
        <f>H1539/(100-BE1539)*100</f>
        <v>0</v>
      </c>
      <c r="BE1539" s="38">
        <v>0</v>
      </c>
      <c r="BF1539" s="38">
        <f>K1539</f>
        <v>0</v>
      </c>
      <c r="BH1539" s="38">
        <f>G1539*AO1539</f>
        <v>0</v>
      </c>
      <c r="BI1539" s="38">
        <f>G1539*AP1539</f>
        <v>0</v>
      </c>
      <c r="BJ1539" s="38">
        <f>G1539*H1539</f>
        <v>0</v>
      </c>
      <c r="BK1539" s="38"/>
      <c r="BL1539" s="38">
        <v>90</v>
      </c>
      <c r="BW1539" s="38">
        <v>21</v>
      </c>
    </row>
    <row r="1540" spans="1:12" ht="13.5" customHeight="1">
      <c r="A1540" s="74"/>
      <c r="D1540" s="194" t="s">
        <v>3011</v>
      </c>
      <c r="E1540" s="195"/>
      <c r="F1540" s="195"/>
      <c r="G1540" s="195"/>
      <c r="H1540" s="196"/>
      <c r="I1540" s="195"/>
      <c r="J1540" s="195"/>
      <c r="K1540" s="195"/>
      <c r="L1540" s="197"/>
    </row>
    <row r="1541" spans="1:12" ht="15">
      <c r="A1541" s="65" t="s">
        <v>4</v>
      </c>
      <c r="B1541" s="66" t="s">
        <v>95</v>
      </c>
      <c r="C1541" s="66" t="s">
        <v>4</v>
      </c>
      <c r="D1541" s="192" t="s">
        <v>96</v>
      </c>
      <c r="E1541" s="193"/>
      <c r="F1541" s="67" t="s">
        <v>78</v>
      </c>
      <c r="G1541" s="67" t="s">
        <v>78</v>
      </c>
      <c r="H1541" s="68" t="s">
        <v>78</v>
      </c>
      <c r="I1541" s="44">
        <f>I1542+I1577+I1607+I1626+I1651+I1664</f>
        <v>0</v>
      </c>
      <c r="J1541" s="50" t="s">
        <v>4</v>
      </c>
      <c r="K1541" s="44">
        <f>K1542+K1577+K1607+K1626+K1651+K1664</f>
        <v>0</v>
      </c>
      <c r="L1541" s="69" t="s">
        <v>4</v>
      </c>
    </row>
    <row r="1542" spans="1:47" ht="15">
      <c r="A1542" s="65" t="s">
        <v>4</v>
      </c>
      <c r="B1542" s="66" t="s">
        <v>95</v>
      </c>
      <c r="C1542" s="66" t="s">
        <v>2556</v>
      </c>
      <c r="D1542" s="192" t="s">
        <v>2557</v>
      </c>
      <c r="E1542" s="193"/>
      <c r="F1542" s="67" t="s">
        <v>78</v>
      </c>
      <c r="G1542" s="67" t="s">
        <v>78</v>
      </c>
      <c r="H1542" s="68" t="s">
        <v>78</v>
      </c>
      <c r="I1542" s="44">
        <f>SUM(I1543:I1576)</f>
        <v>0</v>
      </c>
      <c r="J1542" s="50" t="s">
        <v>4</v>
      </c>
      <c r="K1542" s="44">
        <f>SUM(K1543:K1576)</f>
        <v>0</v>
      </c>
      <c r="L1542" s="69" t="s">
        <v>4</v>
      </c>
      <c r="AI1542" s="50" t="s">
        <v>95</v>
      </c>
      <c r="AS1542" s="44">
        <f>SUM(AJ1543:AJ1576)</f>
        <v>0</v>
      </c>
      <c r="AT1542" s="44">
        <f>SUM(AK1543:AK1576)</f>
        <v>0</v>
      </c>
      <c r="AU1542" s="44">
        <f>SUM(AL1543:AL1576)</f>
        <v>0</v>
      </c>
    </row>
    <row r="1543" spans="1:75" ht="27" customHeight="1">
      <c r="A1543" s="1" t="s">
        <v>3012</v>
      </c>
      <c r="B1543" s="2" t="s">
        <v>95</v>
      </c>
      <c r="C1543" s="2" t="s">
        <v>2675</v>
      </c>
      <c r="D1543" s="108" t="s">
        <v>2676</v>
      </c>
      <c r="E1543" s="103"/>
      <c r="F1543" s="2" t="s">
        <v>214</v>
      </c>
      <c r="G1543" s="38">
        <v>880</v>
      </c>
      <c r="H1543" s="70">
        <v>0</v>
      </c>
      <c r="I1543" s="38">
        <f>G1543*H1543</f>
        <v>0</v>
      </c>
      <c r="J1543" s="38">
        <v>0</v>
      </c>
      <c r="K1543" s="38">
        <f>G1543*J1543</f>
        <v>0</v>
      </c>
      <c r="L1543" s="71" t="s">
        <v>207</v>
      </c>
      <c r="Z1543" s="38">
        <f>IF(AQ1543="5",BJ1543,0)</f>
        <v>0</v>
      </c>
      <c r="AB1543" s="38">
        <f>IF(AQ1543="1",BH1543,0)</f>
        <v>0</v>
      </c>
      <c r="AC1543" s="38">
        <f>IF(AQ1543="1",BI1543,0)</f>
        <v>0</v>
      </c>
      <c r="AD1543" s="38">
        <f>IF(AQ1543="7",BH1543,0)</f>
        <v>0</v>
      </c>
      <c r="AE1543" s="38">
        <f>IF(AQ1543="7",BI1543,0)</f>
        <v>0</v>
      </c>
      <c r="AF1543" s="38">
        <f>IF(AQ1543="2",BH1543,0)</f>
        <v>0</v>
      </c>
      <c r="AG1543" s="38">
        <f>IF(AQ1543="2",BI1543,0)</f>
        <v>0</v>
      </c>
      <c r="AH1543" s="38">
        <f>IF(AQ1543="0",BJ1543,0)</f>
        <v>0</v>
      </c>
      <c r="AI1543" s="50" t="s">
        <v>95</v>
      </c>
      <c r="AJ1543" s="38">
        <f>IF(AN1543=0,I1543,0)</f>
        <v>0</v>
      </c>
      <c r="AK1543" s="38">
        <f>IF(AN1543=12,I1543,0)</f>
        <v>0</v>
      </c>
      <c r="AL1543" s="38">
        <f>IF(AN1543=21,I1543,0)</f>
        <v>0</v>
      </c>
      <c r="AN1543" s="38">
        <v>21</v>
      </c>
      <c r="AO1543" s="38">
        <f>H1543*0</f>
        <v>0</v>
      </c>
      <c r="AP1543" s="38">
        <f>H1543*(1-0)</f>
        <v>0</v>
      </c>
      <c r="AQ1543" s="72" t="s">
        <v>132</v>
      </c>
      <c r="AV1543" s="38">
        <f>AW1543+AX1543</f>
        <v>0</v>
      </c>
      <c r="AW1543" s="38">
        <f>G1543*AO1543</f>
        <v>0</v>
      </c>
      <c r="AX1543" s="38">
        <f>G1543*AP1543</f>
        <v>0</v>
      </c>
      <c r="AY1543" s="72" t="s">
        <v>2561</v>
      </c>
      <c r="AZ1543" s="72" t="s">
        <v>3013</v>
      </c>
      <c r="BA1543" s="50" t="s">
        <v>3014</v>
      </c>
      <c r="BC1543" s="38">
        <f>AW1543+AX1543</f>
        <v>0</v>
      </c>
      <c r="BD1543" s="38">
        <f>H1543/(100-BE1543)*100</f>
        <v>0</v>
      </c>
      <c r="BE1543" s="38">
        <v>0</v>
      </c>
      <c r="BF1543" s="38">
        <f>K1543</f>
        <v>0</v>
      </c>
      <c r="BH1543" s="38">
        <f>G1543*AO1543</f>
        <v>0</v>
      </c>
      <c r="BI1543" s="38">
        <f>G1543*AP1543</f>
        <v>0</v>
      </c>
      <c r="BJ1543" s="38">
        <f>G1543*H1543</f>
        <v>0</v>
      </c>
      <c r="BK1543" s="38"/>
      <c r="BL1543" s="38"/>
      <c r="BW1543" s="38">
        <v>21</v>
      </c>
    </row>
    <row r="1544" spans="1:75" ht="27" customHeight="1">
      <c r="A1544" s="78" t="s">
        <v>3015</v>
      </c>
      <c r="B1544" s="79" t="s">
        <v>95</v>
      </c>
      <c r="C1544" s="79" t="s">
        <v>3016</v>
      </c>
      <c r="D1544" s="198" t="s">
        <v>3017</v>
      </c>
      <c r="E1544" s="199"/>
      <c r="F1544" s="79" t="s">
        <v>2661</v>
      </c>
      <c r="G1544" s="80">
        <v>880</v>
      </c>
      <c r="H1544" s="81">
        <v>0</v>
      </c>
      <c r="I1544" s="80">
        <f>G1544*H1544</f>
        <v>0</v>
      </c>
      <c r="J1544" s="80">
        <v>0</v>
      </c>
      <c r="K1544" s="80">
        <f>G1544*J1544</f>
        <v>0</v>
      </c>
      <c r="L1544" s="82" t="s">
        <v>207</v>
      </c>
      <c r="Z1544" s="38">
        <f>IF(AQ1544="5",BJ1544,0)</f>
        <v>0</v>
      </c>
      <c r="AB1544" s="38">
        <f>IF(AQ1544="1",BH1544,0)</f>
        <v>0</v>
      </c>
      <c r="AC1544" s="38">
        <f>IF(AQ1544="1",BI1544,0)</f>
        <v>0</v>
      </c>
      <c r="AD1544" s="38">
        <f>IF(AQ1544="7",BH1544,0)</f>
        <v>0</v>
      </c>
      <c r="AE1544" s="38">
        <f>IF(AQ1544="7",BI1544,0)</f>
        <v>0</v>
      </c>
      <c r="AF1544" s="38">
        <f>IF(AQ1544="2",BH1544,0)</f>
        <v>0</v>
      </c>
      <c r="AG1544" s="38">
        <f>IF(AQ1544="2",BI1544,0)</f>
        <v>0</v>
      </c>
      <c r="AH1544" s="38">
        <f>IF(AQ1544="0",BJ1544,0)</f>
        <v>0</v>
      </c>
      <c r="AI1544" s="50" t="s">
        <v>95</v>
      </c>
      <c r="AJ1544" s="80">
        <f>IF(AN1544=0,I1544,0)</f>
        <v>0</v>
      </c>
      <c r="AK1544" s="80">
        <f>IF(AN1544=12,I1544,0)</f>
        <v>0</v>
      </c>
      <c r="AL1544" s="80">
        <f>IF(AN1544=21,I1544,0)</f>
        <v>0</v>
      </c>
      <c r="AN1544" s="38">
        <v>21</v>
      </c>
      <c r="AO1544" s="38">
        <f>H1544*1</f>
        <v>0</v>
      </c>
      <c r="AP1544" s="38">
        <f>H1544*(1-1)</f>
        <v>0</v>
      </c>
      <c r="AQ1544" s="83" t="s">
        <v>132</v>
      </c>
      <c r="AV1544" s="38">
        <f>AW1544+AX1544</f>
        <v>0</v>
      </c>
      <c r="AW1544" s="38">
        <f>G1544*AO1544</f>
        <v>0</v>
      </c>
      <c r="AX1544" s="38">
        <f>G1544*AP1544</f>
        <v>0</v>
      </c>
      <c r="AY1544" s="72" t="s">
        <v>2561</v>
      </c>
      <c r="AZ1544" s="72" t="s">
        <v>3013</v>
      </c>
      <c r="BA1544" s="50" t="s">
        <v>3014</v>
      </c>
      <c r="BC1544" s="38">
        <f>AW1544+AX1544</f>
        <v>0</v>
      </c>
      <c r="BD1544" s="38">
        <f>H1544/(100-BE1544)*100</f>
        <v>0</v>
      </c>
      <c r="BE1544" s="38">
        <v>0</v>
      </c>
      <c r="BF1544" s="38">
        <f>K1544</f>
        <v>0</v>
      </c>
      <c r="BH1544" s="80">
        <f>G1544*AO1544</f>
        <v>0</v>
      </c>
      <c r="BI1544" s="80">
        <f>G1544*AP1544</f>
        <v>0</v>
      </c>
      <c r="BJ1544" s="80">
        <f>G1544*H1544</f>
        <v>0</v>
      </c>
      <c r="BK1544" s="80"/>
      <c r="BL1544" s="38"/>
      <c r="BW1544" s="38">
        <v>21</v>
      </c>
    </row>
    <row r="1545" spans="1:75" ht="13.5" customHeight="1">
      <c r="A1545" s="1" t="s">
        <v>3018</v>
      </c>
      <c r="B1545" s="2" t="s">
        <v>95</v>
      </c>
      <c r="C1545" s="2" t="s">
        <v>3019</v>
      </c>
      <c r="D1545" s="108" t="s">
        <v>3020</v>
      </c>
      <c r="E1545" s="103"/>
      <c r="F1545" s="2" t="s">
        <v>199</v>
      </c>
      <c r="G1545" s="38">
        <v>2</v>
      </c>
      <c r="H1545" s="70">
        <v>0</v>
      </c>
      <c r="I1545" s="38">
        <f>G1545*H1545</f>
        <v>0</v>
      </c>
      <c r="J1545" s="38">
        <v>0</v>
      </c>
      <c r="K1545" s="38">
        <f>G1545*J1545</f>
        <v>0</v>
      </c>
      <c r="L1545" s="71" t="s">
        <v>207</v>
      </c>
      <c r="Z1545" s="38">
        <f>IF(AQ1545="5",BJ1545,0)</f>
        <v>0</v>
      </c>
      <c r="AB1545" s="38">
        <f>IF(AQ1545="1",BH1545,0)</f>
        <v>0</v>
      </c>
      <c r="AC1545" s="38">
        <f>IF(AQ1545="1",BI1545,0)</f>
        <v>0</v>
      </c>
      <c r="AD1545" s="38">
        <f>IF(AQ1545="7",BH1545,0)</f>
        <v>0</v>
      </c>
      <c r="AE1545" s="38">
        <f>IF(AQ1545="7",BI1545,0)</f>
        <v>0</v>
      </c>
      <c r="AF1545" s="38">
        <f>IF(AQ1545="2",BH1545,0)</f>
        <v>0</v>
      </c>
      <c r="AG1545" s="38">
        <f>IF(AQ1545="2",BI1545,0)</f>
        <v>0</v>
      </c>
      <c r="AH1545" s="38">
        <f>IF(AQ1545="0",BJ1545,0)</f>
        <v>0</v>
      </c>
      <c r="AI1545" s="50" t="s">
        <v>95</v>
      </c>
      <c r="AJ1545" s="38">
        <f>IF(AN1545=0,I1545,0)</f>
        <v>0</v>
      </c>
      <c r="AK1545" s="38">
        <f>IF(AN1545=12,I1545,0)</f>
        <v>0</v>
      </c>
      <c r="AL1545" s="38">
        <f>IF(AN1545=21,I1545,0)</f>
        <v>0</v>
      </c>
      <c r="AN1545" s="38">
        <v>21</v>
      </c>
      <c r="AO1545" s="38">
        <f>H1545*0</f>
        <v>0</v>
      </c>
      <c r="AP1545" s="38">
        <f>H1545*(1-0)</f>
        <v>0</v>
      </c>
      <c r="AQ1545" s="72" t="s">
        <v>143</v>
      </c>
      <c r="AV1545" s="38">
        <f>AW1545+AX1545</f>
        <v>0</v>
      </c>
      <c r="AW1545" s="38">
        <f>G1545*AO1545</f>
        <v>0</v>
      </c>
      <c r="AX1545" s="38">
        <f>G1545*AP1545</f>
        <v>0</v>
      </c>
      <c r="AY1545" s="72" t="s">
        <v>2561</v>
      </c>
      <c r="AZ1545" s="72" t="s">
        <v>3013</v>
      </c>
      <c r="BA1545" s="50" t="s">
        <v>3014</v>
      </c>
      <c r="BC1545" s="38">
        <f>AW1545+AX1545</f>
        <v>0</v>
      </c>
      <c r="BD1545" s="38">
        <f>H1545/(100-BE1545)*100</f>
        <v>0</v>
      </c>
      <c r="BE1545" s="38">
        <v>0</v>
      </c>
      <c r="BF1545" s="38">
        <f>K1545</f>
        <v>0</v>
      </c>
      <c r="BH1545" s="38">
        <f>G1545*AO1545</f>
        <v>0</v>
      </c>
      <c r="BI1545" s="38">
        <f>G1545*AP1545</f>
        <v>0</v>
      </c>
      <c r="BJ1545" s="38">
        <f>G1545*H1545</f>
        <v>0</v>
      </c>
      <c r="BK1545" s="38"/>
      <c r="BL1545" s="38"/>
      <c r="BW1545" s="38">
        <v>21</v>
      </c>
    </row>
    <row r="1546" spans="1:12" ht="13.5" customHeight="1">
      <c r="A1546" s="74"/>
      <c r="D1546" s="194" t="s">
        <v>3021</v>
      </c>
      <c r="E1546" s="195"/>
      <c r="F1546" s="195"/>
      <c r="G1546" s="195"/>
      <c r="H1546" s="196"/>
      <c r="I1546" s="195"/>
      <c r="J1546" s="195"/>
      <c r="K1546" s="195"/>
      <c r="L1546" s="197"/>
    </row>
    <row r="1547" spans="1:75" ht="27" customHeight="1">
      <c r="A1547" s="1" t="s">
        <v>3022</v>
      </c>
      <c r="B1547" s="2" t="s">
        <v>95</v>
      </c>
      <c r="C1547" s="2" t="s">
        <v>3023</v>
      </c>
      <c r="D1547" s="108" t="s">
        <v>3024</v>
      </c>
      <c r="E1547" s="103"/>
      <c r="F1547" s="2" t="s">
        <v>263</v>
      </c>
      <c r="G1547" s="38">
        <v>0.02</v>
      </c>
      <c r="H1547" s="70">
        <v>0</v>
      </c>
      <c r="I1547" s="38">
        <f>G1547*H1547</f>
        <v>0</v>
      </c>
      <c r="J1547" s="38">
        <v>0</v>
      </c>
      <c r="K1547" s="38">
        <f>G1547*J1547</f>
        <v>0</v>
      </c>
      <c r="L1547" s="71" t="s">
        <v>207</v>
      </c>
      <c r="Z1547" s="38">
        <f>IF(AQ1547="5",BJ1547,0)</f>
        <v>0</v>
      </c>
      <c r="AB1547" s="38">
        <f>IF(AQ1547="1",BH1547,0)</f>
        <v>0</v>
      </c>
      <c r="AC1547" s="38">
        <f>IF(AQ1547="1",BI1547,0)</f>
        <v>0</v>
      </c>
      <c r="AD1547" s="38">
        <f>IF(AQ1547="7",BH1547,0)</f>
        <v>0</v>
      </c>
      <c r="AE1547" s="38">
        <f>IF(AQ1547="7",BI1547,0)</f>
        <v>0</v>
      </c>
      <c r="AF1547" s="38">
        <f>IF(AQ1547="2",BH1547,0)</f>
        <v>0</v>
      </c>
      <c r="AG1547" s="38">
        <f>IF(AQ1547="2",BI1547,0)</f>
        <v>0</v>
      </c>
      <c r="AH1547" s="38">
        <f>IF(AQ1547="0",BJ1547,0)</f>
        <v>0</v>
      </c>
      <c r="AI1547" s="50" t="s">
        <v>95</v>
      </c>
      <c r="AJ1547" s="38">
        <f>IF(AN1547=0,I1547,0)</f>
        <v>0</v>
      </c>
      <c r="AK1547" s="38">
        <f>IF(AN1547=12,I1547,0)</f>
        <v>0</v>
      </c>
      <c r="AL1547" s="38">
        <f>IF(AN1547=21,I1547,0)</f>
        <v>0</v>
      </c>
      <c r="AN1547" s="38">
        <v>21</v>
      </c>
      <c r="AO1547" s="38">
        <f>H1547*0</f>
        <v>0</v>
      </c>
      <c r="AP1547" s="38">
        <f>H1547*(1-0)</f>
        <v>0</v>
      </c>
      <c r="AQ1547" s="72" t="s">
        <v>132</v>
      </c>
      <c r="AV1547" s="38">
        <f>AW1547+AX1547</f>
        <v>0</v>
      </c>
      <c r="AW1547" s="38">
        <f>G1547*AO1547</f>
        <v>0</v>
      </c>
      <c r="AX1547" s="38">
        <f>G1547*AP1547</f>
        <v>0</v>
      </c>
      <c r="AY1547" s="72" t="s">
        <v>2561</v>
      </c>
      <c r="AZ1547" s="72" t="s">
        <v>3013</v>
      </c>
      <c r="BA1547" s="50" t="s">
        <v>3014</v>
      </c>
      <c r="BC1547" s="38">
        <f>AW1547+AX1547</f>
        <v>0</v>
      </c>
      <c r="BD1547" s="38">
        <f>H1547/(100-BE1547)*100</f>
        <v>0</v>
      </c>
      <c r="BE1547" s="38">
        <v>0</v>
      </c>
      <c r="BF1547" s="38">
        <f>K1547</f>
        <v>0</v>
      </c>
      <c r="BH1547" s="38">
        <f>G1547*AO1547</f>
        <v>0</v>
      </c>
      <c r="BI1547" s="38">
        <f>G1547*AP1547</f>
        <v>0</v>
      </c>
      <c r="BJ1547" s="38">
        <f>G1547*H1547</f>
        <v>0</v>
      </c>
      <c r="BK1547" s="38"/>
      <c r="BL1547" s="38"/>
      <c r="BW1547" s="38">
        <v>21</v>
      </c>
    </row>
    <row r="1548" spans="1:12" ht="13.5" customHeight="1">
      <c r="A1548" s="74"/>
      <c r="D1548" s="194" t="s">
        <v>3025</v>
      </c>
      <c r="E1548" s="195"/>
      <c r="F1548" s="195"/>
      <c r="G1548" s="195"/>
      <c r="H1548" s="196"/>
      <c r="I1548" s="195"/>
      <c r="J1548" s="195"/>
      <c r="K1548" s="195"/>
      <c r="L1548" s="197"/>
    </row>
    <row r="1549" spans="1:75" ht="13.5" customHeight="1">
      <c r="A1549" s="78" t="s">
        <v>3026</v>
      </c>
      <c r="B1549" s="79" t="s">
        <v>95</v>
      </c>
      <c r="C1549" s="79" t="s">
        <v>3027</v>
      </c>
      <c r="D1549" s="198" t="s">
        <v>3028</v>
      </c>
      <c r="E1549" s="199"/>
      <c r="F1549" s="79" t="s">
        <v>199</v>
      </c>
      <c r="G1549" s="80">
        <v>2</v>
      </c>
      <c r="H1549" s="81">
        <v>0</v>
      </c>
      <c r="I1549" s="80">
        <f aca="true" t="shared" si="402" ref="I1549:I1560">G1549*H1549</f>
        <v>0</v>
      </c>
      <c r="J1549" s="80">
        <v>0</v>
      </c>
      <c r="K1549" s="80">
        <f aca="true" t="shared" si="403" ref="K1549:K1560">G1549*J1549</f>
        <v>0</v>
      </c>
      <c r="L1549" s="82" t="s">
        <v>207</v>
      </c>
      <c r="Z1549" s="38">
        <f aca="true" t="shared" si="404" ref="Z1549:Z1560">IF(AQ1549="5",BJ1549,0)</f>
        <v>0</v>
      </c>
      <c r="AB1549" s="38">
        <f aca="true" t="shared" si="405" ref="AB1549:AB1560">IF(AQ1549="1",BH1549,0)</f>
        <v>0</v>
      </c>
      <c r="AC1549" s="38">
        <f aca="true" t="shared" si="406" ref="AC1549:AC1560">IF(AQ1549="1",BI1549,0)</f>
        <v>0</v>
      </c>
      <c r="AD1549" s="38">
        <f aca="true" t="shared" si="407" ref="AD1549:AD1560">IF(AQ1549="7",BH1549,0)</f>
        <v>0</v>
      </c>
      <c r="AE1549" s="38">
        <f aca="true" t="shared" si="408" ref="AE1549:AE1560">IF(AQ1549="7",BI1549,0)</f>
        <v>0</v>
      </c>
      <c r="AF1549" s="38">
        <f aca="true" t="shared" si="409" ref="AF1549:AF1560">IF(AQ1549="2",BH1549,0)</f>
        <v>0</v>
      </c>
      <c r="AG1549" s="38">
        <f aca="true" t="shared" si="410" ref="AG1549:AG1560">IF(AQ1549="2",BI1549,0)</f>
        <v>0</v>
      </c>
      <c r="AH1549" s="38">
        <f aca="true" t="shared" si="411" ref="AH1549:AH1560">IF(AQ1549="0",BJ1549,0)</f>
        <v>0</v>
      </c>
      <c r="AI1549" s="50" t="s">
        <v>95</v>
      </c>
      <c r="AJ1549" s="80">
        <f aca="true" t="shared" si="412" ref="AJ1549:AJ1560">IF(AN1549=0,I1549,0)</f>
        <v>0</v>
      </c>
      <c r="AK1549" s="80">
        <f aca="true" t="shared" si="413" ref="AK1549:AK1560">IF(AN1549=12,I1549,0)</f>
        <v>0</v>
      </c>
      <c r="AL1549" s="80">
        <f aca="true" t="shared" si="414" ref="AL1549:AL1560">IF(AN1549=21,I1549,0)</f>
        <v>0</v>
      </c>
      <c r="AN1549" s="38">
        <v>21</v>
      </c>
      <c r="AO1549" s="38">
        <f>H1549*1</f>
        <v>0</v>
      </c>
      <c r="AP1549" s="38">
        <f>H1549*(1-1)</f>
        <v>0</v>
      </c>
      <c r="AQ1549" s="83" t="s">
        <v>132</v>
      </c>
      <c r="AV1549" s="38">
        <f aca="true" t="shared" si="415" ref="AV1549:AV1560">AW1549+AX1549</f>
        <v>0</v>
      </c>
      <c r="AW1549" s="38">
        <f aca="true" t="shared" si="416" ref="AW1549:AW1560">G1549*AO1549</f>
        <v>0</v>
      </c>
      <c r="AX1549" s="38">
        <f aca="true" t="shared" si="417" ref="AX1549:AX1560">G1549*AP1549</f>
        <v>0</v>
      </c>
      <c r="AY1549" s="72" t="s">
        <v>2561</v>
      </c>
      <c r="AZ1549" s="72" t="s">
        <v>3013</v>
      </c>
      <c r="BA1549" s="50" t="s">
        <v>3014</v>
      </c>
      <c r="BC1549" s="38">
        <f aca="true" t="shared" si="418" ref="BC1549:BC1560">AW1549+AX1549</f>
        <v>0</v>
      </c>
      <c r="BD1549" s="38">
        <f aca="true" t="shared" si="419" ref="BD1549:BD1560">H1549/(100-BE1549)*100</f>
        <v>0</v>
      </c>
      <c r="BE1549" s="38">
        <v>0</v>
      </c>
      <c r="BF1549" s="38">
        <f aca="true" t="shared" si="420" ref="BF1549:BF1560">K1549</f>
        <v>0</v>
      </c>
      <c r="BH1549" s="80">
        <f aca="true" t="shared" si="421" ref="BH1549:BH1560">G1549*AO1549</f>
        <v>0</v>
      </c>
      <c r="BI1549" s="80">
        <f aca="true" t="shared" si="422" ref="BI1549:BI1560">G1549*AP1549</f>
        <v>0</v>
      </c>
      <c r="BJ1549" s="80">
        <f aca="true" t="shared" si="423" ref="BJ1549:BJ1560">G1549*H1549</f>
        <v>0</v>
      </c>
      <c r="BK1549" s="80"/>
      <c r="BL1549" s="38"/>
      <c r="BW1549" s="38">
        <v>21</v>
      </c>
    </row>
    <row r="1550" spans="1:75" ht="27" customHeight="1">
      <c r="A1550" s="1" t="s">
        <v>2044</v>
      </c>
      <c r="B1550" s="2" t="s">
        <v>95</v>
      </c>
      <c r="C1550" s="2" t="s">
        <v>2669</v>
      </c>
      <c r="D1550" s="108" t="s">
        <v>3029</v>
      </c>
      <c r="E1550" s="103"/>
      <c r="F1550" s="2" t="s">
        <v>199</v>
      </c>
      <c r="G1550" s="38">
        <v>11</v>
      </c>
      <c r="H1550" s="70">
        <v>0</v>
      </c>
      <c r="I1550" s="38">
        <f t="shared" si="402"/>
        <v>0</v>
      </c>
      <c r="J1550" s="38">
        <v>0</v>
      </c>
      <c r="K1550" s="38">
        <f t="shared" si="403"/>
        <v>0</v>
      </c>
      <c r="L1550" s="71" t="s">
        <v>207</v>
      </c>
      <c r="Z1550" s="38">
        <f t="shared" si="404"/>
        <v>0</v>
      </c>
      <c r="AB1550" s="38">
        <f t="shared" si="405"/>
        <v>0</v>
      </c>
      <c r="AC1550" s="38">
        <f t="shared" si="406"/>
        <v>0</v>
      </c>
      <c r="AD1550" s="38">
        <f t="shared" si="407"/>
        <v>0</v>
      </c>
      <c r="AE1550" s="38">
        <f t="shared" si="408"/>
        <v>0</v>
      </c>
      <c r="AF1550" s="38">
        <f t="shared" si="409"/>
        <v>0</v>
      </c>
      <c r="AG1550" s="38">
        <f t="shared" si="410"/>
        <v>0</v>
      </c>
      <c r="AH1550" s="38">
        <f t="shared" si="411"/>
        <v>0</v>
      </c>
      <c r="AI1550" s="50" t="s">
        <v>95</v>
      </c>
      <c r="AJ1550" s="38">
        <f t="shared" si="412"/>
        <v>0</v>
      </c>
      <c r="AK1550" s="38">
        <f t="shared" si="413"/>
        <v>0</v>
      </c>
      <c r="AL1550" s="38">
        <f t="shared" si="414"/>
        <v>0</v>
      </c>
      <c r="AN1550" s="38">
        <v>21</v>
      </c>
      <c r="AO1550" s="38">
        <f>H1550*0</f>
        <v>0</v>
      </c>
      <c r="AP1550" s="38">
        <f>H1550*(1-0)</f>
        <v>0</v>
      </c>
      <c r="AQ1550" s="72" t="s">
        <v>132</v>
      </c>
      <c r="AV1550" s="38">
        <f t="shared" si="415"/>
        <v>0</v>
      </c>
      <c r="AW1550" s="38">
        <f t="shared" si="416"/>
        <v>0</v>
      </c>
      <c r="AX1550" s="38">
        <f t="shared" si="417"/>
        <v>0</v>
      </c>
      <c r="AY1550" s="72" t="s">
        <v>2561</v>
      </c>
      <c r="AZ1550" s="72" t="s">
        <v>3013</v>
      </c>
      <c r="BA1550" s="50" t="s">
        <v>3014</v>
      </c>
      <c r="BC1550" s="38">
        <f t="shared" si="418"/>
        <v>0</v>
      </c>
      <c r="BD1550" s="38">
        <f t="shared" si="419"/>
        <v>0</v>
      </c>
      <c r="BE1550" s="38">
        <v>0</v>
      </c>
      <c r="BF1550" s="38">
        <f t="shared" si="420"/>
        <v>0</v>
      </c>
      <c r="BH1550" s="38">
        <f t="shared" si="421"/>
        <v>0</v>
      </c>
      <c r="BI1550" s="38">
        <f t="shared" si="422"/>
        <v>0</v>
      </c>
      <c r="BJ1550" s="38">
        <f t="shared" si="423"/>
        <v>0</v>
      </c>
      <c r="BK1550" s="38"/>
      <c r="BL1550" s="38"/>
      <c r="BW1550" s="38">
        <v>21</v>
      </c>
    </row>
    <row r="1551" spans="1:75" ht="27" customHeight="1">
      <c r="A1551" s="78" t="s">
        <v>2094</v>
      </c>
      <c r="B1551" s="79" t="s">
        <v>95</v>
      </c>
      <c r="C1551" s="79" t="s">
        <v>2672</v>
      </c>
      <c r="D1551" s="198" t="s">
        <v>2673</v>
      </c>
      <c r="E1551" s="199"/>
      <c r="F1551" s="79" t="s">
        <v>2567</v>
      </c>
      <c r="G1551" s="80">
        <v>11</v>
      </c>
      <c r="H1551" s="81">
        <v>0</v>
      </c>
      <c r="I1551" s="80">
        <f t="shared" si="402"/>
        <v>0</v>
      </c>
      <c r="J1551" s="80">
        <v>0</v>
      </c>
      <c r="K1551" s="80">
        <f t="shared" si="403"/>
        <v>0</v>
      </c>
      <c r="L1551" s="82" t="s">
        <v>207</v>
      </c>
      <c r="Z1551" s="38">
        <f t="shared" si="404"/>
        <v>0</v>
      </c>
      <c r="AB1551" s="38">
        <f t="shared" si="405"/>
        <v>0</v>
      </c>
      <c r="AC1551" s="38">
        <f t="shared" si="406"/>
        <v>0</v>
      </c>
      <c r="AD1551" s="38">
        <f t="shared" si="407"/>
        <v>0</v>
      </c>
      <c r="AE1551" s="38">
        <f t="shared" si="408"/>
        <v>0</v>
      </c>
      <c r="AF1551" s="38">
        <f t="shared" si="409"/>
        <v>0</v>
      </c>
      <c r="AG1551" s="38">
        <f t="shared" si="410"/>
        <v>0</v>
      </c>
      <c r="AH1551" s="38">
        <f t="shared" si="411"/>
        <v>0</v>
      </c>
      <c r="AI1551" s="50" t="s">
        <v>95</v>
      </c>
      <c r="AJ1551" s="80">
        <f t="shared" si="412"/>
        <v>0</v>
      </c>
      <c r="AK1551" s="80">
        <f t="shared" si="413"/>
        <v>0</v>
      </c>
      <c r="AL1551" s="80">
        <f t="shared" si="414"/>
        <v>0</v>
      </c>
      <c r="AN1551" s="38">
        <v>21</v>
      </c>
      <c r="AO1551" s="38">
        <f>H1551*1</f>
        <v>0</v>
      </c>
      <c r="AP1551" s="38">
        <f>H1551*(1-1)</f>
        <v>0</v>
      </c>
      <c r="AQ1551" s="83" t="s">
        <v>132</v>
      </c>
      <c r="AV1551" s="38">
        <f t="shared" si="415"/>
        <v>0</v>
      </c>
      <c r="AW1551" s="38">
        <f t="shared" si="416"/>
        <v>0</v>
      </c>
      <c r="AX1551" s="38">
        <f t="shared" si="417"/>
        <v>0</v>
      </c>
      <c r="AY1551" s="72" t="s">
        <v>2561</v>
      </c>
      <c r="AZ1551" s="72" t="s">
        <v>3013</v>
      </c>
      <c r="BA1551" s="50" t="s">
        <v>3014</v>
      </c>
      <c r="BC1551" s="38">
        <f t="shared" si="418"/>
        <v>0</v>
      </c>
      <c r="BD1551" s="38">
        <f t="shared" si="419"/>
        <v>0</v>
      </c>
      <c r="BE1551" s="38">
        <v>0</v>
      </c>
      <c r="BF1551" s="38">
        <f t="shared" si="420"/>
        <v>0</v>
      </c>
      <c r="BH1551" s="80">
        <f t="shared" si="421"/>
        <v>0</v>
      </c>
      <c r="BI1551" s="80">
        <f t="shared" si="422"/>
        <v>0</v>
      </c>
      <c r="BJ1551" s="80">
        <f t="shared" si="423"/>
        <v>0</v>
      </c>
      <c r="BK1551" s="80"/>
      <c r="BL1551" s="38"/>
      <c r="BW1551" s="38">
        <v>21</v>
      </c>
    </row>
    <row r="1552" spans="1:75" ht="27" customHeight="1">
      <c r="A1552" s="1" t="s">
        <v>2170</v>
      </c>
      <c r="B1552" s="2" t="s">
        <v>95</v>
      </c>
      <c r="C1552" s="2" t="s">
        <v>2758</v>
      </c>
      <c r="D1552" s="108" t="s">
        <v>2759</v>
      </c>
      <c r="E1552" s="103"/>
      <c r="F1552" s="2" t="s">
        <v>189</v>
      </c>
      <c r="G1552" s="38">
        <v>0.15</v>
      </c>
      <c r="H1552" s="70">
        <v>0</v>
      </c>
      <c r="I1552" s="38">
        <f t="shared" si="402"/>
        <v>0</v>
      </c>
      <c r="J1552" s="38">
        <v>0</v>
      </c>
      <c r="K1552" s="38">
        <f t="shared" si="403"/>
        <v>0</v>
      </c>
      <c r="L1552" s="71" t="s">
        <v>207</v>
      </c>
      <c r="Z1552" s="38">
        <f t="shared" si="404"/>
        <v>0</v>
      </c>
      <c r="AB1552" s="38">
        <f t="shared" si="405"/>
        <v>0</v>
      </c>
      <c r="AC1552" s="38">
        <f t="shared" si="406"/>
        <v>0</v>
      </c>
      <c r="AD1552" s="38">
        <f t="shared" si="407"/>
        <v>0</v>
      </c>
      <c r="AE1552" s="38">
        <f t="shared" si="408"/>
        <v>0</v>
      </c>
      <c r="AF1552" s="38">
        <f t="shared" si="409"/>
        <v>0</v>
      </c>
      <c r="AG1552" s="38">
        <f t="shared" si="410"/>
        <v>0</v>
      </c>
      <c r="AH1552" s="38">
        <f t="shared" si="411"/>
        <v>0</v>
      </c>
      <c r="AI1552" s="50" t="s">
        <v>95</v>
      </c>
      <c r="AJ1552" s="38">
        <f t="shared" si="412"/>
        <v>0</v>
      </c>
      <c r="AK1552" s="38">
        <f t="shared" si="413"/>
        <v>0</v>
      </c>
      <c r="AL1552" s="38">
        <f t="shared" si="414"/>
        <v>0</v>
      </c>
      <c r="AN1552" s="38">
        <v>21</v>
      </c>
      <c r="AO1552" s="38">
        <f>H1552*0</f>
        <v>0</v>
      </c>
      <c r="AP1552" s="38">
        <f>H1552*(1-0)</f>
        <v>0</v>
      </c>
      <c r="AQ1552" s="72" t="s">
        <v>162</v>
      </c>
      <c r="AV1552" s="38">
        <f t="shared" si="415"/>
        <v>0</v>
      </c>
      <c r="AW1552" s="38">
        <f t="shared" si="416"/>
        <v>0</v>
      </c>
      <c r="AX1552" s="38">
        <f t="shared" si="417"/>
        <v>0</v>
      </c>
      <c r="AY1552" s="72" t="s">
        <v>2561</v>
      </c>
      <c r="AZ1552" s="72" t="s">
        <v>3013</v>
      </c>
      <c r="BA1552" s="50" t="s">
        <v>3014</v>
      </c>
      <c r="BC1552" s="38">
        <f t="shared" si="418"/>
        <v>0</v>
      </c>
      <c r="BD1552" s="38">
        <f t="shared" si="419"/>
        <v>0</v>
      </c>
      <c r="BE1552" s="38">
        <v>0</v>
      </c>
      <c r="BF1552" s="38">
        <f t="shared" si="420"/>
        <v>0</v>
      </c>
      <c r="BH1552" s="38">
        <f t="shared" si="421"/>
        <v>0</v>
      </c>
      <c r="BI1552" s="38">
        <f t="shared" si="422"/>
        <v>0</v>
      </c>
      <c r="BJ1552" s="38">
        <f t="shared" si="423"/>
        <v>0</v>
      </c>
      <c r="BK1552" s="38"/>
      <c r="BL1552" s="38"/>
      <c r="BW1552" s="38">
        <v>21</v>
      </c>
    </row>
    <row r="1553" spans="1:75" ht="13.5" customHeight="1">
      <c r="A1553" s="1" t="s">
        <v>3030</v>
      </c>
      <c r="B1553" s="2" t="s">
        <v>95</v>
      </c>
      <c r="C1553" s="2" t="s">
        <v>3031</v>
      </c>
      <c r="D1553" s="108" t="s">
        <v>3032</v>
      </c>
      <c r="E1553" s="103"/>
      <c r="F1553" s="2" t="s">
        <v>199</v>
      </c>
      <c r="G1553" s="38">
        <v>11</v>
      </c>
      <c r="H1553" s="70">
        <v>0</v>
      </c>
      <c r="I1553" s="38">
        <f t="shared" si="402"/>
        <v>0</v>
      </c>
      <c r="J1553" s="38">
        <v>0</v>
      </c>
      <c r="K1553" s="38">
        <f t="shared" si="403"/>
        <v>0</v>
      </c>
      <c r="L1553" s="71" t="s">
        <v>207</v>
      </c>
      <c r="Z1553" s="38">
        <f t="shared" si="404"/>
        <v>0</v>
      </c>
      <c r="AB1553" s="38">
        <f t="shared" si="405"/>
        <v>0</v>
      </c>
      <c r="AC1553" s="38">
        <f t="shared" si="406"/>
        <v>0</v>
      </c>
      <c r="AD1553" s="38">
        <f t="shared" si="407"/>
        <v>0</v>
      </c>
      <c r="AE1553" s="38">
        <f t="shared" si="408"/>
        <v>0</v>
      </c>
      <c r="AF1553" s="38">
        <f t="shared" si="409"/>
        <v>0</v>
      </c>
      <c r="AG1553" s="38">
        <f t="shared" si="410"/>
        <v>0</v>
      </c>
      <c r="AH1553" s="38">
        <f t="shared" si="411"/>
        <v>0</v>
      </c>
      <c r="AI1553" s="50" t="s">
        <v>95</v>
      </c>
      <c r="AJ1553" s="38">
        <f t="shared" si="412"/>
        <v>0</v>
      </c>
      <c r="AK1553" s="38">
        <f t="shared" si="413"/>
        <v>0</v>
      </c>
      <c r="AL1553" s="38">
        <f t="shared" si="414"/>
        <v>0</v>
      </c>
      <c r="AN1553" s="38">
        <v>21</v>
      </c>
      <c r="AO1553" s="38">
        <f>H1553*0</f>
        <v>0</v>
      </c>
      <c r="AP1553" s="38">
        <f>H1553*(1-0)</f>
        <v>0</v>
      </c>
      <c r="AQ1553" s="72" t="s">
        <v>132</v>
      </c>
      <c r="AV1553" s="38">
        <f t="shared" si="415"/>
        <v>0</v>
      </c>
      <c r="AW1553" s="38">
        <f t="shared" si="416"/>
        <v>0</v>
      </c>
      <c r="AX1553" s="38">
        <f t="shared" si="417"/>
        <v>0</v>
      </c>
      <c r="AY1553" s="72" t="s">
        <v>2561</v>
      </c>
      <c r="AZ1553" s="72" t="s">
        <v>3013</v>
      </c>
      <c r="BA1553" s="50" t="s">
        <v>3014</v>
      </c>
      <c r="BC1553" s="38">
        <f t="shared" si="418"/>
        <v>0</v>
      </c>
      <c r="BD1553" s="38">
        <f t="shared" si="419"/>
        <v>0</v>
      </c>
      <c r="BE1553" s="38">
        <v>0</v>
      </c>
      <c r="BF1553" s="38">
        <f t="shared" si="420"/>
        <v>0</v>
      </c>
      <c r="BH1553" s="38">
        <f t="shared" si="421"/>
        <v>0</v>
      </c>
      <c r="BI1553" s="38">
        <f t="shared" si="422"/>
        <v>0</v>
      </c>
      <c r="BJ1553" s="38">
        <f t="shared" si="423"/>
        <v>0</v>
      </c>
      <c r="BK1553" s="38"/>
      <c r="BL1553" s="38"/>
      <c r="BW1553" s="38">
        <v>21</v>
      </c>
    </row>
    <row r="1554" spans="1:75" ht="27" customHeight="1">
      <c r="A1554" s="1" t="s">
        <v>2182</v>
      </c>
      <c r="B1554" s="2" t="s">
        <v>95</v>
      </c>
      <c r="C1554" s="2" t="s">
        <v>3033</v>
      </c>
      <c r="D1554" s="108" t="s">
        <v>3034</v>
      </c>
      <c r="E1554" s="103"/>
      <c r="F1554" s="2" t="s">
        <v>199</v>
      </c>
      <c r="G1554" s="38">
        <v>22</v>
      </c>
      <c r="H1554" s="70">
        <v>0</v>
      </c>
      <c r="I1554" s="38">
        <f t="shared" si="402"/>
        <v>0</v>
      </c>
      <c r="J1554" s="38">
        <v>0</v>
      </c>
      <c r="K1554" s="38">
        <f t="shared" si="403"/>
        <v>0</v>
      </c>
      <c r="L1554" s="71" t="s">
        <v>207</v>
      </c>
      <c r="Z1554" s="38">
        <f t="shared" si="404"/>
        <v>0</v>
      </c>
      <c r="AB1554" s="38">
        <f t="shared" si="405"/>
        <v>0</v>
      </c>
      <c r="AC1554" s="38">
        <f t="shared" si="406"/>
        <v>0</v>
      </c>
      <c r="AD1554" s="38">
        <f t="shared" si="407"/>
        <v>0</v>
      </c>
      <c r="AE1554" s="38">
        <f t="shared" si="408"/>
        <v>0</v>
      </c>
      <c r="AF1554" s="38">
        <f t="shared" si="409"/>
        <v>0</v>
      </c>
      <c r="AG1554" s="38">
        <f t="shared" si="410"/>
        <v>0</v>
      </c>
      <c r="AH1554" s="38">
        <f t="shared" si="411"/>
        <v>0</v>
      </c>
      <c r="AI1554" s="50" t="s">
        <v>95</v>
      </c>
      <c r="AJ1554" s="38">
        <f t="shared" si="412"/>
        <v>0</v>
      </c>
      <c r="AK1554" s="38">
        <f t="shared" si="413"/>
        <v>0</v>
      </c>
      <c r="AL1554" s="38">
        <f t="shared" si="414"/>
        <v>0</v>
      </c>
      <c r="AN1554" s="38">
        <v>21</v>
      </c>
      <c r="AO1554" s="38">
        <f>H1554*0</f>
        <v>0</v>
      </c>
      <c r="AP1554" s="38">
        <f>H1554*(1-0)</f>
        <v>0</v>
      </c>
      <c r="AQ1554" s="72" t="s">
        <v>132</v>
      </c>
      <c r="AV1554" s="38">
        <f t="shared" si="415"/>
        <v>0</v>
      </c>
      <c r="AW1554" s="38">
        <f t="shared" si="416"/>
        <v>0</v>
      </c>
      <c r="AX1554" s="38">
        <f t="shared" si="417"/>
        <v>0</v>
      </c>
      <c r="AY1554" s="72" t="s">
        <v>2561</v>
      </c>
      <c r="AZ1554" s="72" t="s">
        <v>3013</v>
      </c>
      <c r="BA1554" s="50" t="s">
        <v>3014</v>
      </c>
      <c r="BC1554" s="38">
        <f t="shared" si="418"/>
        <v>0</v>
      </c>
      <c r="BD1554" s="38">
        <f t="shared" si="419"/>
        <v>0</v>
      </c>
      <c r="BE1554" s="38">
        <v>0</v>
      </c>
      <c r="BF1554" s="38">
        <f t="shared" si="420"/>
        <v>0</v>
      </c>
      <c r="BH1554" s="38">
        <f t="shared" si="421"/>
        <v>0</v>
      </c>
      <c r="BI1554" s="38">
        <f t="shared" si="422"/>
        <v>0</v>
      </c>
      <c r="BJ1554" s="38">
        <f t="shared" si="423"/>
        <v>0</v>
      </c>
      <c r="BK1554" s="38"/>
      <c r="BL1554" s="38"/>
      <c r="BW1554" s="38">
        <v>21</v>
      </c>
    </row>
    <row r="1555" spans="1:75" ht="27" customHeight="1">
      <c r="A1555" s="78" t="s">
        <v>2236</v>
      </c>
      <c r="B1555" s="79" t="s">
        <v>95</v>
      </c>
      <c r="C1555" s="79" t="s">
        <v>3035</v>
      </c>
      <c r="D1555" s="198" t="s">
        <v>3036</v>
      </c>
      <c r="E1555" s="199"/>
      <c r="F1555" s="79" t="s">
        <v>2567</v>
      </c>
      <c r="G1555" s="80">
        <v>11</v>
      </c>
      <c r="H1555" s="81">
        <v>0</v>
      </c>
      <c r="I1555" s="80">
        <f t="shared" si="402"/>
        <v>0</v>
      </c>
      <c r="J1555" s="80">
        <v>0</v>
      </c>
      <c r="K1555" s="80">
        <f t="shared" si="403"/>
        <v>0</v>
      </c>
      <c r="L1555" s="82" t="s">
        <v>207</v>
      </c>
      <c r="Z1555" s="38">
        <f t="shared" si="404"/>
        <v>0</v>
      </c>
      <c r="AB1555" s="38">
        <f t="shared" si="405"/>
        <v>0</v>
      </c>
      <c r="AC1555" s="38">
        <f t="shared" si="406"/>
        <v>0</v>
      </c>
      <c r="AD1555" s="38">
        <f t="shared" si="407"/>
        <v>0</v>
      </c>
      <c r="AE1555" s="38">
        <f t="shared" si="408"/>
        <v>0</v>
      </c>
      <c r="AF1555" s="38">
        <f t="shared" si="409"/>
        <v>0</v>
      </c>
      <c r="AG1555" s="38">
        <f t="shared" si="410"/>
        <v>0</v>
      </c>
      <c r="AH1555" s="38">
        <f t="shared" si="411"/>
        <v>0</v>
      </c>
      <c r="AI1555" s="50" t="s">
        <v>95</v>
      </c>
      <c r="AJ1555" s="80">
        <f t="shared" si="412"/>
        <v>0</v>
      </c>
      <c r="AK1555" s="80">
        <f t="shared" si="413"/>
        <v>0</v>
      </c>
      <c r="AL1555" s="80">
        <f t="shared" si="414"/>
        <v>0</v>
      </c>
      <c r="AN1555" s="38">
        <v>21</v>
      </c>
      <c r="AO1555" s="38">
        <f>H1555*1</f>
        <v>0</v>
      </c>
      <c r="AP1555" s="38">
        <f>H1555*(1-1)</f>
        <v>0</v>
      </c>
      <c r="AQ1555" s="83" t="s">
        <v>132</v>
      </c>
      <c r="AV1555" s="38">
        <f t="shared" si="415"/>
        <v>0</v>
      </c>
      <c r="AW1555" s="38">
        <f t="shared" si="416"/>
        <v>0</v>
      </c>
      <c r="AX1555" s="38">
        <f t="shared" si="417"/>
        <v>0</v>
      </c>
      <c r="AY1555" s="72" t="s">
        <v>2561</v>
      </c>
      <c r="AZ1555" s="72" t="s">
        <v>3013</v>
      </c>
      <c r="BA1555" s="50" t="s">
        <v>3014</v>
      </c>
      <c r="BC1555" s="38">
        <f t="shared" si="418"/>
        <v>0</v>
      </c>
      <c r="BD1555" s="38">
        <f t="shared" si="419"/>
        <v>0</v>
      </c>
      <c r="BE1555" s="38">
        <v>0</v>
      </c>
      <c r="BF1555" s="38">
        <f t="shared" si="420"/>
        <v>0</v>
      </c>
      <c r="BH1555" s="80">
        <f t="shared" si="421"/>
        <v>0</v>
      </c>
      <c r="BI1555" s="80">
        <f t="shared" si="422"/>
        <v>0</v>
      </c>
      <c r="BJ1555" s="80">
        <f t="shared" si="423"/>
        <v>0</v>
      </c>
      <c r="BK1555" s="80"/>
      <c r="BL1555" s="38"/>
      <c r="BW1555" s="38">
        <v>21</v>
      </c>
    </row>
    <row r="1556" spans="1:75" ht="13.5" customHeight="1">
      <c r="A1556" s="78" t="s">
        <v>3037</v>
      </c>
      <c r="B1556" s="79" t="s">
        <v>95</v>
      </c>
      <c r="C1556" s="79" t="s">
        <v>3038</v>
      </c>
      <c r="D1556" s="198" t="s">
        <v>3039</v>
      </c>
      <c r="E1556" s="199"/>
      <c r="F1556" s="79" t="s">
        <v>2567</v>
      </c>
      <c r="G1556" s="80">
        <v>22</v>
      </c>
      <c r="H1556" s="81">
        <v>0</v>
      </c>
      <c r="I1556" s="80">
        <f t="shared" si="402"/>
        <v>0</v>
      </c>
      <c r="J1556" s="80">
        <v>0</v>
      </c>
      <c r="K1556" s="80">
        <f t="shared" si="403"/>
        <v>0</v>
      </c>
      <c r="L1556" s="82" t="s">
        <v>207</v>
      </c>
      <c r="Z1556" s="38">
        <f t="shared" si="404"/>
        <v>0</v>
      </c>
      <c r="AB1556" s="38">
        <f t="shared" si="405"/>
        <v>0</v>
      </c>
      <c r="AC1556" s="38">
        <f t="shared" si="406"/>
        <v>0</v>
      </c>
      <c r="AD1556" s="38">
        <f t="shared" si="407"/>
        <v>0</v>
      </c>
      <c r="AE1556" s="38">
        <f t="shared" si="408"/>
        <v>0</v>
      </c>
      <c r="AF1556" s="38">
        <f t="shared" si="409"/>
        <v>0</v>
      </c>
      <c r="AG1556" s="38">
        <f t="shared" si="410"/>
        <v>0</v>
      </c>
      <c r="AH1556" s="38">
        <f t="shared" si="411"/>
        <v>0</v>
      </c>
      <c r="AI1556" s="50" t="s">
        <v>95</v>
      </c>
      <c r="AJ1556" s="80">
        <f t="shared" si="412"/>
        <v>0</v>
      </c>
      <c r="AK1556" s="80">
        <f t="shared" si="413"/>
        <v>0</v>
      </c>
      <c r="AL1556" s="80">
        <f t="shared" si="414"/>
        <v>0</v>
      </c>
      <c r="AN1556" s="38">
        <v>21</v>
      </c>
      <c r="AO1556" s="38">
        <f>H1556*1</f>
        <v>0</v>
      </c>
      <c r="AP1556" s="38">
        <f>H1556*(1-1)</f>
        <v>0</v>
      </c>
      <c r="AQ1556" s="83" t="s">
        <v>132</v>
      </c>
      <c r="AV1556" s="38">
        <f t="shared" si="415"/>
        <v>0</v>
      </c>
      <c r="AW1556" s="38">
        <f t="shared" si="416"/>
        <v>0</v>
      </c>
      <c r="AX1556" s="38">
        <f t="shared" si="417"/>
        <v>0</v>
      </c>
      <c r="AY1556" s="72" t="s">
        <v>2561</v>
      </c>
      <c r="AZ1556" s="72" t="s">
        <v>3013</v>
      </c>
      <c r="BA1556" s="50" t="s">
        <v>3014</v>
      </c>
      <c r="BC1556" s="38">
        <f t="shared" si="418"/>
        <v>0</v>
      </c>
      <c r="BD1556" s="38">
        <f t="shared" si="419"/>
        <v>0</v>
      </c>
      <c r="BE1556" s="38">
        <v>0</v>
      </c>
      <c r="BF1556" s="38">
        <f t="shared" si="420"/>
        <v>0</v>
      </c>
      <c r="BH1556" s="80">
        <f t="shared" si="421"/>
        <v>0</v>
      </c>
      <c r="BI1556" s="80">
        <f t="shared" si="422"/>
        <v>0</v>
      </c>
      <c r="BJ1556" s="80">
        <f t="shared" si="423"/>
        <v>0</v>
      </c>
      <c r="BK1556" s="80"/>
      <c r="BL1556" s="38"/>
      <c r="BW1556" s="38">
        <v>21</v>
      </c>
    </row>
    <row r="1557" spans="1:75" ht="13.5" customHeight="1">
      <c r="A1557" s="78" t="s">
        <v>3040</v>
      </c>
      <c r="B1557" s="79" t="s">
        <v>95</v>
      </c>
      <c r="C1557" s="79" t="s">
        <v>3041</v>
      </c>
      <c r="D1557" s="198" t="s">
        <v>3042</v>
      </c>
      <c r="E1557" s="199"/>
      <c r="F1557" s="79" t="s">
        <v>2567</v>
      </c>
      <c r="G1557" s="80">
        <v>11</v>
      </c>
      <c r="H1557" s="81">
        <v>0</v>
      </c>
      <c r="I1557" s="80">
        <f t="shared" si="402"/>
        <v>0</v>
      </c>
      <c r="J1557" s="80">
        <v>0</v>
      </c>
      <c r="K1557" s="80">
        <f t="shared" si="403"/>
        <v>0</v>
      </c>
      <c r="L1557" s="82" t="s">
        <v>207</v>
      </c>
      <c r="Z1557" s="38">
        <f t="shared" si="404"/>
        <v>0</v>
      </c>
      <c r="AB1557" s="38">
        <f t="shared" si="405"/>
        <v>0</v>
      </c>
      <c r="AC1557" s="38">
        <f t="shared" si="406"/>
        <v>0</v>
      </c>
      <c r="AD1557" s="38">
        <f t="shared" si="407"/>
        <v>0</v>
      </c>
      <c r="AE1557" s="38">
        <f t="shared" si="408"/>
        <v>0</v>
      </c>
      <c r="AF1557" s="38">
        <f t="shared" si="409"/>
        <v>0</v>
      </c>
      <c r="AG1557" s="38">
        <f t="shared" si="410"/>
        <v>0</v>
      </c>
      <c r="AH1557" s="38">
        <f t="shared" si="411"/>
        <v>0</v>
      </c>
      <c r="AI1557" s="50" t="s">
        <v>95</v>
      </c>
      <c r="AJ1557" s="80">
        <f t="shared" si="412"/>
        <v>0</v>
      </c>
      <c r="AK1557" s="80">
        <f t="shared" si="413"/>
        <v>0</v>
      </c>
      <c r="AL1557" s="80">
        <f t="shared" si="414"/>
        <v>0</v>
      </c>
      <c r="AN1557" s="38">
        <v>21</v>
      </c>
      <c r="AO1557" s="38">
        <f>H1557*1</f>
        <v>0</v>
      </c>
      <c r="AP1557" s="38">
        <f>H1557*(1-1)</f>
        <v>0</v>
      </c>
      <c r="AQ1557" s="83" t="s">
        <v>132</v>
      </c>
      <c r="AV1557" s="38">
        <f t="shared" si="415"/>
        <v>0</v>
      </c>
      <c r="AW1557" s="38">
        <f t="shared" si="416"/>
        <v>0</v>
      </c>
      <c r="AX1557" s="38">
        <f t="shared" si="417"/>
        <v>0</v>
      </c>
      <c r="AY1557" s="72" t="s">
        <v>2561</v>
      </c>
      <c r="AZ1557" s="72" t="s">
        <v>3013</v>
      </c>
      <c r="BA1557" s="50" t="s">
        <v>3014</v>
      </c>
      <c r="BC1557" s="38">
        <f t="shared" si="418"/>
        <v>0</v>
      </c>
      <c r="BD1557" s="38">
        <f t="shared" si="419"/>
        <v>0</v>
      </c>
      <c r="BE1557" s="38">
        <v>0</v>
      </c>
      <c r="BF1557" s="38">
        <f t="shared" si="420"/>
        <v>0</v>
      </c>
      <c r="BH1557" s="80">
        <f t="shared" si="421"/>
        <v>0</v>
      </c>
      <c r="BI1557" s="80">
        <f t="shared" si="422"/>
        <v>0</v>
      </c>
      <c r="BJ1557" s="80">
        <f t="shared" si="423"/>
        <v>0</v>
      </c>
      <c r="BK1557" s="80"/>
      <c r="BL1557" s="38"/>
      <c r="BW1557" s="38">
        <v>21</v>
      </c>
    </row>
    <row r="1558" spans="1:75" ht="13.5" customHeight="1">
      <c r="A1558" s="78" t="s">
        <v>3043</v>
      </c>
      <c r="B1558" s="79" t="s">
        <v>95</v>
      </c>
      <c r="C1558" s="79" t="s">
        <v>3044</v>
      </c>
      <c r="D1558" s="198" t="s">
        <v>3045</v>
      </c>
      <c r="E1558" s="199"/>
      <c r="F1558" s="79" t="s">
        <v>2567</v>
      </c>
      <c r="G1558" s="80">
        <v>11</v>
      </c>
      <c r="H1558" s="81">
        <v>0</v>
      </c>
      <c r="I1558" s="80">
        <f t="shared" si="402"/>
        <v>0</v>
      </c>
      <c r="J1558" s="80">
        <v>0</v>
      </c>
      <c r="K1558" s="80">
        <f t="shared" si="403"/>
        <v>0</v>
      </c>
      <c r="L1558" s="82" t="s">
        <v>207</v>
      </c>
      <c r="Z1558" s="38">
        <f t="shared" si="404"/>
        <v>0</v>
      </c>
      <c r="AB1558" s="38">
        <f t="shared" si="405"/>
        <v>0</v>
      </c>
      <c r="AC1558" s="38">
        <f t="shared" si="406"/>
        <v>0</v>
      </c>
      <c r="AD1558" s="38">
        <f t="shared" si="407"/>
        <v>0</v>
      </c>
      <c r="AE1558" s="38">
        <f t="shared" si="408"/>
        <v>0</v>
      </c>
      <c r="AF1558" s="38">
        <f t="shared" si="409"/>
        <v>0</v>
      </c>
      <c r="AG1558" s="38">
        <f t="shared" si="410"/>
        <v>0</v>
      </c>
      <c r="AH1558" s="38">
        <f t="shared" si="411"/>
        <v>0</v>
      </c>
      <c r="AI1558" s="50" t="s">
        <v>95</v>
      </c>
      <c r="AJ1558" s="80">
        <f t="shared" si="412"/>
        <v>0</v>
      </c>
      <c r="AK1558" s="80">
        <f t="shared" si="413"/>
        <v>0</v>
      </c>
      <c r="AL1558" s="80">
        <f t="shared" si="414"/>
        <v>0</v>
      </c>
      <c r="AN1558" s="38">
        <v>21</v>
      </c>
      <c r="AO1558" s="38">
        <f>H1558*1</f>
        <v>0</v>
      </c>
      <c r="AP1558" s="38">
        <f>H1558*(1-1)</f>
        <v>0</v>
      </c>
      <c r="AQ1558" s="83" t="s">
        <v>132</v>
      </c>
      <c r="AV1558" s="38">
        <f t="shared" si="415"/>
        <v>0</v>
      </c>
      <c r="AW1558" s="38">
        <f t="shared" si="416"/>
        <v>0</v>
      </c>
      <c r="AX1558" s="38">
        <f t="shared" si="417"/>
        <v>0</v>
      </c>
      <c r="AY1558" s="72" t="s">
        <v>2561</v>
      </c>
      <c r="AZ1558" s="72" t="s">
        <v>3013</v>
      </c>
      <c r="BA1558" s="50" t="s">
        <v>3014</v>
      </c>
      <c r="BC1558" s="38">
        <f t="shared" si="418"/>
        <v>0</v>
      </c>
      <c r="BD1558" s="38">
        <f t="shared" si="419"/>
        <v>0</v>
      </c>
      <c r="BE1558" s="38">
        <v>0</v>
      </c>
      <c r="BF1558" s="38">
        <f t="shared" si="420"/>
        <v>0</v>
      </c>
      <c r="BH1558" s="80">
        <f t="shared" si="421"/>
        <v>0</v>
      </c>
      <c r="BI1558" s="80">
        <f t="shared" si="422"/>
        <v>0</v>
      </c>
      <c r="BJ1558" s="80">
        <f t="shared" si="423"/>
        <v>0</v>
      </c>
      <c r="BK1558" s="80"/>
      <c r="BL1558" s="38"/>
      <c r="BW1558" s="38">
        <v>21</v>
      </c>
    </row>
    <row r="1559" spans="1:75" ht="13.5" customHeight="1">
      <c r="A1559" s="78" t="s">
        <v>3046</v>
      </c>
      <c r="B1559" s="79" t="s">
        <v>95</v>
      </c>
      <c r="C1559" s="79" t="s">
        <v>2569</v>
      </c>
      <c r="D1559" s="198" t="s">
        <v>2570</v>
      </c>
      <c r="E1559" s="199"/>
      <c r="F1559" s="79" t="s">
        <v>2567</v>
      </c>
      <c r="G1559" s="80">
        <v>11</v>
      </c>
      <c r="H1559" s="81">
        <v>0</v>
      </c>
      <c r="I1559" s="80">
        <f t="shared" si="402"/>
        <v>0</v>
      </c>
      <c r="J1559" s="80">
        <v>0</v>
      </c>
      <c r="K1559" s="80">
        <f t="shared" si="403"/>
        <v>0</v>
      </c>
      <c r="L1559" s="82" t="s">
        <v>207</v>
      </c>
      <c r="Z1559" s="38">
        <f t="shared" si="404"/>
        <v>0</v>
      </c>
      <c r="AB1559" s="38">
        <f t="shared" si="405"/>
        <v>0</v>
      </c>
      <c r="AC1559" s="38">
        <f t="shared" si="406"/>
        <v>0</v>
      </c>
      <c r="AD1559" s="38">
        <f t="shared" si="407"/>
        <v>0</v>
      </c>
      <c r="AE1559" s="38">
        <f t="shared" si="408"/>
        <v>0</v>
      </c>
      <c r="AF1559" s="38">
        <f t="shared" si="409"/>
        <v>0</v>
      </c>
      <c r="AG1559" s="38">
        <f t="shared" si="410"/>
        <v>0</v>
      </c>
      <c r="AH1559" s="38">
        <f t="shared" si="411"/>
        <v>0</v>
      </c>
      <c r="AI1559" s="50" t="s">
        <v>95</v>
      </c>
      <c r="AJ1559" s="80">
        <f t="shared" si="412"/>
        <v>0</v>
      </c>
      <c r="AK1559" s="80">
        <f t="shared" si="413"/>
        <v>0</v>
      </c>
      <c r="AL1559" s="80">
        <f t="shared" si="414"/>
        <v>0</v>
      </c>
      <c r="AN1559" s="38">
        <v>21</v>
      </c>
      <c r="AO1559" s="38">
        <f>H1559*1</f>
        <v>0</v>
      </c>
      <c r="AP1559" s="38">
        <f>H1559*(1-1)</f>
        <v>0</v>
      </c>
      <c r="AQ1559" s="83" t="s">
        <v>132</v>
      </c>
      <c r="AV1559" s="38">
        <f t="shared" si="415"/>
        <v>0</v>
      </c>
      <c r="AW1559" s="38">
        <f t="shared" si="416"/>
        <v>0</v>
      </c>
      <c r="AX1559" s="38">
        <f t="shared" si="417"/>
        <v>0</v>
      </c>
      <c r="AY1559" s="72" t="s">
        <v>2561</v>
      </c>
      <c r="AZ1559" s="72" t="s">
        <v>3013</v>
      </c>
      <c r="BA1559" s="50" t="s">
        <v>3014</v>
      </c>
      <c r="BC1559" s="38">
        <f t="shared" si="418"/>
        <v>0</v>
      </c>
      <c r="BD1559" s="38">
        <f t="shared" si="419"/>
        <v>0</v>
      </c>
      <c r="BE1559" s="38">
        <v>0</v>
      </c>
      <c r="BF1559" s="38">
        <f t="shared" si="420"/>
        <v>0</v>
      </c>
      <c r="BH1559" s="80">
        <f t="shared" si="421"/>
        <v>0</v>
      </c>
      <c r="BI1559" s="80">
        <f t="shared" si="422"/>
        <v>0</v>
      </c>
      <c r="BJ1559" s="80">
        <f t="shared" si="423"/>
        <v>0</v>
      </c>
      <c r="BK1559" s="80"/>
      <c r="BL1559" s="38"/>
      <c r="BW1559" s="38">
        <v>21</v>
      </c>
    </row>
    <row r="1560" spans="1:75" ht="13.5" customHeight="1">
      <c r="A1560" s="1" t="s">
        <v>3047</v>
      </c>
      <c r="B1560" s="2" t="s">
        <v>95</v>
      </c>
      <c r="C1560" s="2" t="s">
        <v>2817</v>
      </c>
      <c r="D1560" s="108" t="s">
        <v>2818</v>
      </c>
      <c r="E1560" s="103"/>
      <c r="F1560" s="2" t="s">
        <v>2286</v>
      </c>
      <c r="G1560" s="38">
        <v>9</v>
      </c>
      <c r="H1560" s="70">
        <v>0</v>
      </c>
      <c r="I1560" s="38">
        <f t="shared" si="402"/>
        <v>0</v>
      </c>
      <c r="J1560" s="38">
        <v>0</v>
      </c>
      <c r="K1560" s="38">
        <f t="shared" si="403"/>
        <v>0</v>
      </c>
      <c r="L1560" s="71" t="s">
        <v>207</v>
      </c>
      <c r="Z1560" s="38">
        <f t="shared" si="404"/>
        <v>0</v>
      </c>
      <c r="AB1560" s="38">
        <f t="shared" si="405"/>
        <v>0</v>
      </c>
      <c r="AC1560" s="38">
        <f t="shared" si="406"/>
        <v>0</v>
      </c>
      <c r="AD1560" s="38">
        <f t="shared" si="407"/>
        <v>0</v>
      </c>
      <c r="AE1560" s="38">
        <f t="shared" si="408"/>
        <v>0</v>
      </c>
      <c r="AF1560" s="38">
        <f t="shared" si="409"/>
        <v>0</v>
      </c>
      <c r="AG1560" s="38">
        <f t="shared" si="410"/>
        <v>0</v>
      </c>
      <c r="AH1560" s="38">
        <f t="shared" si="411"/>
        <v>0</v>
      </c>
      <c r="AI1560" s="50" t="s">
        <v>95</v>
      </c>
      <c r="AJ1560" s="38">
        <f t="shared" si="412"/>
        <v>0</v>
      </c>
      <c r="AK1560" s="38">
        <f t="shared" si="413"/>
        <v>0</v>
      </c>
      <c r="AL1560" s="38">
        <f t="shared" si="414"/>
        <v>0</v>
      </c>
      <c r="AN1560" s="38">
        <v>21</v>
      </c>
      <c r="AO1560" s="38">
        <f>H1560*0</f>
        <v>0</v>
      </c>
      <c r="AP1560" s="38">
        <f>H1560*(1-0)</f>
        <v>0</v>
      </c>
      <c r="AQ1560" s="72" t="s">
        <v>132</v>
      </c>
      <c r="AV1560" s="38">
        <f t="shared" si="415"/>
        <v>0</v>
      </c>
      <c r="AW1560" s="38">
        <f t="shared" si="416"/>
        <v>0</v>
      </c>
      <c r="AX1560" s="38">
        <f t="shared" si="417"/>
        <v>0</v>
      </c>
      <c r="AY1560" s="72" t="s">
        <v>2561</v>
      </c>
      <c r="AZ1560" s="72" t="s">
        <v>3013</v>
      </c>
      <c r="BA1560" s="50" t="s">
        <v>3014</v>
      </c>
      <c r="BC1560" s="38">
        <f t="shared" si="418"/>
        <v>0</v>
      </c>
      <c r="BD1560" s="38">
        <f t="shared" si="419"/>
        <v>0</v>
      </c>
      <c r="BE1560" s="38">
        <v>0</v>
      </c>
      <c r="BF1560" s="38">
        <f t="shared" si="420"/>
        <v>0</v>
      </c>
      <c r="BH1560" s="38">
        <f t="shared" si="421"/>
        <v>0</v>
      </c>
      <c r="BI1560" s="38">
        <f t="shared" si="422"/>
        <v>0</v>
      </c>
      <c r="BJ1560" s="38">
        <f t="shared" si="423"/>
        <v>0</v>
      </c>
      <c r="BK1560" s="38"/>
      <c r="BL1560" s="38"/>
      <c r="BW1560" s="38">
        <v>21</v>
      </c>
    </row>
    <row r="1561" spans="1:12" ht="13.5" customHeight="1">
      <c r="A1561" s="74"/>
      <c r="D1561" s="194" t="s">
        <v>2819</v>
      </c>
      <c r="E1561" s="195"/>
      <c r="F1561" s="195"/>
      <c r="G1561" s="195"/>
      <c r="H1561" s="196"/>
      <c r="I1561" s="195"/>
      <c r="J1561" s="195"/>
      <c r="K1561" s="195"/>
      <c r="L1561" s="197"/>
    </row>
    <row r="1562" spans="1:75" ht="13.5" customHeight="1">
      <c r="A1562" s="78" t="s">
        <v>3048</v>
      </c>
      <c r="B1562" s="79" t="s">
        <v>95</v>
      </c>
      <c r="C1562" s="79" t="s">
        <v>3049</v>
      </c>
      <c r="D1562" s="198" t="s">
        <v>2822</v>
      </c>
      <c r="E1562" s="199"/>
      <c r="F1562" s="79" t="s">
        <v>2823</v>
      </c>
      <c r="G1562" s="80">
        <v>1</v>
      </c>
      <c r="H1562" s="81">
        <v>0</v>
      </c>
      <c r="I1562" s="80">
        <f>G1562*H1562</f>
        <v>0</v>
      </c>
      <c r="J1562" s="80">
        <v>0</v>
      </c>
      <c r="K1562" s="80">
        <f>G1562*J1562</f>
        <v>0</v>
      </c>
      <c r="L1562" s="82" t="s">
        <v>207</v>
      </c>
      <c r="Z1562" s="38">
        <f>IF(AQ1562="5",BJ1562,0)</f>
        <v>0</v>
      </c>
      <c r="AB1562" s="38">
        <f>IF(AQ1562="1",BH1562,0)</f>
        <v>0</v>
      </c>
      <c r="AC1562" s="38">
        <f>IF(AQ1562="1",BI1562,0)</f>
        <v>0</v>
      </c>
      <c r="AD1562" s="38">
        <f>IF(AQ1562="7",BH1562,0)</f>
        <v>0</v>
      </c>
      <c r="AE1562" s="38">
        <f>IF(AQ1562="7",BI1562,0)</f>
        <v>0</v>
      </c>
      <c r="AF1562" s="38">
        <f>IF(AQ1562="2",BH1562,0)</f>
        <v>0</v>
      </c>
      <c r="AG1562" s="38">
        <f>IF(AQ1562="2",BI1562,0)</f>
        <v>0</v>
      </c>
      <c r="AH1562" s="38">
        <f>IF(AQ1562="0",BJ1562,0)</f>
        <v>0</v>
      </c>
      <c r="AI1562" s="50" t="s">
        <v>95</v>
      </c>
      <c r="AJ1562" s="80">
        <f>IF(AN1562=0,I1562,0)</f>
        <v>0</v>
      </c>
      <c r="AK1562" s="80">
        <f>IF(AN1562=12,I1562,0)</f>
        <v>0</v>
      </c>
      <c r="AL1562" s="80">
        <f>IF(AN1562=21,I1562,0)</f>
        <v>0</v>
      </c>
      <c r="AN1562" s="38">
        <v>21</v>
      </c>
      <c r="AO1562" s="38">
        <f>H1562*1</f>
        <v>0</v>
      </c>
      <c r="AP1562" s="38">
        <f>H1562*(1-1)</f>
        <v>0</v>
      </c>
      <c r="AQ1562" s="83" t="s">
        <v>132</v>
      </c>
      <c r="AV1562" s="38">
        <f>AW1562+AX1562</f>
        <v>0</v>
      </c>
      <c r="AW1562" s="38">
        <f>G1562*AO1562</f>
        <v>0</v>
      </c>
      <c r="AX1562" s="38">
        <f>G1562*AP1562</f>
        <v>0</v>
      </c>
      <c r="AY1562" s="72" t="s">
        <v>2561</v>
      </c>
      <c r="AZ1562" s="72" t="s">
        <v>3013</v>
      </c>
      <c r="BA1562" s="50" t="s">
        <v>3014</v>
      </c>
      <c r="BC1562" s="38">
        <f>AW1562+AX1562</f>
        <v>0</v>
      </c>
      <c r="BD1562" s="38">
        <f>H1562/(100-BE1562)*100</f>
        <v>0</v>
      </c>
      <c r="BE1562" s="38">
        <v>0</v>
      </c>
      <c r="BF1562" s="38">
        <f>K1562</f>
        <v>0</v>
      </c>
      <c r="BH1562" s="80">
        <f>G1562*AO1562</f>
        <v>0</v>
      </c>
      <c r="BI1562" s="80">
        <f>G1562*AP1562</f>
        <v>0</v>
      </c>
      <c r="BJ1562" s="80">
        <f>G1562*H1562</f>
        <v>0</v>
      </c>
      <c r="BK1562" s="80"/>
      <c r="BL1562" s="38"/>
      <c r="BW1562" s="38">
        <v>21</v>
      </c>
    </row>
    <row r="1563" spans="1:75" ht="13.5" customHeight="1">
      <c r="A1563" s="1" t="s">
        <v>2311</v>
      </c>
      <c r="B1563" s="2" t="s">
        <v>95</v>
      </c>
      <c r="C1563" s="2" t="s">
        <v>3050</v>
      </c>
      <c r="D1563" s="108" t="s">
        <v>3051</v>
      </c>
      <c r="E1563" s="103"/>
      <c r="F1563" s="2" t="s">
        <v>199</v>
      </c>
      <c r="G1563" s="38">
        <v>24</v>
      </c>
      <c r="H1563" s="70">
        <v>0</v>
      </c>
      <c r="I1563" s="38">
        <f>G1563*H1563</f>
        <v>0</v>
      </c>
      <c r="J1563" s="38">
        <v>0</v>
      </c>
      <c r="K1563" s="38">
        <f>G1563*J1563</f>
        <v>0</v>
      </c>
      <c r="L1563" s="71" t="s">
        <v>207</v>
      </c>
      <c r="Z1563" s="38">
        <f>IF(AQ1563="5",BJ1563,0)</f>
        <v>0</v>
      </c>
      <c r="AB1563" s="38">
        <f>IF(AQ1563="1",BH1563,0)</f>
        <v>0</v>
      </c>
      <c r="AC1563" s="38">
        <f>IF(AQ1563="1",BI1563,0)</f>
        <v>0</v>
      </c>
      <c r="AD1563" s="38">
        <f>IF(AQ1563="7",BH1563,0)</f>
        <v>0</v>
      </c>
      <c r="AE1563" s="38">
        <f>IF(AQ1563="7",BI1563,0)</f>
        <v>0</v>
      </c>
      <c r="AF1563" s="38">
        <f>IF(AQ1563="2",BH1563,0)</f>
        <v>0</v>
      </c>
      <c r="AG1563" s="38">
        <f>IF(AQ1563="2",BI1563,0)</f>
        <v>0</v>
      </c>
      <c r="AH1563" s="38">
        <f>IF(AQ1563="0",BJ1563,0)</f>
        <v>0</v>
      </c>
      <c r="AI1563" s="50" t="s">
        <v>95</v>
      </c>
      <c r="AJ1563" s="38">
        <f>IF(AN1563=0,I1563,0)</f>
        <v>0</v>
      </c>
      <c r="AK1563" s="38">
        <f>IF(AN1563=12,I1563,0)</f>
        <v>0</v>
      </c>
      <c r="AL1563" s="38">
        <f>IF(AN1563=21,I1563,0)</f>
        <v>0</v>
      </c>
      <c r="AN1563" s="38">
        <v>21</v>
      </c>
      <c r="AO1563" s="38">
        <f>H1563*0</f>
        <v>0</v>
      </c>
      <c r="AP1563" s="38">
        <f>H1563*(1-0)</f>
        <v>0</v>
      </c>
      <c r="AQ1563" s="72" t="s">
        <v>143</v>
      </c>
      <c r="AV1563" s="38">
        <f>AW1563+AX1563</f>
        <v>0</v>
      </c>
      <c r="AW1563" s="38">
        <f>G1563*AO1563</f>
        <v>0</v>
      </c>
      <c r="AX1563" s="38">
        <f>G1563*AP1563</f>
        <v>0</v>
      </c>
      <c r="AY1563" s="72" t="s">
        <v>2561</v>
      </c>
      <c r="AZ1563" s="72" t="s">
        <v>3013</v>
      </c>
      <c r="BA1563" s="50" t="s">
        <v>3014</v>
      </c>
      <c r="BC1563" s="38">
        <f>AW1563+AX1563</f>
        <v>0</v>
      </c>
      <c r="BD1563" s="38">
        <f>H1563/(100-BE1563)*100</f>
        <v>0</v>
      </c>
      <c r="BE1563" s="38">
        <v>0</v>
      </c>
      <c r="BF1563" s="38">
        <f>K1563</f>
        <v>0</v>
      </c>
      <c r="BH1563" s="38">
        <f>G1563*AO1563</f>
        <v>0</v>
      </c>
      <c r="BI1563" s="38">
        <f>G1563*AP1563</f>
        <v>0</v>
      </c>
      <c r="BJ1563" s="38">
        <f>G1563*H1563</f>
        <v>0</v>
      </c>
      <c r="BK1563" s="38"/>
      <c r="BL1563" s="38"/>
      <c r="BW1563" s="38">
        <v>21</v>
      </c>
    </row>
    <row r="1564" spans="1:12" ht="13.5" customHeight="1">
      <c r="A1564" s="74"/>
      <c r="D1564" s="194" t="s">
        <v>3052</v>
      </c>
      <c r="E1564" s="195"/>
      <c r="F1564" s="195"/>
      <c r="G1564" s="195"/>
      <c r="H1564" s="196"/>
      <c r="I1564" s="195"/>
      <c r="J1564" s="195"/>
      <c r="K1564" s="195"/>
      <c r="L1564" s="197"/>
    </row>
    <row r="1565" spans="1:75" ht="13.5" customHeight="1">
      <c r="A1565" s="1" t="s">
        <v>2345</v>
      </c>
      <c r="B1565" s="2" t="s">
        <v>95</v>
      </c>
      <c r="C1565" s="2" t="s">
        <v>3053</v>
      </c>
      <c r="D1565" s="108" t="s">
        <v>3054</v>
      </c>
      <c r="E1565" s="103"/>
      <c r="F1565" s="2" t="s">
        <v>199</v>
      </c>
      <c r="G1565" s="38">
        <v>12</v>
      </c>
      <c r="H1565" s="70">
        <v>0</v>
      </c>
      <c r="I1565" s="38">
        <f>G1565*H1565</f>
        <v>0</v>
      </c>
      <c r="J1565" s="38">
        <v>0</v>
      </c>
      <c r="K1565" s="38">
        <f>G1565*J1565</f>
        <v>0</v>
      </c>
      <c r="L1565" s="71" t="s">
        <v>207</v>
      </c>
      <c r="Z1565" s="38">
        <f>IF(AQ1565="5",BJ1565,0)</f>
        <v>0</v>
      </c>
      <c r="AB1565" s="38">
        <f>IF(AQ1565="1",BH1565,0)</f>
        <v>0</v>
      </c>
      <c r="AC1565" s="38">
        <f>IF(AQ1565="1",BI1565,0)</f>
        <v>0</v>
      </c>
      <c r="AD1565" s="38">
        <f>IF(AQ1565="7",BH1565,0)</f>
        <v>0</v>
      </c>
      <c r="AE1565" s="38">
        <f>IF(AQ1565="7",BI1565,0)</f>
        <v>0</v>
      </c>
      <c r="AF1565" s="38">
        <f>IF(AQ1565="2",BH1565,0)</f>
        <v>0</v>
      </c>
      <c r="AG1565" s="38">
        <f>IF(AQ1565="2",BI1565,0)</f>
        <v>0</v>
      </c>
      <c r="AH1565" s="38">
        <f>IF(AQ1565="0",BJ1565,0)</f>
        <v>0</v>
      </c>
      <c r="AI1565" s="50" t="s">
        <v>95</v>
      </c>
      <c r="AJ1565" s="38">
        <f>IF(AN1565=0,I1565,0)</f>
        <v>0</v>
      </c>
      <c r="AK1565" s="38">
        <f>IF(AN1565=12,I1565,0)</f>
        <v>0</v>
      </c>
      <c r="AL1565" s="38">
        <f>IF(AN1565=21,I1565,0)</f>
        <v>0</v>
      </c>
      <c r="AN1565" s="38">
        <v>21</v>
      </c>
      <c r="AO1565" s="38">
        <f>H1565*0</f>
        <v>0</v>
      </c>
      <c r="AP1565" s="38">
        <f>H1565*(1-0)</f>
        <v>0</v>
      </c>
      <c r="AQ1565" s="72" t="s">
        <v>143</v>
      </c>
      <c r="AV1565" s="38">
        <f>AW1565+AX1565</f>
        <v>0</v>
      </c>
      <c r="AW1565" s="38">
        <f>G1565*AO1565</f>
        <v>0</v>
      </c>
      <c r="AX1565" s="38">
        <f>G1565*AP1565</f>
        <v>0</v>
      </c>
      <c r="AY1565" s="72" t="s">
        <v>2561</v>
      </c>
      <c r="AZ1565" s="72" t="s">
        <v>3013</v>
      </c>
      <c r="BA1565" s="50" t="s">
        <v>3014</v>
      </c>
      <c r="BC1565" s="38">
        <f>AW1565+AX1565</f>
        <v>0</v>
      </c>
      <c r="BD1565" s="38">
        <f>H1565/(100-BE1565)*100</f>
        <v>0</v>
      </c>
      <c r="BE1565" s="38">
        <v>0</v>
      </c>
      <c r="BF1565" s="38">
        <f>K1565</f>
        <v>0</v>
      </c>
      <c r="BH1565" s="38">
        <f>G1565*AO1565</f>
        <v>0</v>
      </c>
      <c r="BI1565" s="38">
        <f>G1565*AP1565</f>
        <v>0</v>
      </c>
      <c r="BJ1565" s="38">
        <f>G1565*H1565</f>
        <v>0</v>
      </c>
      <c r="BK1565" s="38"/>
      <c r="BL1565" s="38"/>
      <c r="BW1565" s="38">
        <v>21</v>
      </c>
    </row>
    <row r="1566" spans="1:75" ht="13.5" customHeight="1">
      <c r="A1566" s="1" t="s">
        <v>2375</v>
      </c>
      <c r="B1566" s="2" t="s">
        <v>95</v>
      </c>
      <c r="C1566" s="2" t="s">
        <v>3055</v>
      </c>
      <c r="D1566" s="108" t="s">
        <v>3056</v>
      </c>
      <c r="E1566" s="103"/>
      <c r="F1566" s="2" t="s">
        <v>199</v>
      </c>
      <c r="G1566" s="38">
        <v>1</v>
      </c>
      <c r="H1566" s="70">
        <v>0</v>
      </c>
      <c r="I1566" s="38">
        <f>G1566*H1566</f>
        <v>0</v>
      </c>
      <c r="J1566" s="38">
        <v>0</v>
      </c>
      <c r="K1566" s="38">
        <f>G1566*J1566</f>
        <v>0</v>
      </c>
      <c r="L1566" s="71" t="s">
        <v>207</v>
      </c>
      <c r="Z1566" s="38">
        <f>IF(AQ1566="5",BJ1566,0)</f>
        <v>0</v>
      </c>
      <c r="AB1566" s="38">
        <f>IF(AQ1566="1",BH1566,0)</f>
        <v>0</v>
      </c>
      <c r="AC1566" s="38">
        <f>IF(AQ1566="1",BI1566,0)</f>
        <v>0</v>
      </c>
      <c r="AD1566" s="38">
        <f>IF(AQ1566="7",BH1566,0)</f>
        <v>0</v>
      </c>
      <c r="AE1566" s="38">
        <f>IF(AQ1566="7",BI1566,0)</f>
        <v>0</v>
      </c>
      <c r="AF1566" s="38">
        <f>IF(AQ1566="2",BH1566,0)</f>
        <v>0</v>
      </c>
      <c r="AG1566" s="38">
        <f>IF(AQ1566="2",BI1566,0)</f>
        <v>0</v>
      </c>
      <c r="AH1566" s="38">
        <f>IF(AQ1566="0",BJ1566,0)</f>
        <v>0</v>
      </c>
      <c r="AI1566" s="50" t="s">
        <v>95</v>
      </c>
      <c r="AJ1566" s="38">
        <f>IF(AN1566=0,I1566,0)</f>
        <v>0</v>
      </c>
      <c r="AK1566" s="38">
        <f>IF(AN1566=12,I1566,0)</f>
        <v>0</v>
      </c>
      <c r="AL1566" s="38">
        <f>IF(AN1566=21,I1566,0)</f>
        <v>0</v>
      </c>
      <c r="AN1566" s="38">
        <v>21</v>
      </c>
      <c r="AO1566" s="38">
        <f>H1566*0</f>
        <v>0</v>
      </c>
      <c r="AP1566" s="38">
        <f>H1566*(1-0)</f>
        <v>0</v>
      </c>
      <c r="AQ1566" s="72" t="s">
        <v>132</v>
      </c>
      <c r="AV1566" s="38">
        <f>AW1566+AX1566</f>
        <v>0</v>
      </c>
      <c r="AW1566" s="38">
        <f>G1566*AO1566</f>
        <v>0</v>
      </c>
      <c r="AX1566" s="38">
        <f>G1566*AP1566</f>
        <v>0</v>
      </c>
      <c r="AY1566" s="72" t="s">
        <v>2561</v>
      </c>
      <c r="AZ1566" s="72" t="s">
        <v>3013</v>
      </c>
      <c r="BA1566" s="50" t="s">
        <v>3014</v>
      </c>
      <c r="BC1566" s="38">
        <f>AW1566+AX1566</f>
        <v>0</v>
      </c>
      <c r="BD1566" s="38">
        <f>H1566/(100-BE1566)*100</f>
        <v>0</v>
      </c>
      <c r="BE1566" s="38">
        <v>0</v>
      </c>
      <c r="BF1566" s="38">
        <f>K1566</f>
        <v>0</v>
      </c>
      <c r="BH1566" s="38">
        <f>G1566*AO1566</f>
        <v>0</v>
      </c>
      <c r="BI1566" s="38">
        <f>G1566*AP1566</f>
        <v>0</v>
      </c>
      <c r="BJ1566" s="38">
        <f>G1566*H1566</f>
        <v>0</v>
      </c>
      <c r="BK1566" s="38"/>
      <c r="BL1566" s="38"/>
      <c r="BW1566" s="38">
        <v>21</v>
      </c>
    </row>
    <row r="1567" spans="1:12" ht="13.5" customHeight="1">
      <c r="A1567" s="74"/>
      <c r="D1567" s="194" t="s">
        <v>3057</v>
      </c>
      <c r="E1567" s="195"/>
      <c r="F1567" s="195"/>
      <c r="G1567" s="195"/>
      <c r="H1567" s="196"/>
      <c r="I1567" s="195"/>
      <c r="J1567" s="195"/>
      <c r="K1567" s="195"/>
      <c r="L1567" s="197"/>
    </row>
    <row r="1568" spans="1:75" ht="13.5" customHeight="1">
      <c r="A1568" s="78" t="s">
        <v>3058</v>
      </c>
      <c r="B1568" s="79" t="s">
        <v>95</v>
      </c>
      <c r="C1568" s="79" t="s">
        <v>3059</v>
      </c>
      <c r="D1568" s="198" t="s">
        <v>3060</v>
      </c>
      <c r="E1568" s="199"/>
      <c r="F1568" s="79" t="s">
        <v>2567</v>
      </c>
      <c r="G1568" s="80">
        <v>24</v>
      </c>
      <c r="H1568" s="81">
        <v>0</v>
      </c>
      <c r="I1568" s="80">
        <f aca="true" t="shared" si="424" ref="I1568:I1576">G1568*H1568</f>
        <v>0</v>
      </c>
      <c r="J1568" s="80">
        <v>0</v>
      </c>
      <c r="K1568" s="80">
        <f aca="true" t="shared" si="425" ref="K1568:K1576">G1568*J1568</f>
        <v>0</v>
      </c>
      <c r="L1568" s="82" t="s">
        <v>207</v>
      </c>
      <c r="Z1568" s="38">
        <f aca="true" t="shared" si="426" ref="Z1568:Z1576">IF(AQ1568="5",BJ1568,0)</f>
        <v>0</v>
      </c>
      <c r="AB1568" s="38">
        <f aca="true" t="shared" si="427" ref="AB1568:AB1576">IF(AQ1568="1",BH1568,0)</f>
        <v>0</v>
      </c>
      <c r="AC1568" s="38">
        <f aca="true" t="shared" si="428" ref="AC1568:AC1576">IF(AQ1568="1",BI1568,0)</f>
        <v>0</v>
      </c>
      <c r="AD1568" s="38">
        <f aca="true" t="shared" si="429" ref="AD1568:AD1576">IF(AQ1568="7",BH1568,0)</f>
        <v>0</v>
      </c>
      <c r="AE1568" s="38">
        <f aca="true" t="shared" si="430" ref="AE1568:AE1576">IF(AQ1568="7",BI1568,0)</f>
        <v>0</v>
      </c>
      <c r="AF1568" s="38">
        <f aca="true" t="shared" si="431" ref="AF1568:AF1576">IF(AQ1568="2",BH1568,0)</f>
        <v>0</v>
      </c>
      <c r="AG1568" s="38">
        <f aca="true" t="shared" si="432" ref="AG1568:AG1576">IF(AQ1568="2",BI1568,0)</f>
        <v>0</v>
      </c>
      <c r="AH1568" s="38">
        <f aca="true" t="shared" si="433" ref="AH1568:AH1576">IF(AQ1568="0",BJ1568,0)</f>
        <v>0</v>
      </c>
      <c r="AI1568" s="50" t="s">
        <v>95</v>
      </c>
      <c r="AJ1568" s="80">
        <f aca="true" t="shared" si="434" ref="AJ1568:AJ1576">IF(AN1568=0,I1568,0)</f>
        <v>0</v>
      </c>
      <c r="AK1568" s="80">
        <f aca="true" t="shared" si="435" ref="AK1568:AK1576">IF(AN1568=12,I1568,0)</f>
        <v>0</v>
      </c>
      <c r="AL1568" s="80">
        <f aca="true" t="shared" si="436" ref="AL1568:AL1576">IF(AN1568=21,I1568,0)</f>
        <v>0</v>
      </c>
      <c r="AN1568" s="38">
        <v>21</v>
      </c>
      <c r="AO1568" s="38">
        <f aca="true" t="shared" si="437" ref="AO1568:AO1576">H1568*1</f>
        <v>0</v>
      </c>
      <c r="AP1568" s="38">
        <f aca="true" t="shared" si="438" ref="AP1568:AP1576">H1568*(1-1)</f>
        <v>0</v>
      </c>
      <c r="AQ1568" s="83" t="s">
        <v>132</v>
      </c>
      <c r="AV1568" s="38">
        <f aca="true" t="shared" si="439" ref="AV1568:AV1576">AW1568+AX1568</f>
        <v>0</v>
      </c>
      <c r="AW1568" s="38">
        <f aca="true" t="shared" si="440" ref="AW1568:AW1576">G1568*AO1568</f>
        <v>0</v>
      </c>
      <c r="AX1568" s="38">
        <f aca="true" t="shared" si="441" ref="AX1568:AX1576">G1568*AP1568</f>
        <v>0</v>
      </c>
      <c r="AY1568" s="72" t="s">
        <v>2561</v>
      </c>
      <c r="AZ1568" s="72" t="s">
        <v>3013</v>
      </c>
      <c r="BA1568" s="50" t="s">
        <v>3014</v>
      </c>
      <c r="BC1568" s="38">
        <f aca="true" t="shared" si="442" ref="BC1568:BC1576">AW1568+AX1568</f>
        <v>0</v>
      </c>
      <c r="BD1568" s="38">
        <f aca="true" t="shared" si="443" ref="BD1568:BD1576">H1568/(100-BE1568)*100</f>
        <v>0</v>
      </c>
      <c r="BE1568" s="38">
        <v>0</v>
      </c>
      <c r="BF1568" s="38">
        <f aca="true" t="shared" si="444" ref="BF1568:BF1576">K1568</f>
        <v>0</v>
      </c>
      <c r="BH1568" s="80">
        <f aca="true" t="shared" si="445" ref="BH1568:BH1576">G1568*AO1568</f>
        <v>0</v>
      </c>
      <c r="BI1568" s="80">
        <f aca="true" t="shared" si="446" ref="BI1568:BI1576">G1568*AP1568</f>
        <v>0</v>
      </c>
      <c r="BJ1568" s="80">
        <f aca="true" t="shared" si="447" ref="BJ1568:BJ1576">G1568*H1568</f>
        <v>0</v>
      </c>
      <c r="BK1568" s="80"/>
      <c r="BL1568" s="38"/>
      <c r="BW1568" s="38">
        <v>21</v>
      </c>
    </row>
    <row r="1569" spans="1:75" ht="13.5" customHeight="1">
      <c r="A1569" s="78" t="s">
        <v>3061</v>
      </c>
      <c r="B1569" s="79" t="s">
        <v>95</v>
      </c>
      <c r="C1569" s="79" t="s">
        <v>3062</v>
      </c>
      <c r="D1569" s="198" t="s">
        <v>3063</v>
      </c>
      <c r="E1569" s="199"/>
      <c r="F1569" s="79" t="s">
        <v>2567</v>
      </c>
      <c r="G1569" s="80">
        <v>1</v>
      </c>
      <c r="H1569" s="81">
        <v>0</v>
      </c>
      <c r="I1569" s="80">
        <f t="shared" si="424"/>
        <v>0</v>
      </c>
      <c r="J1569" s="80">
        <v>0</v>
      </c>
      <c r="K1569" s="80">
        <f t="shared" si="425"/>
        <v>0</v>
      </c>
      <c r="L1569" s="82" t="s">
        <v>207</v>
      </c>
      <c r="Z1569" s="38">
        <f t="shared" si="426"/>
        <v>0</v>
      </c>
      <c r="AB1569" s="38">
        <f t="shared" si="427"/>
        <v>0</v>
      </c>
      <c r="AC1569" s="38">
        <f t="shared" si="428"/>
        <v>0</v>
      </c>
      <c r="AD1569" s="38">
        <f t="shared" si="429"/>
        <v>0</v>
      </c>
      <c r="AE1569" s="38">
        <f t="shared" si="430"/>
        <v>0</v>
      </c>
      <c r="AF1569" s="38">
        <f t="shared" si="431"/>
        <v>0</v>
      </c>
      <c r="AG1569" s="38">
        <f t="shared" si="432"/>
        <v>0</v>
      </c>
      <c r="AH1569" s="38">
        <f t="shared" si="433"/>
        <v>0</v>
      </c>
      <c r="AI1569" s="50" t="s">
        <v>95</v>
      </c>
      <c r="AJ1569" s="80">
        <f t="shared" si="434"/>
        <v>0</v>
      </c>
      <c r="AK1569" s="80">
        <f t="shared" si="435"/>
        <v>0</v>
      </c>
      <c r="AL1569" s="80">
        <f t="shared" si="436"/>
        <v>0</v>
      </c>
      <c r="AN1569" s="38">
        <v>21</v>
      </c>
      <c r="AO1569" s="38">
        <f t="shared" si="437"/>
        <v>0</v>
      </c>
      <c r="AP1569" s="38">
        <f t="shared" si="438"/>
        <v>0</v>
      </c>
      <c r="AQ1569" s="83" t="s">
        <v>132</v>
      </c>
      <c r="AV1569" s="38">
        <f t="shared" si="439"/>
        <v>0</v>
      </c>
      <c r="AW1569" s="38">
        <f t="shared" si="440"/>
        <v>0</v>
      </c>
      <c r="AX1569" s="38">
        <f t="shared" si="441"/>
        <v>0</v>
      </c>
      <c r="AY1569" s="72" t="s">
        <v>2561</v>
      </c>
      <c r="AZ1569" s="72" t="s">
        <v>3013</v>
      </c>
      <c r="BA1569" s="50" t="s">
        <v>3014</v>
      </c>
      <c r="BC1569" s="38">
        <f t="shared" si="442"/>
        <v>0</v>
      </c>
      <c r="BD1569" s="38">
        <f t="shared" si="443"/>
        <v>0</v>
      </c>
      <c r="BE1569" s="38">
        <v>0</v>
      </c>
      <c r="BF1569" s="38">
        <f t="shared" si="444"/>
        <v>0</v>
      </c>
      <c r="BH1569" s="80">
        <f t="shared" si="445"/>
        <v>0</v>
      </c>
      <c r="BI1569" s="80">
        <f t="shared" si="446"/>
        <v>0</v>
      </c>
      <c r="BJ1569" s="80">
        <f t="shared" si="447"/>
        <v>0</v>
      </c>
      <c r="BK1569" s="80"/>
      <c r="BL1569" s="38"/>
      <c r="BW1569" s="38">
        <v>21</v>
      </c>
    </row>
    <row r="1570" spans="1:75" ht="13.5" customHeight="1">
      <c r="A1570" s="78" t="s">
        <v>3064</v>
      </c>
      <c r="B1570" s="79" t="s">
        <v>95</v>
      </c>
      <c r="C1570" s="79" t="s">
        <v>3065</v>
      </c>
      <c r="D1570" s="198" t="s">
        <v>3066</v>
      </c>
      <c r="E1570" s="199"/>
      <c r="F1570" s="79" t="s">
        <v>2567</v>
      </c>
      <c r="G1570" s="80">
        <v>1</v>
      </c>
      <c r="H1570" s="81">
        <v>0</v>
      </c>
      <c r="I1570" s="80">
        <f t="shared" si="424"/>
        <v>0</v>
      </c>
      <c r="J1570" s="80">
        <v>0</v>
      </c>
      <c r="K1570" s="80">
        <f t="shared" si="425"/>
        <v>0</v>
      </c>
      <c r="L1570" s="82" t="s">
        <v>207</v>
      </c>
      <c r="Z1570" s="38">
        <f t="shared" si="426"/>
        <v>0</v>
      </c>
      <c r="AB1570" s="38">
        <f t="shared" si="427"/>
        <v>0</v>
      </c>
      <c r="AC1570" s="38">
        <f t="shared" si="428"/>
        <v>0</v>
      </c>
      <c r="AD1570" s="38">
        <f t="shared" si="429"/>
        <v>0</v>
      </c>
      <c r="AE1570" s="38">
        <f t="shared" si="430"/>
        <v>0</v>
      </c>
      <c r="AF1570" s="38">
        <f t="shared" si="431"/>
        <v>0</v>
      </c>
      <c r="AG1570" s="38">
        <f t="shared" si="432"/>
        <v>0</v>
      </c>
      <c r="AH1570" s="38">
        <f t="shared" si="433"/>
        <v>0</v>
      </c>
      <c r="AI1570" s="50" t="s">
        <v>95</v>
      </c>
      <c r="AJ1570" s="80">
        <f t="shared" si="434"/>
        <v>0</v>
      </c>
      <c r="AK1570" s="80">
        <f t="shared" si="435"/>
        <v>0</v>
      </c>
      <c r="AL1570" s="80">
        <f t="shared" si="436"/>
        <v>0</v>
      </c>
      <c r="AN1570" s="38">
        <v>21</v>
      </c>
      <c r="AO1570" s="38">
        <f t="shared" si="437"/>
        <v>0</v>
      </c>
      <c r="AP1570" s="38">
        <f t="shared" si="438"/>
        <v>0</v>
      </c>
      <c r="AQ1570" s="83" t="s">
        <v>132</v>
      </c>
      <c r="AV1570" s="38">
        <f t="shared" si="439"/>
        <v>0</v>
      </c>
      <c r="AW1570" s="38">
        <f t="shared" si="440"/>
        <v>0</v>
      </c>
      <c r="AX1570" s="38">
        <f t="shared" si="441"/>
        <v>0</v>
      </c>
      <c r="AY1570" s="72" t="s">
        <v>2561</v>
      </c>
      <c r="AZ1570" s="72" t="s">
        <v>3013</v>
      </c>
      <c r="BA1570" s="50" t="s">
        <v>3014</v>
      </c>
      <c r="BC1570" s="38">
        <f t="shared" si="442"/>
        <v>0</v>
      </c>
      <c r="BD1570" s="38">
        <f t="shared" si="443"/>
        <v>0</v>
      </c>
      <c r="BE1570" s="38">
        <v>0</v>
      </c>
      <c r="BF1570" s="38">
        <f t="shared" si="444"/>
        <v>0</v>
      </c>
      <c r="BH1570" s="80">
        <f t="shared" si="445"/>
        <v>0</v>
      </c>
      <c r="BI1570" s="80">
        <f t="shared" si="446"/>
        <v>0</v>
      </c>
      <c r="BJ1570" s="80">
        <f t="shared" si="447"/>
        <v>0</v>
      </c>
      <c r="BK1570" s="80"/>
      <c r="BL1570" s="38"/>
      <c r="BW1570" s="38">
        <v>21</v>
      </c>
    </row>
    <row r="1571" spans="1:75" ht="13.5" customHeight="1">
      <c r="A1571" s="78" t="s">
        <v>3067</v>
      </c>
      <c r="B1571" s="79" t="s">
        <v>95</v>
      </c>
      <c r="C1571" s="79" t="s">
        <v>3068</v>
      </c>
      <c r="D1571" s="198" t="s">
        <v>3069</v>
      </c>
      <c r="E1571" s="199"/>
      <c r="F1571" s="79" t="s">
        <v>2567</v>
      </c>
      <c r="G1571" s="80">
        <v>1</v>
      </c>
      <c r="H1571" s="81">
        <v>0</v>
      </c>
      <c r="I1571" s="80">
        <f t="shared" si="424"/>
        <v>0</v>
      </c>
      <c r="J1571" s="80">
        <v>0</v>
      </c>
      <c r="K1571" s="80">
        <f t="shared" si="425"/>
        <v>0</v>
      </c>
      <c r="L1571" s="82" t="s">
        <v>207</v>
      </c>
      <c r="Z1571" s="38">
        <f t="shared" si="426"/>
        <v>0</v>
      </c>
      <c r="AB1571" s="38">
        <f t="shared" si="427"/>
        <v>0</v>
      </c>
      <c r="AC1571" s="38">
        <f t="shared" si="428"/>
        <v>0</v>
      </c>
      <c r="AD1571" s="38">
        <f t="shared" si="429"/>
        <v>0</v>
      </c>
      <c r="AE1571" s="38">
        <f t="shared" si="430"/>
        <v>0</v>
      </c>
      <c r="AF1571" s="38">
        <f t="shared" si="431"/>
        <v>0</v>
      </c>
      <c r="AG1571" s="38">
        <f t="shared" si="432"/>
        <v>0</v>
      </c>
      <c r="AH1571" s="38">
        <f t="shared" si="433"/>
        <v>0</v>
      </c>
      <c r="AI1571" s="50" t="s">
        <v>95</v>
      </c>
      <c r="AJ1571" s="80">
        <f t="shared" si="434"/>
        <v>0</v>
      </c>
      <c r="AK1571" s="80">
        <f t="shared" si="435"/>
        <v>0</v>
      </c>
      <c r="AL1571" s="80">
        <f t="shared" si="436"/>
        <v>0</v>
      </c>
      <c r="AN1571" s="38">
        <v>21</v>
      </c>
      <c r="AO1571" s="38">
        <f t="shared" si="437"/>
        <v>0</v>
      </c>
      <c r="AP1571" s="38">
        <f t="shared" si="438"/>
        <v>0</v>
      </c>
      <c r="AQ1571" s="83" t="s">
        <v>132</v>
      </c>
      <c r="AV1571" s="38">
        <f t="shared" si="439"/>
        <v>0</v>
      </c>
      <c r="AW1571" s="38">
        <f t="shared" si="440"/>
        <v>0</v>
      </c>
      <c r="AX1571" s="38">
        <f t="shared" si="441"/>
        <v>0</v>
      </c>
      <c r="AY1571" s="72" t="s">
        <v>2561</v>
      </c>
      <c r="AZ1571" s="72" t="s">
        <v>3013</v>
      </c>
      <c r="BA1571" s="50" t="s">
        <v>3014</v>
      </c>
      <c r="BC1571" s="38">
        <f t="shared" si="442"/>
        <v>0</v>
      </c>
      <c r="BD1571" s="38">
        <f t="shared" si="443"/>
        <v>0</v>
      </c>
      <c r="BE1571" s="38">
        <v>0</v>
      </c>
      <c r="BF1571" s="38">
        <f t="shared" si="444"/>
        <v>0</v>
      </c>
      <c r="BH1571" s="80">
        <f t="shared" si="445"/>
        <v>0</v>
      </c>
      <c r="BI1571" s="80">
        <f t="shared" si="446"/>
        <v>0</v>
      </c>
      <c r="BJ1571" s="80">
        <f t="shared" si="447"/>
        <v>0</v>
      </c>
      <c r="BK1571" s="80"/>
      <c r="BL1571" s="38"/>
      <c r="BW1571" s="38">
        <v>21</v>
      </c>
    </row>
    <row r="1572" spans="1:75" ht="13.5" customHeight="1">
      <c r="A1572" s="78" t="s">
        <v>3070</v>
      </c>
      <c r="B1572" s="79" t="s">
        <v>95</v>
      </c>
      <c r="C1572" s="79" t="s">
        <v>3071</v>
      </c>
      <c r="D1572" s="198" t="s">
        <v>3072</v>
      </c>
      <c r="E1572" s="199"/>
      <c r="F1572" s="79" t="s">
        <v>2567</v>
      </c>
      <c r="G1572" s="80">
        <v>3</v>
      </c>
      <c r="H1572" s="81">
        <v>0</v>
      </c>
      <c r="I1572" s="80">
        <f t="shared" si="424"/>
        <v>0</v>
      </c>
      <c r="J1572" s="80">
        <v>0</v>
      </c>
      <c r="K1572" s="80">
        <f t="shared" si="425"/>
        <v>0</v>
      </c>
      <c r="L1572" s="82" t="s">
        <v>207</v>
      </c>
      <c r="Z1572" s="38">
        <f t="shared" si="426"/>
        <v>0</v>
      </c>
      <c r="AB1572" s="38">
        <f t="shared" si="427"/>
        <v>0</v>
      </c>
      <c r="AC1572" s="38">
        <f t="shared" si="428"/>
        <v>0</v>
      </c>
      <c r="AD1572" s="38">
        <f t="shared" si="429"/>
        <v>0</v>
      </c>
      <c r="AE1572" s="38">
        <f t="shared" si="430"/>
        <v>0</v>
      </c>
      <c r="AF1572" s="38">
        <f t="shared" si="431"/>
        <v>0</v>
      </c>
      <c r="AG1572" s="38">
        <f t="shared" si="432"/>
        <v>0</v>
      </c>
      <c r="AH1572" s="38">
        <f t="shared" si="433"/>
        <v>0</v>
      </c>
      <c r="AI1572" s="50" t="s">
        <v>95</v>
      </c>
      <c r="AJ1572" s="80">
        <f t="shared" si="434"/>
        <v>0</v>
      </c>
      <c r="AK1572" s="80">
        <f t="shared" si="435"/>
        <v>0</v>
      </c>
      <c r="AL1572" s="80">
        <f t="shared" si="436"/>
        <v>0</v>
      </c>
      <c r="AN1572" s="38">
        <v>21</v>
      </c>
      <c r="AO1572" s="38">
        <f t="shared" si="437"/>
        <v>0</v>
      </c>
      <c r="AP1572" s="38">
        <f t="shared" si="438"/>
        <v>0</v>
      </c>
      <c r="AQ1572" s="83" t="s">
        <v>132</v>
      </c>
      <c r="AV1572" s="38">
        <f t="shared" si="439"/>
        <v>0</v>
      </c>
      <c r="AW1572" s="38">
        <f t="shared" si="440"/>
        <v>0</v>
      </c>
      <c r="AX1572" s="38">
        <f t="shared" si="441"/>
        <v>0</v>
      </c>
      <c r="AY1572" s="72" t="s">
        <v>2561</v>
      </c>
      <c r="AZ1572" s="72" t="s">
        <v>3013</v>
      </c>
      <c r="BA1572" s="50" t="s">
        <v>3014</v>
      </c>
      <c r="BC1572" s="38">
        <f t="shared" si="442"/>
        <v>0</v>
      </c>
      <c r="BD1572" s="38">
        <f t="shared" si="443"/>
        <v>0</v>
      </c>
      <c r="BE1572" s="38">
        <v>0</v>
      </c>
      <c r="BF1572" s="38">
        <f t="shared" si="444"/>
        <v>0</v>
      </c>
      <c r="BH1572" s="80">
        <f t="shared" si="445"/>
        <v>0</v>
      </c>
      <c r="BI1572" s="80">
        <f t="shared" si="446"/>
        <v>0</v>
      </c>
      <c r="BJ1572" s="80">
        <f t="shared" si="447"/>
        <v>0</v>
      </c>
      <c r="BK1572" s="80"/>
      <c r="BL1572" s="38"/>
      <c r="BW1572" s="38">
        <v>21</v>
      </c>
    </row>
    <row r="1573" spans="1:75" ht="13.5" customHeight="1">
      <c r="A1573" s="78" t="s">
        <v>3073</v>
      </c>
      <c r="B1573" s="79" t="s">
        <v>95</v>
      </c>
      <c r="C1573" s="79" t="s">
        <v>3074</v>
      </c>
      <c r="D1573" s="198" t="s">
        <v>3075</v>
      </c>
      <c r="E1573" s="199"/>
      <c r="F1573" s="79" t="s">
        <v>2567</v>
      </c>
      <c r="G1573" s="80">
        <v>20</v>
      </c>
      <c r="H1573" s="81">
        <v>0</v>
      </c>
      <c r="I1573" s="80">
        <f t="shared" si="424"/>
        <v>0</v>
      </c>
      <c r="J1573" s="80">
        <v>0</v>
      </c>
      <c r="K1573" s="80">
        <f t="shared" si="425"/>
        <v>0</v>
      </c>
      <c r="L1573" s="82" t="s">
        <v>207</v>
      </c>
      <c r="Z1573" s="38">
        <f t="shared" si="426"/>
        <v>0</v>
      </c>
      <c r="AB1573" s="38">
        <f t="shared" si="427"/>
        <v>0</v>
      </c>
      <c r="AC1573" s="38">
        <f t="shared" si="428"/>
        <v>0</v>
      </c>
      <c r="AD1573" s="38">
        <f t="shared" si="429"/>
        <v>0</v>
      </c>
      <c r="AE1573" s="38">
        <f t="shared" si="430"/>
        <v>0</v>
      </c>
      <c r="AF1573" s="38">
        <f t="shared" si="431"/>
        <v>0</v>
      </c>
      <c r="AG1573" s="38">
        <f t="shared" si="432"/>
        <v>0</v>
      </c>
      <c r="AH1573" s="38">
        <f t="shared" si="433"/>
        <v>0</v>
      </c>
      <c r="AI1573" s="50" t="s">
        <v>95</v>
      </c>
      <c r="AJ1573" s="80">
        <f t="shared" si="434"/>
        <v>0</v>
      </c>
      <c r="AK1573" s="80">
        <f t="shared" si="435"/>
        <v>0</v>
      </c>
      <c r="AL1573" s="80">
        <f t="shared" si="436"/>
        <v>0</v>
      </c>
      <c r="AN1573" s="38">
        <v>21</v>
      </c>
      <c r="AO1573" s="38">
        <f t="shared" si="437"/>
        <v>0</v>
      </c>
      <c r="AP1573" s="38">
        <f t="shared" si="438"/>
        <v>0</v>
      </c>
      <c r="AQ1573" s="83" t="s">
        <v>132</v>
      </c>
      <c r="AV1573" s="38">
        <f t="shared" si="439"/>
        <v>0</v>
      </c>
      <c r="AW1573" s="38">
        <f t="shared" si="440"/>
        <v>0</v>
      </c>
      <c r="AX1573" s="38">
        <f t="shared" si="441"/>
        <v>0</v>
      </c>
      <c r="AY1573" s="72" t="s">
        <v>2561</v>
      </c>
      <c r="AZ1573" s="72" t="s">
        <v>3013</v>
      </c>
      <c r="BA1573" s="50" t="s">
        <v>3014</v>
      </c>
      <c r="BC1573" s="38">
        <f t="shared" si="442"/>
        <v>0</v>
      </c>
      <c r="BD1573" s="38">
        <f t="shared" si="443"/>
        <v>0</v>
      </c>
      <c r="BE1573" s="38">
        <v>0</v>
      </c>
      <c r="BF1573" s="38">
        <f t="shared" si="444"/>
        <v>0</v>
      </c>
      <c r="BH1573" s="80">
        <f t="shared" si="445"/>
        <v>0</v>
      </c>
      <c r="BI1573" s="80">
        <f t="shared" si="446"/>
        <v>0</v>
      </c>
      <c r="BJ1573" s="80">
        <f t="shared" si="447"/>
        <v>0</v>
      </c>
      <c r="BK1573" s="80"/>
      <c r="BL1573" s="38"/>
      <c r="BW1573" s="38">
        <v>21</v>
      </c>
    </row>
    <row r="1574" spans="1:75" ht="27" customHeight="1">
      <c r="A1574" s="78" t="s">
        <v>3076</v>
      </c>
      <c r="B1574" s="79" t="s">
        <v>95</v>
      </c>
      <c r="C1574" s="79" t="s">
        <v>3077</v>
      </c>
      <c r="D1574" s="198" t="s">
        <v>3078</v>
      </c>
      <c r="E1574" s="199"/>
      <c r="F1574" s="79" t="s">
        <v>2567</v>
      </c>
      <c r="G1574" s="80">
        <v>2</v>
      </c>
      <c r="H1574" s="81">
        <v>0</v>
      </c>
      <c r="I1574" s="80">
        <f t="shared" si="424"/>
        <v>0</v>
      </c>
      <c r="J1574" s="80">
        <v>0</v>
      </c>
      <c r="K1574" s="80">
        <f t="shared" si="425"/>
        <v>0</v>
      </c>
      <c r="L1574" s="82" t="s">
        <v>207</v>
      </c>
      <c r="Z1574" s="38">
        <f t="shared" si="426"/>
        <v>0</v>
      </c>
      <c r="AB1574" s="38">
        <f t="shared" si="427"/>
        <v>0</v>
      </c>
      <c r="AC1574" s="38">
        <f t="shared" si="428"/>
        <v>0</v>
      </c>
      <c r="AD1574" s="38">
        <f t="shared" si="429"/>
        <v>0</v>
      </c>
      <c r="AE1574" s="38">
        <f t="shared" si="430"/>
        <v>0</v>
      </c>
      <c r="AF1574" s="38">
        <f t="shared" si="431"/>
        <v>0</v>
      </c>
      <c r="AG1574" s="38">
        <f t="shared" si="432"/>
        <v>0</v>
      </c>
      <c r="AH1574" s="38">
        <f t="shared" si="433"/>
        <v>0</v>
      </c>
      <c r="AI1574" s="50" t="s">
        <v>95</v>
      </c>
      <c r="AJ1574" s="80">
        <f t="shared" si="434"/>
        <v>0</v>
      </c>
      <c r="AK1574" s="80">
        <f t="shared" si="435"/>
        <v>0</v>
      </c>
      <c r="AL1574" s="80">
        <f t="shared" si="436"/>
        <v>0</v>
      </c>
      <c r="AN1574" s="38">
        <v>21</v>
      </c>
      <c r="AO1574" s="38">
        <f t="shared" si="437"/>
        <v>0</v>
      </c>
      <c r="AP1574" s="38">
        <f t="shared" si="438"/>
        <v>0</v>
      </c>
      <c r="AQ1574" s="83" t="s">
        <v>132</v>
      </c>
      <c r="AV1574" s="38">
        <f t="shared" si="439"/>
        <v>0</v>
      </c>
      <c r="AW1574" s="38">
        <f t="shared" si="440"/>
        <v>0</v>
      </c>
      <c r="AX1574" s="38">
        <f t="shared" si="441"/>
        <v>0</v>
      </c>
      <c r="AY1574" s="72" t="s">
        <v>2561</v>
      </c>
      <c r="AZ1574" s="72" t="s">
        <v>3013</v>
      </c>
      <c r="BA1574" s="50" t="s">
        <v>3014</v>
      </c>
      <c r="BC1574" s="38">
        <f t="shared" si="442"/>
        <v>0</v>
      </c>
      <c r="BD1574" s="38">
        <f t="shared" si="443"/>
        <v>0</v>
      </c>
      <c r="BE1574" s="38">
        <v>0</v>
      </c>
      <c r="BF1574" s="38">
        <f t="shared" si="444"/>
        <v>0</v>
      </c>
      <c r="BH1574" s="80">
        <f t="shared" si="445"/>
        <v>0</v>
      </c>
      <c r="BI1574" s="80">
        <f t="shared" si="446"/>
        <v>0</v>
      </c>
      <c r="BJ1574" s="80">
        <f t="shared" si="447"/>
        <v>0</v>
      </c>
      <c r="BK1574" s="80"/>
      <c r="BL1574" s="38"/>
      <c r="BW1574" s="38">
        <v>21</v>
      </c>
    </row>
    <row r="1575" spans="1:75" ht="13.5" customHeight="1">
      <c r="A1575" s="78" t="s">
        <v>3079</v>
      </c>
      <c r="B1575" s="79" t="s">
        <v>95</v>
      </c>
      <c r="C1575" s="79" t="s">
        <v>3080</v>
      </c>
      <c r="D1575" s="198" t="s">
        <v>3081</v>
      </c>
      <c r="E1575" s="199"/>
      <c r="F1575" s="79" t="s">
        <v>2567</v>
      </c>
      <c r="G1575" s="80">
        <v>2</v>
      </c>
      <c r="H1575" s="81">
        <v>0</v>
      </c>
      <c r="I1575" s="80">
        <f t="shared" si="424"/>
        <v>0</v>
      </c>
      <c r="J1575" s="80">
        <v>0</v>
      </c>
      <c r="K1575" s="80">
        <f t="shared" si="425"/>
        <v>0</v>
      </c>
      <c r="L1575" s="82" t="s">
        <v>207</v>
      </c>
      <c r="Z1575" s="38">
        <f t="shared" si="426"/>
        <v>0</v>
      </c>
      <c r="AB1575" s="38">
        <f t="shared" si="427"/>
        <v>0</v>
      </c>
      <c r="AC1575" s="38">
        <f t="shared" si="428"/>
        <v>0</v>
      </c>
      <c r="AD1575" s="38">
        <f t="shared" si="429"/>
        <v>0</v>
      </c>
      <c r="AE1575" s="38">
        <f t="shared" si="430"/>
        <v>0</v>
      </c>
      <c r="AF1575" s="38">
        <f t="shared" si="431"/>
        <v>0</v>
      </c>
      <c r="AG1575" s="38">
        <f t="shared" si="432"/>
        <v>0</v>
      </c>
      <c r="AH1575" s="38">
        <f t="shared" si="433"/>
        <v>0</v>
      </c>
      <c r="AI1575" s="50" t="s">
        <v>95</v>
      </c>
      <c r="AJ1575" s="80">
        <f t="shared" si="434"/>
        <v>0</v>
      </c>
      <c r="AK1575" s="80">
        <f t="shared" si="435"/>
        <v>0</v>
      </c>
      <c r="AL1575" s="80">
        <f t="shared" si="436"/>
        <v>0</v>
      </c>
      <c r="AN1575" s="38">
        <v>21</v>
      </c>
      <c r="AO1575" s="38">
        <f t="shared" si="437"/>
        <v>0</v>
      </c>
      <c r="AP1575" s="38">
        <f t="shared" si="438"/>
        <v>0</v>
      </c>
      <c r="AQ1575" s="83" t="s">
        <v>132</v>
      </c>
      <c r="AV1575" s="38">
        <f t="shared" si="439"/>
        <v>0</v>
      </c>
      <c r="AW1575" s="38">
        <f t="shared" si="440"/>
        <v>0</v>
      </c>
      <c r="AX1575" s="38">
        <f t="shared" si="441"/>
        <v>0</v>
      </c>
      <c r="AY1575" s="72" t="s">
        <v>2561</v>
      </c>
      <c r="AZ1575" s="72" t="s">
        <v>3013</v>
      </c>
      <c r="BA1575" s="50" t="s">
        <v>3014</v>
      </c>
      <c r="BC1575" s="38">
        <f t="shared" si="442"/>
        <v>0</v>
      </c>
      <c r="BD1575" s="38">
        <f t="shared" si="443"/>
        <v>0</v>
      </c>
      <c r="BE1575" s="38">
        <v>0</v>
      </c>
      <c r="BF1575" s="38">
        <f t="shared" si="444"/>
        <v>0</v>
      </c>
      <c r="BH1575" s="80">
        <f t="shared" si="445"/>
        <v>0</v>
      </c>
      <c r="BI1575" s="80">
        <f t="shared" si="446"/>
        <v>0</v>
      </c>
      <c r="BJ1575" s="80">
        <f t="shared" si="447"/>
        <v>0</v>
      </c>
      <c r="BK1575" s="80"/>
      <c r="BL1575" s="38"/>
      <c r="BW1575" s="38">
        <v>21</v>
      </c>
    </row>
    <row r="1576" spans="1:75" ht="27" customHeight="1">
      <c r="A1576" s="78" t="s">
        <v>3082</v>
      </c>
      <c r="B1576" s="79" t="s">
        <v>95</v>
      </c>
      <c r="C1576" s="79" t="s">
        <v>3083</v>
      </c>
      <c r="D1576" s="198" t="s">
        <v>3084</v>
      </c>
      <c r="E1576" s="199"/>
      <c r="F1576" s="79" t="s">
        <v>2567</v>
      </c>
      <c r="G1576" s="80">
        <v>1</v>
      </c>
      <c r="H1576" s="81">
        <v>0</v>
      </c>
      <c r="I1576" s="80">
        <f t="shared" si="424"/>
        <v>0</v>
      </c>
      <c r="J1576" s="80">
        <v>0</v>
      </c>
      <c r="K1576" s="80">
        <f t="shared" si="425"/>
        <v>0</v>
      </c>
      <c r="L1576" s="82" t="s">
        <v>207</v>
      </c>
      <c r="Z1576" s="38">
        <f t="shared" si="426"/>
        <v>0</v>
      </c>
      <c r="AB1576" s="38">
        <f t="shared" si="427"/>
        <v>0</v>
      </c>
      <c r="AC1576" s="38">
        <f t="shared" si="428"/>
        <v>0</v>
      </c>
      <c r="AD1576" s="38">
        <f t="shared" si="429"/>
        <v>0</v>
      </c>
      <c r="AE1576" s="38">
        <f t="shared" si="430"/>
        <v>0</v>
      </c>
      <c r="AF1576" s="38">
        <f t="shared" si="431"/>
        <v>0</v>
      </c>
      <c r="AG1576" s="38">
        <f t="shared" si="432"/>
        <v>0</v>
      </c>
      <c r="AH1576" s="38">
        <f t="shared" si="433"/>
        <v>0</v>
      </c>
      <c r="AI1576" s="50" t="s">
        <v>95</v>
      </c>
      <c r="AJ1576" s="80">
        <f t="shared" si="434"/>
        <v>0</v>
      </c>
      <c r="AK1576" s="80">
        <f t="shared" si="435"/>
        <v>0</v>
      </c>
      <c r="AL1576" s="80">
        <f t="shared" si="436"/>
        <v>0</v>
      </c>
      <c r="AN1576" s="38">
        <v>21</v>
      </c>
      <c r="AO1576" s="38">
        <f t="shared" si="437"/>
        <v>0</v>
      </c>
      <c r="AP1576" s="38">
        <f t="shared" si="438"/>
        <v>0</v>
      </c>
      <c r="AQ1576" s="83" t="s">
        <v>132</v>
      </c>
      <c r="AV1576" s="38">
        <f t="shared" si="439"/>
        <v>0</v>
      </c>
      <c r="AW1576" s="38">
        <f t="shared" si="440"/>
        <v>0</v>
      </c>
      <c r="AX1576" s="38">
        <f t="shared" si="441"/>
        <v>0</v>
      </c>
      <c r="AY1576" s="72" t="s">
        <v>2561</v>
      </c>
      <c r="AZ1576" s="72" t="s">
        <v>3013</v>
      </c>
      <c r="BA1576" s="50" t="s">
        <v>3014</v>
      </c>
      <c r="BC1576" s="38">
        <f t="shared" si="442"/>
        <v>0</v>
      </c>
      <c r="BD1576" s="38">
        <f t="shared" si="443"/>
        <v>0</v>
      </c>
      <c r="BE1576" s="38">
        <v>0</v>
      </c>
      <c r="BF1576" s="38">
        <f t="shared" si="444"/>
        <v>0</v>
      </c>
      <c r="BH1576" s="80">
        <f t="shared" si="445"/>
        <v>0</v>
      </c>
      <c r="BI1576" s="80">
        <f t="shared" si="446"/>
        <v>0</v>
      </c>
      <c r="BJ1576" s="80">
        <f t="shared" si="447"/>
        <v>0</v>
      </c>
      <c r="BK1576" s="80"/>
      <c r="BL1576" s="38"/>
      <c r="BW1576" s="38">
        <v>21</v>
      </c>
    </row>
    <row r="1577" spans="1:47" ht="15">
      <c r="A1577" s="65" t="s">
        <v>4</v>
      </c>
      <c r="B1577" s="66" t="s">
        <v>95</v>
      </c>
      <c r="C1577" s="66" t="s">
        <v>3085</v>
      </c>
      <c r="D1577" s="192" t="s">
        <v>3086</v>
      </c>
      <c r="E1577" s="193"/>
      <c r="F1577" s="67" t="s">
        <v>78</v>
      </c>
      <c r="G1577" s="67" t="s">
        <v>78</v>
      </c>
      <c r="H1577" s="68" t="s">
        <v>78</v>
      </c>
      <c r="I1577" s="44">
        <f>SUM(I1578:I1606)</f>
        <v>0</v>
      </c>
      <c r="J1577" s="50" t="s">
        <v>4</v>
      </c>
      <c r="K1577" s="44">
        <f>SUM(K1578:K1606)</f>
        <v>0</v>
      </c>
      <c r="L1577" s="69" t="s">
        <v>4</v>
      </c>
      <c r="AI1577" s="50" t="s">
        <v>95</v>
      </c>
      <c r="AS1577" s="44">
        <f>SUM(AJ1578:AJ1606)</f>
        <v>0</v>
      </c>
      <c r="AT1577" s="44">
        <f>SUM(AK1578:AK1606)</f>
        <v>0</v>
      </c>
      <c r="AU1577" s="44">
        <f>SUM(AL1578:AL1606)</f>
        <v>0</v>
      </c>
    </row>
    <row r="1578" spans="1:75" ht="13.5" customHeight="1">
      <c r="A1578" s="1" t="s">
        <v>3087</v>
      </c>
      <c r="B1578" s="2" t="s">
        <v>95</v>
      </c>
      <c r="C1578" s="2" t="s">
        <v>3019</v>
      </c>
      <c r="D1578" s="108" t="s">
        <v>3020</v>
      </c>
      <c r="E1578" s="103"/>
      <c r="F1578" s="2" t="s">
        <v>199</v>
      </c>
      <c r="G1578" s="38">
        <v>1</v>
      </c>
      <c r="H1578" s="70">
        <v>0</v>
      </c>
      <c r="I1578" s="38">
        <f>G1578*H1578</f>
        <v>0</v>
      </c>
      <c r="J1578" s="38">
        <v>0</v>
      </c>
      <c r="K1578" s="38">
        <f>G1578*J1578</f>
        <v>0</v>
      </c>
      <c r="L1578" s="71" t="s">
        <v>207</v>
      </c>
      <c r="Z1578" s="38">
        <f>IF(AQ1578="5",BJ1578,0)</f>
        <v>0</v>
      </c>
      <c r="AB1578" s="38">
        <f>IF(AQ1578="1",BH1578,0)</f>
        <v>0</v>
      </c>
      <c r="AC1578" s="38">
        <f>IF(AQ1578="1",BI1578,0)</f>
        <v>0</v>
      </c>
      <c r="AD1578" s="38">
        <f>IF(AQ1578="7",BH1578,0)</f>
        <v>0</v>
      </c>
      <c r="AE1578" s="38">
        <f>IF(AQ1578="7",BI1578,0)</f>
        <v>0</v>
      </c>
      <c r="AF1578" s="38">
        <f>IF(AQ1578="2",BH1578,0)</f>
        <v>0</v>
      </c>
      <c r="AG1578" s="38">
        <f>IF(AQ1578="2",BI1578,0)</f>
        <v>0</v>
      </c>
      <c r="AH1578" s="38">
        <f>IF(AQ1578="0",BJ1578,0)</f>
        <v>0</v>
      </c>
      <c r="AI1578" s="50" t="s">
        <v>95</v>
      </c>
      <c r="AJ1578" s="38">
        <f>IF(AN1578=0,I1578,0)</f>
        <v>0</v>
      </c>
      <c r="AK1578" s="38">
        <f>IF(AN1578=12,I1578,0)</f>
        <v>0</v>
      </c>
      <c r="AL1578" s="38">
        <f>IF(AN1578=21,I1578,0)</f>
        <v>0</v>
      </c>
      <c r="AN1578" s="38">
        <v>21</v>
      </c>
      <c r="AO1578" s="38">
        <f>H1578*0</f>
        <v>0</v>
      </c>
      <c r="AP1578" s="38">
        <f>H1578*(1-0)</f>
        <v>0</v>
      </c>
      <c r="AQ1578" s="72" t="s">
        <v>143</v>
      </c>
      <c r="AV1578" s="38">
        <f>AW1578+AX1578</f>
        <v>0</v>
      </c>
      <c r="AW1578" s="38">
        <f>G1578*AO1578</f>
        <v>0</v>
      </c>
      <c r="AX1578" s="38">
        <f>G1578*AP1578</f>
        <v>0</v>
      </c>
      <c r="AY1578" s="72" t="s">
        <v>3088</v>
      </c>
      <c r="AZ1578" s="72" t="s">
        <v>3013</v>
      </c>
      <c r="BA1578" s="50" t="s">
        <v>3014</v>
      </c>
      <c r="BC1578" s="38">
        <f>AW1578+AX1578</f>
        <v>0</v>
      </c>
      <c r="BD1578" s="38">
        <f>H1578/(100-BE1578)*100</f>
        <v>0</v>
      </c>
      <c r="BE1578" s="38">
        <v>0</v>
      </c>
      <c r="BF1578" s="38">
        <f>K1578</f>
        <v>0</v>
      </c>
      <c r="BH1578" s="38">
        <f>G1578*AO1578</f>
        <v>0</v>
      </c>
      <c r="BI1578" s="38">
        <f>G1578*AP1578</f>
        <v>0</v>
      </c>
      <c r="BJ1578" s="38">
        <f>G1578*H1578</f>
        <v>0</v>
      </c>
      <c r="BK1578" s="38"/>
      <c r="BL1578" s="38"/>
      <c r="BW1578" s="38">
        <v>21</v>
      </c>
    </row>
    <row r="1579" spans="1:75" ht="27" customHeight="1">
      <c r="A1579" s="1" t="s">
        <v>3089</v>
      </c>
      <c r="B1579" s="2" t="s">
        <v>95</v>
      </c>
      <c r="C1579" s="2" t="s">
        <v>3023</v>
      </c>
      <c r="D1579" s="108" t="s">
        <v>3090</v>
      </c>
      <c r="E1579" s="103"/>
      <c r="F1579" s="2" t="s">
        <v>263</v>
      </c>
      <c r="G1579" s="38">
        <v>0.01</v>
      </c>
      <c r="H1579" s="70">
        <v>0</v>
      </c>
      <c r="I1579" s="38">
        <f>G1579*H1579</f>
        <v>0</v>
      </c>
      <c r="J1579" s="38">
        <v>0</v>
      </c>
      <c r="K1579" s="38">
        <f>G1579*J1579</f>
        <v>0</v>
      </c>
      <c r="L1579" s="71" t="s">
        <v>207</v>
      </c>
      <c r="Z1579" s="38">
        <f>IF(AQ1579="5",BJ1579,0)</f>
        <v>0</v>
      </c>
      <c r="AB1579" s="38">
        <f>IF(AQ1579="1",BH1579,0)</f>
        <v>0</v>
      </c>
      <c r="AC1579" s="38">
        <f>IF(AQ1579="1",BI1579,0)</f>
        <v>0</v>
      </c>
      <c r="AD1579" s="38">
        <f>IF(AQ1579="7",BH1579,0)</f>
        <v>0</v>
      </c>
      <c r="AE1579" s="38">
        <f>IF(AQ1579="7",BI1579,0)</f>
        <v>0</v>
      </c>
      <c r="AF1579" s="38">
        <f>IF(AQ1579="2",BH1579,0)</f>
        <v>0</v>
      </c>
      <c r="AG1579" s="38">
        <f>IF(AQ1579="2",BI1579,0)</f>
        <v>0</v>
      </c>
      <c r="AH1579" s="38">
        <f>IF(AQ1579="0",BJ1579,0)</f>
        <v>0</v>
      </c>
      <c r="AI1579" s="50" t="s">
        <v>95</v>
      </c>
      <c r="AJ1579" s="38">
        <f>IF(AN1579=0,I1579,0)</f>
        <v>0</v>
      </c>
      <c r="AK1579" s="38">
        <f>IF(AN1579=12,I1579,0)</f>
        <v>0</v>
      </c>
      <c r="AL1579" s="38">
        <f>IF(AN1579=21,I1579,0)</f>
        <v>0</v>
      </c>
      <c r="AN1579" s="38">
        <v>21</v>
      </c>
      <c r="AO1579" s="38">
        <f>H1579*0</f>
        <v>0</v>
      </c>
      <c r="AP1579" s="38">
        <f>H1579*(1-0)</f>
        <v>0</v>
      </c>
      <c r="AQ1579" s="72" t="s">
        <v>132</v>
      </c>
      <c r="AV1579" s="38">
        <f>AW1579+AX1579</f>
        <v>0</v>
      </c>
      <c r="AW1579" s="38">
        <f>G1579*AO1579</f>
        <v>0</v>
      </c>
      <c r="AX1579" s="38">
        <f>G1579*AP1579</f>
        <v>0</v>
      </c>
      <c r="AY1579" s="72" t="s">
        <v>3088</v>
      </c>
      <c r="AZ1579" s="72" t="s">
        <v>3013</v>
      </c>
      <c r="BA1579" s="50" t="s">
        <v>3014</v>
      </c>
      <c r="BC1579" s="38">
        <f>AW1579+AX1579</f>
        <v>0</v>
      </c>
      <c r="BD1579" s="38">
        <f>H1579/(100-BE1579)*100</f>
        <v>0</v>
      </c>
      <c r="BE1579" s="38">
        <v>0</v>
      </c>
      <c r="BF1579" s="38">
        <f>K1579</f>
        <v>0</v>
      </c>
      <c r="BH1579" s="38">
        <f>G1579*AO1579</f>
        <v>0</v>
      </c>
      <c r="BI1579" s="38">
        <f>G1579*AP1579</f>
        <v>0</v>
      </c>
      <c r="BJ1579" s="38">
        <f>G1579*H1579</f>
        <v>0</v>
      </c>
      <c r="BK1579" s="38"/>
      <c r="BL1579" s="38"/>
      <c r="BW1579" s="38">
        <v>21</v>
      </c>
    </row>
    <row r="1580" spans="1:12" ht="13.5" customHeight="1">
      <c r="A1580" s="74"/>
      <c r="D1580" s="194" t="s">
        <v>3021</v>
      </c>
      <c r="E1580" s="195"/>
      <c r="F1580" s="195"/>
      <c r="G1580" s="195"/>
      <c r="H1580" s="196"/>
      <c r="I1580" s="195"/>
      <c r="J1580" s="195"/>
      <c r="K1580" s="195"/>
      <c r="L1580" s="197"/>
    </row>
    <row r="1581" spans="1:75" ht="13.5" customHeight="1">
      <c r="A1581" s="78" t="s">
        <v>3091</v>
      </c>
      <c r="B1581" s="79" t="s">
        <v>95</v>
      </c>
      <c r="C1581" s="79" t="s">
        <v>3027</v>
      </c>
      <c r="D1581" s="198" t="s">
        <v>3028</v>
      </c>
      <c r="E1581" s="199"/>
      <c r="F1581" s="79" t="s">
        <v>199</v>
      </c>
      <c r="G1581" s="80">
        <v>1</v>
      </c>
      <c r="H1581" s="81">
        <v>0</v>
      </c>
      <c r="I1581" s="80">
        <f aca="true" t="shared" si="448" ref="I1581:I1595">G1581*H1581</f>
        <v>0</v>
      </c>
      <c r="J1581" s="80">
        <v>0</v>
      </c>
      <c r="K1581" s="80">
        <f aca="true" t="shared" si="449" ref="K1581:K1595">G1581*J1581</f>
        <v>0</v>
      </c>
      <c r="L1581" s="82" t="s">
        <v>207</v>
      </c>
      <c r="Z1581" s="38">
        <f aca="true" t="shared" si="450" ref="Z1581:Z1595">IF(AQ1581="5",BJ1581,0)</f>
        <v>0</v>
      </c>
      <c r="AB1581" s="38">
        <f aca="true" t="shared" si="451" ref="AB1581:AB1595">IF(AQ1581="1",BH1581,0)</f>
        <v>0</v>
      </c>
      <c r="AC1581" s="38">
        <f aca="true" t="shared" si="452" ref="AC1581:AC1595">IF(AQ1581="1",BI1581,0)</f>
        <v>0</v>
      </c>
      <c r="AD1581" s="38">
        <f aca="true" t="shared" si="453" ref="AD1581:AD1595">IF(AQ1581="7",BH1581,0)</f>
        <v>0</v>
      </c>
      <c r="AE1581" s="38">
        <f aca="true" t="shared" si="454" ref="AE1581:AE1595">IF(AQ1581="7",BI1581,0)</f>
        <v>0</v>
      </c>
      <c r="AF1581" s="38">
        <f aca="true" t="shared" si="455" ref="AF1581:AF1595">IF(AQ1581="2",BH1581,0)</f>
        <v>0</v>
      </c>
      <c r="AG1581" s="38">
        <f aca="true" t="shared" si="456" ref="AG1581:AG1595">IF(AQ1581="2",BI1581,0)</f>
        <v>0</v>
      </c>
      <c r="AH1581" s="38">
        <f aca="true" t="shared" si="457" ref="AH1581:AH1595">IF(AQ1581="0",BJ1581,0)</f>
        <v>0</v>
      </c>
      <c r="AI1581" s="50" t="s">
        <v>95</v>
      </c>
      <c r="AJ1581" s="80">
        <f aca="true" t="shared" si="458" ref="AJ1581:AJ1595">IF(AN1581=0,I1581,0)</f>
        <v>0</v>
      </c>
      <c r="AK1581" s="80">
        <f aca="true" t="shared" si="459" ref="AK1581:AK1595">IF(AN1581=12,I1581,0)</f>
        <v>0</v>
      </c>
      <c r="AL1581" s="80">
        <f aca="true" t="shared" si="460" ref="AL1581:AL1595">IF(AN1581=21,I1581,0)</f>
        <v>0</v>
      </c>
      <c r="AN1581" s="38">
        <v>21</v>
      </c>
      <c r="AO1581" s="38">
        <f>H1581*1</f>
        <v>0</v>
      </c>
      <c r="AP1581" s="38">
        <f>H1581*(1-1)</f>
        <v>0</v>
      </c>
      <c r="AQ1581" s="83" t="s">
        <v>132</v>
      </c>
      <c r="AV1581" s="38">
        <f aca="true" t="shared" si="461" ref="AV1581:AV1595">AW1581+AX1581</f>
        <v>0</v>
      </c>
      <c r="AW1581" s="38">
        <f aca="true" t="shared" si="462" ref="AW1581:AW1595">G1581*AO1581</f>
        <v>0</v>
      </c>
      <c r="AX1581" s="38">
        <f aca="true" t="shared" si="463" ref="AX1581:AX1595">G1581*AP1581</f>
        <v>0</v>
      </c>
      <c r="AY1581" s="72" t="s">
        <v>3088</v>
      </c>
      <c r="AZ1581" s="72" t="s">
        <v>3013</v>
      </c>
      <c r="BA1581" s="50" t="s">
        <v>3014</v>
      </c>
      <c r="BC1581" s="38">
        <f aca="true" t="shared" si="464" ref="BC1581:BC1595">AW1581+AX1581</f>
        <v>0</v>
      </c>
      <c r="BD1581" s="38">
        <f aca="true" t="shared" si="465" ref="BD1581:BD1595">H1581/(100-BE1581)*100</f>
        <v>0</v>
      </c>
      <c r="BE1581" s="38">
        <v>0</v>
      </c>
      <c r="BF1581" s="38">
        <f aca="true" t="shared" si="466" ref="BF1581:BF1595">K1581</f>
        <v>0</v>
      </c>
      <c r="BH1581" s="80">
        <f aca="true" t="shared" si="467" ref="BH1581:BH1595">G1581*AO1581</f>
        <v>0</v>
      </c>
      <c r="BI1581" s="80">
        <f aca="true" t="shared" si="468" ref="BI1581:BI1595">G1581*AP1581</f>
        <v>0</v>
      </c>
      <c r="BJ1581" s="80">
        <f aca="true" t="shared" si="469" ref="BJ1581:BJ1595">G1581*H1581</f>
        <v>0</v>
      </c>
      <c r="BK1581" s="80"/>
      <c r="BL1581" s="38"/>
      <c r="BW1581" s="38">
        <v>21</v>
      </c>
    </row>
    <row r="1582" spans="1:75" ht="27" customHeight="1">
      <c r="A1582" s="1" t="s">
        <v>3092</v>
      </c>
      <c r="B1582" s="2" t="s">
        <v>95</v>
      </c>
      <c r="C1582" s="2" t="s">
        <v>2675</v>
      </c>
      <c r="D1582" s="108" t="s">
        <v>2676</v>
      </c>
      <c r="E1582" s="103"/>
      <c r="F1582" s="2" t="s">
        <v>214</v>
      </c>
      <c r="G1582" s="38">
        <v>30</v>
      </c>
      <c r="H1582" s="70">
        <v>0</v>
      </c>
      <c r="I1582" s="38">
        <f t="shared" si="448"/>
        <v>0</v>
      </c>
      <c r="J1582" s="38">
        <v>0</v>
      </c>
      <c r="K1582" s="38">
        <f t="shared" si="449"/>
        <v>0</v>
      </c>
      <c r="L1582" s="71" t="s">
        <v>207</v>
      </c>
      <c r="Z1582" s="38">
        <f t="shared" si="450"/>
        <v>0</v>
      </c>
      <c r="AB1582" s="38">
        <f t="shared" si="451"/>
        <v>0</v>
      </c>
      <c r="AC1582" s="38">
        <f t="shared" si="452"/>
        <v>0</v>
      </c>
      <c r="AD1582" s="38">
        <f t="shared" si="453"/>
        <v>0</v>
      </c>
      <c r="AE1582" s="38">
        <f t="shared" si="454"/>
        <v>0</v>
      </c>
      <c r="AF1582" s="38">
        <f t="shared" si="455"/>
        <v>0</v>
      </c>
      <c r="AG1582" s="38">
        <f t="shared" si="456"/>
        <v>0</v>
      </c>
      <c r="AH1582" s="38">
        <f t="shared" si="457"/>
        <v>0</v>
      </c>
      <c r="AI1582" s="50" t="s">
        <v>95</v>
      </c>
      <c r="AJ1582" s="38">
        <f t="shared" si="458"/>
        <v>0</v>
      </c>
      <c r="AK1582" s="38">
        <f t="shared" si="459"/>
        <v>0</v>
      </c>
      <c r="AL1582" s="38">
        <f t="shared" si="460"/>
        <v>0</v>
      </c>
      <c r="AN1582" s="38">
        <v>21</v>
      </c>
      <c r="AO1582" s="38">
        <f>H1582*0</f>
        <v>0</v>
      </c>
      <c r="AP1582" s="38">
        <f>H1582*(1-0)</f>
        <v>0</v>
      </c>
      <c r="AQ1582" s="72" t="s">
        <v>132</v>
      </c>
      <c r="AV1582" s="38">
        <f t="shared" si="461"/>
        <v>0</v>
      </c>
      <c r="AW1582" s="38">
        <f t="shared" si="462"/>
        <v>0</v>
      </c>
      <c r="AX1582" s="38">
        <f t="shared" si="463"/>
        <v>0</v>
      </c>
      <c r="AY1582" s="72" t="s">
        <v>3088</v>
      </c>
      <c r="AZ1582" s="72" t="s">
        <v>3013</v>
      </c>
      <c r="BA1582" s="50" t="s">
        <v>3014</v>
      </c>
      <c r="BC1582" s="38">
        <f t="shared" si="464"/>
        <v>0</v>
      </c>
      <c r="BD1582" s="38">
        <f t="shared" si="465"/>
        <v>0</v>
      </c>
      <c r="BE1582" s="38">
        <v>0</v>
      </c>
      <c r="BF1582" s="38">
        <f t="shared" si="466"/>
        <v>0</v>
      </c>
      <c r="BH1582" s="38">
        <f t="shared" si="467"/>
        <v>0</v>
      </c>
      <c r="BI1582" s="38">
        <f t="shared" si="468"/>
        <v>0</v>
      </c>
      <c r="BJ1582" s="38">
        <f t="shared" si="469"/>
        <v>0</v>
      </c>
      <c r="BK1582" s="38"/>
      <c r="BL1582" s="38"/>
      <c r="BW1582" s="38">
        <v>21</v>
      </c>
    </row>
    <row r="1583" spans="1:75" ht="27" customHeight="1">
      <c r="A1583" s="1" t="s">
        <v>3093</v>
      </c>
      <c r="B1583" s="2" t="s">
        <v>95</v>
      </c>
      <c r="C1583" s="2" t="s">
        <v>3094</v>
      </c>
      <c r="D1583" s="108" t="s">
        <v>3095</v>
      </c>
      <c r="E1583" s="103"/>
      <c r="F1583" s="2" t="s">
        <v>214</v>
      </c>
      <c r="G1583" s="38">
        <v>30</v>
      </c>
      <c r="H1583" s="70">
        <v>0</v>
      </c>
      <c r="I1583" s="38">
        <f t="shared" si="448"/>
        <v>0</v>
      </c>
      <c r="J1583" s="38">
        <v>0</v>
      </c>
      <c r="K1583" s="38">
        <f t="shared" si="449"/>
        <v>0</v>
      </c>
      <c r="L1583" s="71" t="s">
        <v>207</v>
      </c>
      <c r="Z1583" s="38">
        <f t="shared" si="450"/>
        <v>0</v>
      </c>
      <c r="AB1583" s="38">
        <f t="shared" si="451"/>
        <v>0</v>
      </c>
      <c r="AC1583" s="38">
        <f t="shared" si="452"/>
        <v>0</v>
      </c>
      <c r="AD1583" s="38">
        <f t="shared" si="453"/>
        <v>0</v>
      </c>
      <c r="AE1583" s="38">
        <f t="shared" si="454"/>
        <v>0</v>
      </c>
      <c r="AF1583" s="38">
        <f t="shared" si="455"/>
        <v>0</v>
      </c>
      <c r="AG1583" s="38">
        <f t="shared" si="456"/>
        <v>0</v>
      </c>
      <c r="AH1583" s="38">
        <f t="shared" si="457"/>
        <v>0</v>
      </c>
      <c r="AI1583" s="50" t="s">
        <v>95</v>
      </c>
      <c r="AJ1583" s="38">
        <f t="shared" si="458"/>
        <v>0</v>
      </c>
      <c r="AK1583" s="38">
        <f t="shared" si="459"/>
        <v>0</v>
      </c>
      <c r="AL1583" s="38">
        <f t="shared" si="460"/>
        <v>0</v>
      </c>
      <c r="AN1583" s="38">
        <v>21</v>
      </c>
      <c r="AO1583" s="38">
        <f>H1583*0</f>
        <v>0</v>
      </c>
      <c r="AP1583" s="38">
        <f>H1583*(1-0)</f>
        <v>0</v>
      </c>
      <c r="AQ1583" s="72" t="s">
        <v>132</v>
      </c>
      <c r="AV1583" s="38">
        <f t="shared" si="461"/>
        <v>0</v>
      </c>
      <c r="AW1583" s="38">
        <f t="shared" si="462"/>
        <v>0</v>
      </c>
      <c r="AX1583" s="38">
        <f t="shared" si="463"/>
        <v>0</v>
      </c>
      <c r="AY1583" s="72" t="s">
        <v>3088</v>
      </c>
      <c r="AZ1583" s="72" t="s">
        <v>3013</v>
      </c>
      <c r="BA1583" s="50" t="s">
        <v>3014</v>
      </c>
      <c r="BC1583" s="38">
        <f t="shared" si="464"/>
        <v>0</v>
      </c>
      <c r="BD1583" s="38">
        <f t="shared" si="465"/>
        <v>0</v>
      </c>
      <c r="BE1583" s="38">
        <v>0</v>
      </c>
      <c r="BF1583" s="38">
        <f t="shared" si="466"/>
        <v>0</v>
      </c>
      <c r="BH1583" s="38">
        <f t="shared" si="467"/>
        <v>0</v>
      </c>
      <c r="BI1583" s="38">
        <f t="shared" si="468"/>
        <v>0</v>
      </c>
      <c r="BJ1583" s="38">
        <f t="shared" si="469"/>
        <v>0</v>
      </c>
      <c r="BK1583" s="38"/>
      <c r="BL1583" s="38"/>
      <c r="BW1583" s="38">
        <v>21</v>
      </c>
    </row>
    <row r="1584" spans="1:75" ht="13.5" customHeight="1">
      <c r="A1584" s="78" t="s">
        <v>3096</v>
      </c>
      <c r="B1584" s="79" t="s">
        <v>95</v>
      </c>
      <c r="C1584" s="79" t="s">
        <v>3097</v>
      </c>
      <c r="D1584" s="198" t="s">
        <v>3098</v>
      </c>
      <c r="E1584" s="199"/>
      <c r="F1584" s="79" t="s">
        <v>2567</v>
      </c>
      <c r="G1584" s="80">
        <v>3</v>
      </c>
      <c r="H1584" s="81">
        <v>0</v>
      </c>
      <c r="I1584" s="80">
        <f t="shared" si="448"/>
        <v>0</v>
      </c>
      <c r="J1584" s="80">
        <v>0</v>
      </c>
      <c r="K1584" s="80">
        <f t="shared" si="449"/>
        <v>0</v>
      </c>
      <c r="L1584" s="82" t="s">
        <v>207</v>
      </c>
      <c r="Z1584" s="38">
        <f t="shared" si="450"/>
        <v>0</v>
      </c>
      <c r="AB1584" s="38">
        <f t="shared" si="451"/>
        <v>0</v>
      </c>
      <c r="AC1584" s="38">
        <f t="shared" si="452"/>
        <v>0</v>
      </c>
      <c r="AD1584" s="38">
        <f t="shared" si="453"/>
        <v>0</v>
      </c>
      <c r="AE1584" s="38">
        <f t="shared" si="454"/>
        <v>0</v>
      </c>
      <c r="AF1584" s="38">
        <f t="shared" si="455"/>
        <v>0</v>
      </c>
      <c r="AG1584" s="38">
        <f t="shared" si="456"/>
        <v>0</v>
      </c>
      <c r="AH1584" s="38">
        <f t="shared" si="457"/>
        <v>0</v>
      </c>
      <c r="AI1584" s="50" t="s">
        <v>95</v>
      </c>
      <c r="AJ1584" s="80">
        <f t="shared" si="458"/>
        <v>0</v>
      </c>
      <c r="AK1584" s="80">
        <f t="shared" si="459"/>
        <v>0</v>
      </c>
      <c r="AL1584" s="80">
        <f t="shared" si="460"/>
        <v>0</v>
      </c>
      <c r="AN1584" s="38">
        <v>21</v>
      </c>
      <c r="AO1584" s="38">
        <f>H1584*1</f>
        <v>0</v>
      </c>
      <c r="AP1584" s="38">
        <f>H1584*(1-1)</f>
        <v>0</v>
      </c>
      <c r="AQ1584" s="83" t="s">
        <v>132</v>
      </c>
      <c r="AV1584" s="38">
        <f t="shared" si="461"/>
        <v>0</v>
      </c>
      <c r="AW1584" s="38">
        <f t="shared" si="462"/>
        <v>0</v>
      </c>
      <c r="AX1584" s="38">
        <f t="shared" si="463"/>
        <v>0</v>
      </c>
      <c r="AY1584" s="72" t="s">
        <v>3088</v>
      </c>
      <c r="AZ1584" s="72" t="s">
        <v>3013</v>
      </c>
      <c r="BA1584" s="50" t="s">
        <v>3014</v>
      </c>
      <c r="BC1584" s="38">
        <f t="shared" si="464"/>
        <v>0</v>
      </c>
      <c r="BD1584" s="38">
        <f t="shared" si="465"/>
        <v>0</v>
      </c>
      <c r="BE1584" s="38">
        <v>0</v>
      </c>
      <c r="BF1584" s="38">
        <f t="shared" si="466"/>
        <v>0</v>
      </c>
      <c r="BH1584" s="80">
        <f t="shared" si="467"/>
        <v>0</v>
      </c>
      <c r="BI1584" s="80">
        <f t="shared" si="468"/>
        <v>0</v>
      </c>
      <c r="BJ1584" s="80">
        <f t="shared" si="469"/>
        <v>0</v>
      </c>
      <c r="BK1584" s="80"/>
      <c r="BL1584" s="38"/>
      <c r="BW1584" s="38">
        <v>21</v>
      </c>
    </row>
    <row r="1585" spans="1:75" ht="27" customHeight="1">
      <c r="A1585" s="1" t="s">
        <v>811</v>
      </c>
      <c r="B1585" s="2" t="s">
        <v>95</v>
      </c>
      <c r="C1585" s="2" t="s">
        <v>2669</v>
      </c>
      <c r="D1585" s="108" t="s">
        <v>2670</v>
      </c>
      <c r="E1585" s="103"/>
      <c r="F1585" s="2" t="s">
        <v>199</v>
      </c>
      <c r="G1585" s="38">
        <v>6</v>
      </c>
      <c r="H1585" s="70">
        <v>0</v>
      </c>
      <c r="I1585" s="38">
        <f t="shared" si="448"/>
        <v>0</v>
      </c>
      <c r="J1585" s="38">
        <v>0</v>
      </c>
      <c r="K1585" s="38">
        <f t="shared" si="449"/>
        <v>0</v>
      </c>
      <c r="L1585" s="71" t="s">
        <v>207</v>
      </c>
      <c r="Z1585" s="38">
        <f t="shared" si="450"/>
        <v>0</v>
      </c>
      <c r="AB1585" s="38">
        <f t="shared" si="451"/>
        <v>0</v>
      </c>
      <c r="AC1585" s="38">
        <f t="shared" si="452"/>
        <v>0</v>
      </c>
      <c r="AD1585" s="38">
        <f t="shared" si="453"/>
        <v>0</v>
      </c>
      <c r="AE1585" s="38">
        <f t="shared" si="454"/>
        <v>0</v>
      </c>
      <c r="AF1585" s="38">
        <f t="shared" si="455"/>
        <v>0</v>
      </c>
      <c r="AG1585" s="38">
        <f t="shared" si="456"/>
        <v>0</v>
      </c>
      <c r="AH1585" s="38">
        <f t="shared" si="457"/>
        <v>0</v>
      </c>
      <c r="AI1585" s="50" t="s">
        <v>95</v>
      </c>
      <c r="AJ1585" s="38">
        <f t="shared" si="458"/>
        <v>0</v>
      </c>
      <c r="AK1585" s="38">
        <f t="shared" si="459"/>
        <v>0</v>
      </c>
      <c r="AL1585" s="38">
        <f t="shared" si="460"/>
        <v>0</v>
      </c>
      <c r="AN1585" s="38">
        <v>21</v>
      </c>
      <c r="AO1585" s="38">
        <f>H1585*0</f>
        <v>0</v>
      </c>
      <c r="AP1585" s="38">
        <f>H1585*(1-0)</f>
        <v>0</v>
      </c>
      <c r="AQ1585" s="72" t="s">
        <v>132</v>
      </c>
      <c r="AV1585" s="38">
        <f t="shared" si="461"/>
        <v>0</v>
      </c>
      <c r="AW1585" s="38">
        <f t="shared" si="462"/>
        <v>0</v>
      </c>
      <c r="AX1585" s="38">
        <f t="shared" si="463"/>
        <v>0</v>
      </c>
      <c r="AY1585" s="72" t="s">
        <v>3088</v>
      </c>
      <c r="AZ1585" s="72" t="s">
        <v>3013</v>
      </c>
      <c r="BA1585" s="50" t="s">
        <v>3014</v>
      </c>
      <c r="BC1585" s="38">
        <f t="shared" si="464"/>
        <v>0</v>
      </c>
      <c r="BD1585" s="38">
        <f t="shared" si="465"/>
        <v>0</v>
      </c>
      <c r="BE1585" s="38">
        <v>0</v>
      </c>
      <c r="BF1585" s="38">
        <f t="shared" si="466"/>
        <v>0</v>
      </c>
      <c r="BH1585" s="38">
        <f t="shared" si="467"/>
        <v>0</v>
      </c>
      <c r="BI1585" s="38">
        <f t="shared" si="468"/>
        <v>0</v>
      </c>
      <c r="BJ1585" s="38">
        <f t="shared" si="469"/>
        <v>0</v>
      </c>
      <c r="BK1585" s="38"/>
      <c r="BL1585" s="38"/>
      <c r="BW1585" s="38">
        <v>21</v>
      </c>
    </row>
    <row r="1586" spans="1:75" ht="27" customHeight="1">
      <c r="A1586" s="78" t="s">
        <v>3099</v>
      </c>
      <c r="B1586" s="79" t="s">
        <v>95</v>
      </c>
      <c r="C1586" s="79" t="s">
        <v>2672</v>
      </c>
      <c r="D1586" s="198" t="s">
        <v>2673</v>
      </c>
      <c r="E1586" s="199"/>
      <c r="F1586" s="79" t="s">
        <v>2567</v>
      </c>
      <c r="G1586" s="80">
        <v>6</v>
      </c>
      <c r="H1586" s="81">
        <v>0</v>
      </c>
      <c r="I1586" s="80">
        <f t="shared" si="448"/>
        <v>0</v>
      </c>
      <c r="J1586" s="80">
        <v>0</v>
      </c>
      <c r="K1586" s="80">
        <f t="shared" si="449"/>
        <v>0</v>
      </c>
      <c r="L1586" s="82" t="s">
        <v>207</v>
      </c>
      <c r="Z1586" s="38">
        <f t="shared" si="450"/>
        <v>0</v>
      </c>
      <c r="AB1586" s="38">
        <f t="shared" si="451"/>
        <v>0</v>
      </c>
      <c r="AC1586" s="38">
        <f t="shared" si="452"/>
        <v>0</v>
      </c>
      <c r="AD1586" s="38">
        <f t="shared" si="453"/>
        <v>0</v>
      </c>
      <c r="AE1586" s="38">
        <f t="shared" si="454"/>
        <v>0</v>
      </c>
      <c r="AF1586" s="38">
        <f t="shared" si="455"/>
        <v>0</v>
      </c>
      <c r="AG1586" s="38">
        <f t="shared" si="456"/>
        <v>0</v>
      </c>
      <c r="AH1586" s="38">
        <f t="shared" si="457"/>
        <v>0</v>
      </c>
      <c r="AI1586" s="50" t="s">
        <v>95</v>
      </c>
      <c r="AJ1586" s="80">
        <f t="shared" si="458"/>
        <v>0</v>
      </c>
      <c r="AK1586" s="80">
        <f t="shared" si="459"/>
        <v>0</v>
      </c>
      <c r="AL1586" s="80">
        <f t="shared" si="460"/>
        <v>0</v>
      </c>
      <c r="AN1586" s="38">
        <v>21</v>
      </c>
      <c r="AO1586" s="38">
        <f>H1586*1</f>
        <v>0</v>
      </c>
      <c r="AP1586" s="38">
        <f>H1586*(1-1)</f>
        <v>0</v>
      </c>
      <c r="AQ1586" s="83" t="s">
        <v>132</v>
      </c>
      <c r="AV1586" s="38">
        <f t="shared" si="461"/>
        <v>0</v>
      </c>
      <c r="AW1586" s="38">
        <f t="shared" si="462"/>
        <v>0</v>
      </c>
      <c r="AX1586" s="38">
        <f t="shared" si="463"/>
        <v>0</v>
      </c>
      <c r="AY1586" s="72" t="s">
        <v>3088</v>
      </c>
      <c r="AZ1586" s="72" t="s">
        <v>3013</v>
      </c>
      <c r="BA1586" s="50" t="s">
        <v>3014</v>
      </c>
      <c r="BC1586" s="38">
        <f t="shared" si="464"/>
        <v>0</v>
      </c>
      <c r="BD1586" s="38">
        <f t="shared" si="465"/>
        <v>0</v>
      </c>
      <c r="BE1586" s="38">
        <v>0</v>
      </c>
      <c r="BF1586" s="38">
        <f t="shared" si="466"/>
        <v>0</v>
      </c>
      <c r="BH1586" s="80">
        <f t="shared" si="467"/>
        <v>0</v>
      </c>
      <c r="BI1586" s="80">
        <f t="shared" si="468"/>
        <v>0</v>
      </c>
      <c r="BJ1586" s="80">
        <f t="shared" si="469"/>
        <v>0</v>
      </c>
      <c r="BK1586" s="80"/>
      <c r="BL1586" s="38"/>
      <c r="BW1586" s="38">
        <v>21</v>
      </c>
    </row>
    <row r="1587" spans="1:75" ht="27" customHeight="1">
      <c r="A1587" s="1" t="s">
        <v>3100</v>
      </c>
      <c r="B1587" s="2" t="s">
        <v>95</v>
      </c>
      <c r="C1587" s="2" t="s">
        <v>2758</v>
      </c>
      <c r="D1587" s="108" t="s">
        <v>2759</v>
      </c>
      <c r="E1587" s="103"/>
      <c r="F1587" s="2" t="s">
        <v>189</v>
      </c>
      <c r="G1587" s="38">
        <v>0.05</v>
      </c>
      <c r="H1587" s="70">
        <v>0</v>
      </c>
      <c r="I1587" s="38">
        <f t="shared" si="448"/>
        <v>0</v>
      </c>
      <c r="J1587" s="38">
        <v>0</v>
      </c>
      <c r="K1587" s="38">
        <f t="shared" si="449"/>
        <v>0</v>
      </c>
      <c r="L1587" s="71" t="s">
        <v>207</v>
      </c>
      <c r="Z1587" s="38">
        <f t="shared" si="450"/>
        <v>0</v>
      </c>
      <c r="AB1587" s="38">
        <f t="shared" si="451"/>
        <v>0</v>
      </c>
      <c r="AC1587" s="38">
        <f t="shared" si="452"/>
        <v>0</v>
      </c>
      <c r="AD1587" s="38">
        <f t="shared" si="453"/>
        <v>0</v>
      </c>
      <c r="AE1587" s="38">
        <f t="shared" si="454"/>
        <v>0</v>
      </c>
      <c r="AF1587" s="38">
        <f t="shared" si="455"/>
        <v>0</v>
      </c>
      <c r="AG1587" s="38">
        <f t="shared" si="456"/>
        <v>0</v>
      </c>
      <c r="AH1587" s="38">
        <f t="shared" si="457"/>
        <v>0</v>
      </c>
      <c r="AI1587" s="50" t="s">
        <v>95</v>
      </c>
      <c r="AJ1587" s="38">
        <f t="shared" si="458"/>
        <v>0</v>
      </c>
      <c r="AK1587" s="38">
        <f t="shared" si="459"/>
        <v>0</v>
      </c>
      <c r="AL1587" s="38">
        <f t="shared" si="460"/>
        <v>0</v>
      </c>
      <c r="AN1587" s="38">
        <v>21</v>
      </c>
      <c r="AO1587" s="38">
        <f>H1587*0</f>
        <v>0</v>
      </c>
      <c r="AP1587" s="38">
        <f>H1587*(1-0)</f>
        <v>0</v>
      </c>
      <c r="AQ1587" s="72" t="s">
        <v>162</v>
      </c>
      <c r="AV1587" s="38">
        <f t="shared" si="461"/>
        <v>0</v>
      </c>
      <c r="AW1587" s="38">
        <f t="shared" si="462"/>
        <v>0</v>
      </c>
      <c r="AX1587" s="38">
        <f t="shared" si="463"/>
        <v>0</v>
      </c>
      <c r="AY1587" s="72" t="s">
        <v>3088</v>
      </c>
      <c r="AZ1587" s="72" t="s">
        <v>3013</v>
      </c>
      <c r="BA1587" s="50" t="s">
        <v>3014</v>
      </c>
      <c r="BC1587" s="38">
        <f t="shared" si="464"/>
        <v>0</v>
      </c>
      <c r="BD1587" s="38">
        <f t="shared" si="465"/>
        <v>0</v>
      </c>
      <c r="BE1587" s="38">
        <v>0</v>
      </c>
      <c r="BF1587" s="38">
        <f t="shared" si="466"/>
        <v>0</v>
      </c>
      <c r="BH1587" s="38">
        <f t="shared" si="467"/>
        <v>0</v>
      </c>
      <c r="BI1587" s="38">
        <f t="shared" si="468"/>
        <v>0</v>
      </c>
      <c r="BJ1587" s="38">
        <f t="shared" si="469"/>
        <v>0</v>
      </c>
      <c r="BK1587" s="38"/>
      <c r="BL1587" s="38"/>
      <c r="BW1587" s="38">
        <v>21</v>
      </c>
    </row>
    <row r="1588" spans="1:75" ht="13.5" customHeight="1">
      <c r="A1588" s="1" t="s">
        <v>3101</v>
      </c>
      <c r="B1588" s="2" t="s">
        <v>95</v>
      </c>
      <c r="C1588" s="2" t="s">
        <v>3031</v>
      </c>
      <c r="D1588" s="108" t="s">
        <v>3032</v>
      </c>
      <c r="E1588" s="103"/>
      <c r="F1588" s="2" t="s">
        <v>199</v>
      </c>
      <c r="G1588" s="38">
        <v>6</v>
      </c>
      <c r="H1588" s="70">
        <v>0</v>
      </c>
      <c r="I1588" s="38">
        <f t="shared" si="448"/>
        <v>0</v>
      </c>
      <c r="J1588" s="38">
        <v>0</v>
      </c>
      <c r="K1588" s="38">
        <f t="shared" si="449"/>
        <v>0</v>
      </c>
      <c r="L1588" s="71" t="s">
        <v>207</v>
      </c>
      <c r="Z1588" s="38">
        <f t="shared" si="450"/>
        <v>0</v>
      </c>
      <c r="AB1588" s="38">
        <f t="shared" si="451"/>
        <v>0</v>
      </c>
      <c r="AC1588" s="38">
        <f t="shared" si="452"/>
        <v>0</v>
      </c>
      <c r="AD1588" s="38">
        <f t="shared" si="453"/>
        <v>0</v>
      </c>
      <c r="AE1588" s="38">
        <f t="shared" si="454"/>
        <v>0</v>
      </c>
      <c r="AF1588" s="38">
        <f t="shared" si="455"/>
        <v>0</v>
      </c>
      <c r="AG1588" s="38">
        <f t="shared" si="456"/>
        <v>0</v>
      </c>
      <c r="AH1588" s="38">
        <f t="shared" si="457"/>
        <v>0</v>
      </c>
      <c r="AI1588" s="50" t="s">
        <v>95</v>
      </c>
      <c r="AJ1588" s="38">
        <f t="shared" si="458"/>
        <v>0</v>
      </c>
      <c r="AK1588" s="38">
        <f t="shared" si="459"/>
        <v>0</v>
      </c>
      <c r="AL1588" s="38">
        <f t="shared" si="460"/>
        <v>0</v>
      </c>
      <c r="AN1588" s="38">
        <v>21</v>
      </c>
      <c r="AO1588" s="38">
        <f>H1588*0</f>
        <v>0</v>
      </c>
      <c r="AP1588" s="38">
        <f>H1588*(1-0)</f>
        <v>0</v>
      </c>
      <c r="AQ1588" s="72" t="s">
        <v>132</v>
      </c>
      <c r="AV1588" s="38">
        <f t="shared" si="461"/>
        <v>0</v>
      </c>
      <c r="AW1588" s="38">
        <f t="shared" si="462"/>
        <v>0</v>
      </c>
      <c r="AX1588" s="38">
        <f t="shared" si="463"/>
        <v>0</v>
      </c>
      <c r="AY1588" s="72" t="s">
        <v>3088</v>
      </c>
      <c r="AZ1588" s="72" t="s">
        <v>3013</v>
      </c>
      <c r="BA1588" s="50" t="s">
        <v>3014</v>
      </c>
      <c r="BC1588" s="38">
        <f t="shared" si="464"/>
        <v>0</v>
      </c>
      <c r="BD1588" s="38">
        <f t="shared" si="465"/>
        <v>0</v>
      </c>
      <c r="BE1588" s="38">
        <v>0</v>
      </c>
      <c r="BF1588" s="38">
        <f t="shared" si="466"/>
        <v>0</v>
      </c>
      <c r="BH1588" s="38">
        <f t="shared" si="467"/>
        <v>0</v>
      </c>
      <c r="BI1588" s="38">
        <f t="shared" si="468"/>
        <v>0</v>
      </c>
      <c r="BJ1588" s="38">
        <f t="shared" si="469"/>
        <v>0</v>
      </c>
      <c r="BK1588" s="38"/>
      <c r="BL1588" s="38"/>
      <c r="BW1588" s="38">
        <v>21</v>
      </c>
    </row>
    <row r="1589" spans="1:75" ht="27" customHeight="1">
      <c r="A1589" s="1" t="s">
        <v>3102</v>
      </c>
      <c r="B1589" s="2" t="s">
        <v>95</v>
      </c>
      <c r="C1589" s="2" t="s">
        <v>3033</v>
      </c>
      <c r="D1589" s="108" t="s">
        <v>3034</v>
      </c>
      <c r="E1589" s="103"/>
      <c r="F1589" s="2" t="s">
        <v>199</v>
      </c>
      <c r="G1589" s="38">
        <v>6</v>
      </c>
      <c r="H1589" s="70">
        <v>0</v>
      </c>
      <c r="I1589" s="38">
        <f t="shared" si="448"/>
        <v>0</v>
      </c>
      <c r="J1589" s="38">
        <v>0</v>
      </c>
      <c r="K1589" s="38">
        <f t="shared" si="449"/>
        <v>0</v>
      </c>
      <c r="L1589" s="71" t="s">
        <v>207</v>
      </c>
      <c r="Z1589" s="38">
        <f t="shared" si="450"/>
        <v>0</v>
      </c>
      <c r="AB1589" s="38">
        <f t="shared" si="451"/>
        <v>0</v>
      </c>
      <c r="AC1589" s="38">
        <f t="shared" si="452"/>
        <v>0</v>
      </c>
      <c r="AD1589" s="38">
        <f t="shared" si="453"/>
        <v>0</v>
      </c>
      <c r="AE1589" s="38">
        <f t="shared" si="454"/>
        <v>0</v>
      </c>
      <c r="AF1589" s="38">
        <f t="shared" si="455"/>
        <v>0</v>
      </c>
      <c r="AG1589" s="38">
        <f t="shared" si="456"/>
        <v>0</v>
      </c>
      <c r="AH1589" s="38">
        <f t="shared" si="457"/>
        <v>0</v>
      </c>
      <c r="AI1589" s="50" t="s">
        <v>95</v>
      </c>
      <c r="AJ1589" s="38">
        <f t="shared" si="458"/>
        <v>0</v>
      </c>
      <c r="AK1589" s="38">
        <f t="shared" si="459"/>
        <v>0</v>
      </c>
      <c r="AL1589" s="38">
        <f t="shared" si="460"/>
        <v>0</v>
      </c>
      <c r="AN1589" s="38">
        <v>21</v>
      </c>
      <c r="AO1589" s="38">
        <f>H1589*0</f>
        <v>0</v>
      </c>
      <c r="AP1589" s="38">
        <f>H1589*(1-0)</f>
        <v>0</v>
      </c>
      <c r="AQ1589" s="72" t="s">
        <v>132</v>
      </c>
      <c r="AV1589" s="38">
        <f t="shared" si="461"/>
        <v>0</v>
      </c>
      <c r="AW1589" s="38">
        <f t="shared" si="462"/>
        <v>0</v>
      </c>
      <c r="AX1589" s="38">
        <f t="shared" si="463"/>
        <v>0</v>
      </c>
      <c r="AY1589" s="72" t="s">
        <v>3088</v>
      </c>
      <c r="AZ1589" s="72" t="s">
        <v>3013</v>
      </c>
      <c r="BA1589" s="50" t="s">
        <v>3014</v>
      </c>
      <c r="BC1589" s="38">
        <f t="shared" si="464"/>
        <v>0</v>
      </c>
      <c r="BD1589" s="38">
        <f t="shared" si="465"/>
        <v>0</v>
      </c>
      <c r="BE1589" s="38">
        <v>0</v>
      </c>
      <c r="BF1589" s="38">
        <f t="shared" si="466"/>
        <v>0</v>
      </c>
      <c r="BH1589" s="38">
        <f t="shared" si="467"/>
        <v>0</v>
      </c>
      <c r="BI1589" s="38">
        <f t="shared" si="468"/>
        <v>0</v>
      </c>
      <c r="BJ1589" s="38">
        <f t="shared" si="469"/>
        <v>0</v>
      </c>
      <c r="BK1589" s="38"/>
      <c r="BL1589" s="38"/>
      <c r="BW1589" s="38">
        <v>21</v>
      </c>
    </row>
    <row r="1590" spans="1:75" ht="13.5" customHeight="1">
      <c r="A1590" s="78" t="s">
        <v>3103</v>
      </c>
      <c r="B1590" s="79" t="s">
        <v>95</v>
      </c>
      <c r="C1590" s="79" t="s">
        <v>3104</v>
      </c>
      <c r="D1590" s="198" t="s">
        <v>3105</v>
      </c>
      <c r="E1590" s="199"/>
      <c r="F1590" s="79" t="s">
        <v>2567</v>
      </c>
      <c r="G1590" s="80">
        <v>6</v>
      </c>
      <c r="H1590" s="81">
        <v>0</v>
      </c>
      <c r="I1590" s="80">
        <f t="shared" si="448"/>
        <v>0</v>
      </c>
      <c r="J1590" s="80">
        <v>0</v>
      </c>
      <c r="K1590" s="80">
        <f t="shared" si="449"/>
        <v>0</v>
      </c>
      <c r="L1590" s="82" t="s">
        <v>207</v>
      </c>
      <c r="Z1590" s="38">
        <f t="shared" si="450"/>
        <v>0</v>
      </c>
      <c r="AB1590" s="38">
        <f t="shared" si="451"/>
        <v>0</v>
      </c>
      <c r="AC1590" s="38">
        <f t="shared" si="452"/>
        <v>0</v>
      </c>
      <c r="AD1590" s="38">
        <f t="shared" si="453"/>
        <v>0</v>
      </c>
      <c r="AE1590" s="38">
        <f t="shared" si="454"/>
        <v>0</v>
      </c>
      <c r="AF1590" s="38">
        <f t="shared" si="455"/>
        <v>0</v>
      </c>
      <c r="AG1590" s="38">
        <f t="shared" si="456"/>
        <v>0</v>
      </c>
      <c r="AH1590" s="38">
        <f t="shared" si="457"/>
        <v>0</v>
      </c>
      <c r="AI1590" s="50" t="s">
        <v>95</v>
      </c>
      <c r="AJ1590" s="80">
        <f t="shared" si="458"/>
        <v>0</v>
      </c>
      <c r="AK1590" s="80">
        <f t="shared" si="459"/>
        <v>0</v>
      </c>
      <c r="AL1590" s="80">
        <f t="shared" si="460"/>
        <v>0</v>
      </c>
      <c r="AN1590" s="38">
        <v>21</v>
      </c>
      <c r="AO1590" s="38">
        <f>H1590*1</f>
        <v>0</v>
      </c>
      <c r="AP1590" s="38">
        <f>H1590*(1-1)</f>
        <v>0</v>
      </c>
      <c r="AQ1590" s="83" t="s">
        <v>132</v>
      </c>
      <c r="AV1590" s="38">
        <f t="shared" si="461"/>
        <v>0</v>
      </c>
      <c r="AW1590" s="38">
        <f t="shared" si="462"/>
        <v>0</v>
      </c>
      <c r="AX1590" s="38">
        <f t="shared" si="463"/>
        <v>0</v>
      </c>
      <c r="AY1590" s="72" t="s">
        <v>3088</v>
      </c>
      <c r="AZ1590" s="72" t="s">
        <v>3013</v>
      </c>
      <c r="BA1590" s="50" t="s">
        <v>3014</v>
      </c>
      <c r="BC1590" s="38">
        <f t="shared" si="464"/>
        <v>0</v>
      </c>
      <c r="BD1590" s="38">
        <f t="shared" si="465"/>
        <v>0</v>
      </c>
      <c r="BE1590" s="38">
        <v>0</v>
      </c>
      <c r="BF1590" s="38">
        <f t="shared" si="466"/>
        <v>0</v>
      </c>
      <c r="BH1590" s="80">
        <f t="shared" si="467"/>
        <v>0</v>
      </c>
      <c r="BI1590" s="80">
        <f t="shared" si="468"/>
        <v>0</v>
      </c>
      <c r="BJ1590" s="80">
        <f t="shared" si="469"/>
        <v>0</v>
      </c>
      <c r="BK1590" s="80"/>
      <c r="BL1590" s="38"/>
      <c r="BW1590" s="38">
        <v>21</v>
      </c>
    </row>
    <row r="1591" spans="1:75" ht="13.5" customHeight="1">
      <c r="A1591" s="78" t="s">
        <v>3106</v>
      </c>
      <c r="B1591" s="79" t="s">
        <v>95</v>
      </c>
      <c r="C1591" s="79" t="s">
        <v>3107</v>
      </c>
      <c r="D1591" s="198" t="s">
        <v>3108</v>
      </c>
      <c r="E1591" s="199"/>
      <c r="F1591" s="79" t="s">
        <v>2567</v>
      </c>
      <c r="G1591" s="80">
        <v>6</v>
      </c>
      <c r="H1591" s="81">
        <v>0</v>
      </c>
      <c r="I1591" s="80">
        <f t="shared" si="448"/>
        <v>0</v>
      </c>
      <c r="J1591" s="80">
        <v>0</v>
      </c>
      <c r="K1591" s="80">
        <f t="shared" si="449"/>
        <v>0</v>
      </c>
      <c r="L1591" s="82" t="s">
        <v>207</v>
      </c>
      <c r="Z1591" s="38">
        <f t="shared" si="450"/>
        <v>0</v>
      </c>
      <c r="AB1591" s="38">
        <f t="shared" si="451"/>
        <v>0</v>
      </c>
      <c r="AC1591" s="38">
        <f t="shared" si="452"/>
        <v>0</v>
      </c>
      <c r="AD1591" s="38">
        <f t="shared" si="453"/>
        <v>0</v>
      </c>
      <c r="AE1591" s="38">
        <f t="shared" si="454"/>
        <v>0</v>
      </c>
      <c r="AF1591" s="38">
        <f t="shared" si="455"/>
        <v>0</v>
      </c>
      <c r="AG1591" s="38">
        <f t="shared" si="456"/>
        <v>0</v>
      </c>
      <c r="AH1591" s="38">
        <f t="shared" si="457"/>
        <v>0</v>
      </c>
      <c r="AI1591" s="50" t="s">
        <v>95</v>
      </c>
      <c r="AJ1591" s="80">
        <f t="shared" si="458"/>
        <v>0</v>
      </c>
      <c r="AK1591" s="80">
        <f t="shared" si="459"/>
        <v>0</v>
      </c>
      <c r="AL1591" s="80">
        <f t="shared" si="460"/>
        <v>0</v>
      </c>
      <c r="AN1591" s="38">
        <v>21</v>
      </c>
      <c r="AO1591" s="38">
        <f>H1591*1</f>
        <v>0</v>
      </c>
      <c r="AP1591" s="38">
        <f>H1591*(1-1)</f>
        <v>0</v>
      </c>
      <c r="AQ1591" s="83" t="s">
        <v>132</v>
      </c>
      <c r="AV1591" s="38">
        <f t="shared" si="461"/>
        <v>0</v>
      </c>
      <c r="AW1591" s="38">
        <f t="shared" si="462"/>
        <v>0</v>
      </c>
      <c r="AX1591" s="38">
        <f t="shared" si="463"/>
        <v>0</v>
      </c>
      <c r="AY1591" s="72" t="s">
        <v>3088</v>
      </c>
      <c r="AZ1591" s="72" t="s">
        <v>3013</v>
      </c>
      <c r="BA1591" s="50" t="s">
        <v>3014</v>
      </c>
      <c r="BC1591" s="38">
        <f t="shared" si="464"/>
        <v>0</v>
      </c>
      <c r="BD1591" s="38">
        <f t="shared" si="465"/>
        <v>0</v>
      </c>
      <c r="BE1591" s="38">
        <v>0</v>
      </c>
      <c r="BF1591" s="38">
        <f t="shared" si="466"/>
        <v>0</v>
      </c>
      <c r="BH1591" s="80">
        <f t="shared" si="467"/>
        <v>0</v>
      </c>
      <c r="BI1591" s="80">
        <f t="shared" si="468"/>
        <v>0</v>
      </c>
      <c r="BJ1591" s="80">
        <f t="shared" si="469"/>
        <v>0</v>
      </c>
      <c r="BK1591" s="80"/>
      <c r="BL1591" s="38"/>
      <c r="BW1591" s="38">
        <v>21</v>
      </c>
    </row>
    <row r="1592" spans="1:75" ht="13.5" customHeight="1">
      <c r="A1592" s="78" t="s">
        <v>3109</v>
      </c>
      <c r="B1592" s="79" t="s">
        <v>95</v>
      </c>
      <c r="C1592" s="79" t="s">
        <v>3041</v>
      </c>
      <c r="D1592" s="198" t="s">
        <v>3042</v>
      </c>
      <c r="E1592" s="199"/>
      <c r="F1592" s="79" t="s">
        <v>2567</v>
      </c>
      <c r="G1592" s="80">
        <v>6</v>
      </c>
      <c r="H1592" s="81">
        <v>0</v>
      </c>
      <c r="I1592" s="80">
        <f t="shared" si="448"/>
        <v>0</v>
      </c>
      <c r="J1592" s="80">
        <v>0</v>
      </c>
      <c r="K1592" s="80">
        <f t="shared" si="449"/>
        <v>0</v>
      </c>
      <c r="L1592" s="82" t="s">
        <v>207</v>
      </c>
      <c r="Z1592" s="38">
        <f t="shared" si="450"/>
        <v>0</v>
      </c>
      <c r="AB1592" s="38">
        <f t="shared" si="451"/>
        <v>0</v>
      </c>
      <c r="AC1592" s="38">
        <f t="shared" si="452"/>
        <v>0</v>
      </c>
      <c r="AD1592" s="38">
        <f t="shared" si="453"/>
        <v>0</v>
      </c>
      <c r="AE1592" s="38">
        <f t="shared" si="454"/>
        <v>0</v>
      </c>
      <c r="AF1592" s="38">
        <f t="shared" si="455"/>
        <v>0</v>
      </c>
      <c r="AG1592" s="38">
        <f t="shared" si="456"/>
        <v>0</v>
      </c>
      <c r="AH1592" s="38">
        <f t="shared" si="457"/>
        <v>0</v>
      </c>
      <c r="AI1592" s="50" t="s">
        <v>95</v>
      </c>
      <c r="AJ1592" s="80">
        <f t="shared" si="458"/>
        <v>0</v>
      </c>
      <c r="AK1592" s="80">
        <f t="shared" si="459"/>
        <v>0</v>
      </c>
      <c r="AL1592" s="80">
        <f t="shared" si="460"/>
        <v>0</v>
      </c>
      <c r="AN1592" s="38">
        <v>21</v>
      </c>
      <c r="AO1592" s="38">
        <f>H1592*1</f>
        <v>0</v>
      </c>
      <c r="AP1592" s="38">
        <f>H1592*(1-1)</f>
        <v>0</v>
      </c>
      <c r="AQ1592" s="83" t="s">
        <v>132</v>
      </c>
      <c r="AV1592" s="38">
        <f t="shared" si="461"/>
        <v>0</v>
      </c>
      <c r="AW1592" s="38">
        <f t="shared" si="462"/>
        <v>0</v>
      </c>
      <c r="AX1592" s="38">
        <f t="shared" si="463"/>
        <v>0</v>
      </c>
      <c r="AY1592" s="72" t="s">
        <v>3088</v>
      </c>
      <c r="AZ1592" s="72" t="s">
        <v>3013</v>
      </c>
      <c r="BA1592" s="50" t="s">
        <v>3014</v>
      </c>
      <c r="BC1592" s="38">
        <f t="shared" si="464"/>
        <v>0</v>
      </c>
      <c r="BD1592" s="38">
        <f t="shared" si="465"/>
        <v>0</v>
      </c>
      <c r="BE1592" s="38">
        <v>0</v>
      </c>
      <c r="BF1592" s="38">
        <f t="shared" si="466"/>
        <v>0</v>
      </c>
      <c r="BH1592" s="80">
        <f t="shared" si="467"/>
        <v>0</v>
      </c>
      <c r="BI1592" s="80">
        <f t="shared" si="468"/>
        <v>0</v>
      </c>
      <c r="BJ1592" s="80">
        <f t="shared" si="469"/>
        <v>0</v>
      </c>
      <c r="BK1592" s="80"/>
      <c r="BL1592" s="38"/>
      <c r="BW1592" s="38">
        <v>21</v>
      </c>
    </row>
    <row r="1593" spans="1:75" ht="13.5" customHeight="1">
      <c r="A1593" s="78" t="s">
        <v>3110</v>
      </c>
      <c r="B1593" s="79" t="s">
        <v>95</v>
      </c>
      <c r="C1593" s="79" t="s">
        <v>3044</v>
      </c>
      <c r="D1593" s="198" t="s">
        <v>3045</v>
      </c>
      <c r="E1593" s="199"/>
      <c r="F1593" s="79" t="s">
        <v>2567</v>
      </c>
      <c r="G1593" s="80">
        <v>6</v>
      </c>
      <c r="H1593" s="81">
        <v>0</v>
      </c>
      <c r="I1593" s="80">
        <f t="shared" si="448"/>
        <v>0</v>
      </c>
      <c r="J1593" s="80">
        <v>0</v>
      </c>
      <c r="K1593" s="80">
        <f t="shared" si="449"/>
        <v>0</v>
      </c>
      <c r="L1593" s="82" t="s">
        <v>207</v>
      </c>
      <c r="Z1593" s="38">
        <f t="shared" si="450"/>
        <v>0</v>
      </c>
      <c r="AB1593" s="38">
        <f t="shared" si="451"/>
        <v>0</v>
      </c>
      <c r="AC1593" s="38">
        <f t="shared" si="452"/>
        <v>0</v>
      </c>
      <c r="AD1593" s="38">
        <f t="shared" si="453"/>
        <v>0</v>
      </c>
      <c r="AE1593" s="38">
        <f t="shared" si="454"/>
        <v>0</v>
      </c>
      <c r="AF1593" s="38">
        <f t="shared" si="455"/>
        <v>0</v>
      </c>
      <c r="AG1593" s="38">
        <f t="shared" si="456"/>
        <v>0</v>
      </c>
      <c r="AH1593" s="38">
        <f t="shared" si="457"/>
        <v>0</v>
      </c>
      <c r="AI1593" s="50" t="s">
        <v>95</v>
      </c>
      <c r="AJ1593" s="80">
        <f t="shared" si="458"/>
        <v>0</v>
      </c>
      <c r="AK1593" s="80">
        <f t="shared" si="459"/>
        <v>0</v>
      </c>
      <c r="AL1593" s="80">
        <f t="shared" si="460"/>
        <v>0</v>
      </c>
      <c r="AN1593" s="38">
        <v>21</v>
      </c>
      <c r="AO1593" s="38">
        <f>H1593*1</f>
        <v>0</v>
      </c>
      <c r="AP1593" s="38">
        <f>H1593*(1-1)</f>
        <v>0</v>
      </c>
      <c r="AQ1593" s="83" t="s">
        <v>132</v>
      </c>
      <c r="AV1593" s="38">
        <f t="shared" si="461"/>
        <v>0</v>
      </c>
      <c r="AW1593" s="38">
        <f t="shared" si="462"/>
        <v>0</v>
      </c>
      <c r="AX1593" s="38">
        <f t="shared" si="463"/>
        <v>0</v>
      </c>
      <c r="AY1593" s="72" t="s">
        <v>3088</v>
      </c>
      <c r="AZ1593" s="72" t="s">
        <v>3013</v>
      </c>
      <c r="BA1593" s="50" t="s">
        <v>3014</v>
      </c>
      <c r="BC1593" s="38">
        <f t="shared" si="464"/>
        <v>0</v>
      </c>
      <c r="BD1593" s="38">
        <f t="shared" si="465"/>
        <v>0</v>
      </c>
      <c r="BE1593" s="38">
        <v>0</v>
      </c>
      <c r="BF1593" s="38">
        <f t="shared" si="466"/>
        <v>0</v>
      </c>
      <c r="BH1593" s="80">
        <f t="shared" si="467"/>
        <v>0</v>
      </c>
      <c r="BI1593" s="80">
        <f t="shared" si="468"/>
        <v>0</v>
      </c>
      <c r="BJ1593" s="80">
        <f t="shared" si="469"/>
        <v>0</v>
      </c>
      <c r="BK1593" s="80"/>
      <c r="BL1593" s="38"/>
      <c r="BW1593" s="38">
        <v>21</v>
      </c>
    </row>
    <row r="1594" spans="1:75" ht="13.5" customHeight="1">
      <c r="A1594" s="78" t="s">
        <v>3111</v>
      </c>
      <c r="B1594" s="79" t="s">
        <v>95</v>
      </c>
      <c r="C1594" s="79" t="s">
        <v>2569</v>
      </c>
      <c r="D1594" s="198" t="s">
        <v>2570</v>
      </c>
      <c r="E1594" s="199"/>
      <c r="F1594" s="79" t="s">
        <v>2567</v>
      </c>
      <c r="G1594" s="80">
        <v>6</v>
      </c>
      <c r="H1594" s="81">
        <v>0</v>
      </c>
      <c r="I1594" s="80">
        <f t="shared" si="448"/>
        <v>0</v>
      </c>
      <c r="J1594" s="80">
        <v>0</v>
      </c>
      <c r="K1594" s="80">
        <f t="shared" si="449"/>
        <v>0</v>
      </c>
      <c r="L1594" s="82" t="s">
        <v>207</v>
      </c>
      <c r="Z1594" s="38">
        <f t="shared" si="450"/>
        <v>0</v>
      </c>
      <c r="AB1594" s="38">
        <f t="shared" si="451"/>
        <v>0</v>
      </c>
      <c r="AC1594" s="38">
        <f t="shared" si="452"/>
        <v>0</v>
      </c>
      <c r="AD1594" s="38">
        <f t="shared" si="453"/>
        <v>0</v>
      </c>
      <c r="AE1594" s="38">
        <f t="shared" si="454"/>
        <v>0</v>
      </c>
      <c r="AF1594" s="38">
        <f t="shared" si="455"/>
        <v>0</v>
      </c>
      <c r="AG1594" s="38">
        <f t="shared" si="456"/>
        <v>0</v>
      </c>
      <c r="AH1594" s="38">
        <f t="shared" si="457"/>
        <v>0</v>
      </c>
      <c r="AI1594" s="50" t="s">
        <v>95</v>
      </c>
      <c r="AJ1594" s="80">
        <f t="shared" si="458"/>
        <v>0</v>
      </c>
      <c r="AK1594" s="80">
        <f t="shared" si="459"/>
        <v>0</v>
      </c>
      <c r="AL1594" s="80">
        <f t="shared" si="460"/>
        <v>0</v>
      </c>
      <c r="AN1594" s="38">
        <v>21</v>
      </c>
      <c r="AO1594" s="38">
        <f>H1594*1</f>
        <v>0</v>
      </c>
      <c r="AP1594" s="38">
        <f>H1594*(1-1)</f>
        <v>0</v>
      </c>
      <c r="AQ1594" s="83" t="s">
        <v>132</v>
      </c>
      <c r="AV1594" s="38">
        <f t="shared" si="461"/>
        <v>0</v>
      </c>
      <c r="AW1594" s="38">
        <f t="shared" si="462"/>
        <v>0</v>
      </c>
      <c r="AX1594" s="38">
        <f t="shared" si="463"/>
        <v>0</v>
      </c>
      <c r="AY1594" s="72" t="s">
        <v>3088</v>
      </c>
      <c r="AZ1594" s="72" t="s">
        <v>3013</v>
      </c>
      <c r="BA1594" s="50" t="s">
        <v>3014</v>
      </c>
      <c r="BC1594" s="38">
        <f t="shared" si="464"/>
        <v>0</v>
      </c>
      <c r="BD1594" s="38">
        <f t="shared" si="465"/>
        <v>0</v>
      </c>
      <c r="BE1594" s="38">
        <v>0</v>
      </c>
      <c r="BF1594" s="38">
        <f t="shared" si="466"/>
        <v>0</v>
      </c>
      <c r="BH1594" s="80">
        <f t="shared" si="467"/>
        <v>0</v>
      </c>
      <c r="BI1594" s="80">
        <f t="shared" si="468"/>
        <v>0</v>
      </c>
      <c r="BJ1594" s="80">
        <f t="shared" si="469"/>
        <v>0</v>
      </c>
      <c r="BK1594" s="80"/>
      <c r="BL1594" s="38"/>
      <c r="BW1594" s="38">
        <v>21</v>
      </c>
    </row>
    <row r="1595" spans="1:75" ht="27" customHeight="1">
      <c r="A1595" s="1" t="s">
        <v>3112</v>
      </c>
      <c r="B1595" s="2" t="s">
        <v>95</v>
      </c>
      <c r="C1595" s="2" t="s">
        <v>3113</v>
      </c>
      <c r="D1595" s="108" t="s">
        <v>3114</v>
      </c>
      <c r="E1595" s="103"/>
      <c r="F1595" s="2" t="s">
        <v>214</v>
      </c>
      <c r="G1595" s="38">
        <v>25</v>
      </c>
      <c r="H1595" s="70">
        <v>0</v>
      </c>
      <c r="I1595" s="38">
        <f t="shared" si="448"/>
        <v>0</v>
      </c>
      <c r="J1595" s="38">
        <v>0</v>
      </c>
      <c r="K1595" s="38">
        <f t="shared" si="449"/>
        <v>0</v>
      </c>
      <c r="L1595" s="71" t="s">
        <v>207</v>
      </c>
      <c r="Z1595" s="38">
        <f t="shared" si="450"/>
        <v>0</v>
      </c>
      <c r="AB1595" s="38">
        <f t="shared" si="451"/>
        <v>0</v>
      </c>
      <c r="AC1595" s="38">
        <f t="shared" si="452"/>
        <v>0</v>
      </c>
      <c r="AD1595" s="38">
        <f t="shared" si="453"/>
        <v>0</v>
      </c>
      <c r="AE1595" s="38">
        <f t="shared" si="454"/>
        <v>0</v>
      </c>
      <c r="AF1595" s="38">
        <f t="shared" si="455"/>
        <v>0</v>
      </c>
      <c r="AG1595" s="38">
        <f t="shared" si="456"/>
        <v>0</v>
      </c>
      <c r="AH1595" s="38">
        <f t="shared" si="457"/>
        <v>0</v>
      </c>
      <c r="AI1595" s="50" t="s">
        <v>95</v>
      </c>
      <c r="AJ1595" s="38">
        <f t="shared" si="458"/>
        <v>0</v>
      </c>
      <c r="AK1595" s="38">
        <f t="shared" si="459"/>
        <v>0</v>
      </c>
      <c r="AL1595" s="38">
        <f t="shared" si="460"/>
        <v>0</v>
      </c>
      <c r="AN1595" s="38">
        <v>21</v>
      </c>
      <c r="AO1595" s="38">
        <f>H1595*0</f>
        <v>0</v>
      </c>
      <c r="AP1595" s="38">
        <f>H1595*(1-0)</f>
        <v>0</v>
      </c>
      <c r="AQ1595" s="72" t="s">
        <v>132</v>
      </c>
      <c r="AV1595" s="38">
        <f t="shared" si="461"/>
        <v>0</v>
      </c>
      <c r="AW1595" s="38">
        <f t="shared" si="462"/>
        <v>0</v>
      </c>
      <c r="AX1595" s="38">
        <f t="shared" si="463"/>
        <v>0</v>
      </c>
      <c r="AY1595" s="72" t="s">
        <v>3088</v>
      </c>
      <c r="AZ1595" s="72" t="s">
        <v>3013</v>
      </c>
      <c r="BA1595" s="50" t="s">
        <v>3014</v>
      </c>
      <c r="BC1595" s="38">
        <f t="shared" si="464"/>
        <v>0</v>
      </c>
      <c r="BD1595" s="38">
        <f t="shared" si="465"/>
        <v>0</v>
      </c>
      <c r="BE1595" s="38">
        <v>0</v>
      </c>
      <c r="BF1595" s="38">
        <f t="shared" si="466"/>
        <v>0</v>
      </c>
      <c r="BH1595" s="38">
        <f t="shared" si="467"/>
        <v>0</v>
      </c>
      <c r="BI1595" s="38">
        <f t="shared" si="468"/>
        <v>0</v>
      </c>
      <c r="BJ1595" s="38">
        <f t="shared" si="469"/>
        <v>0</v>
      </c>
      <c r="BK1595" s="38"/>
      <c r="BL1595" s="38"/>
      <c r="BW1595" s="38">
        <v>21</v>
      </c>
    </row>
    <row r="1596" spans="1:12" ht="13.5" customHeight="1">
      <c r="A1596" s="74"/>
      <c r="D1596" s="194" t="s">
        <v>3115</v>
      </c>
      <c r="E1596" s="195"/>
      <c r="F1596" s="195"/>
      <c r="G1596" s="195"/>
      <c r="H1596" s="196"/>
      <c r="I1596" s="195"/>
      <c r="J1596" s="195"/>
      <c r="K1596" s="195"/>
      <c r="L1596" s="197"/>
    </row>
    <row r="1597" spans="1:75" ht="27" customHeight="1">
      <c r="A1597" s="78" t="s">
        <v>984</v>
      </c>
      <c r="B1597" s="79" t="s">
        <v>95</v>
      </c>
      <c r="C1597" s="79" t="s">
        <v>3116</v>
      </c>
      <c r="D1597" s="198" t="s">
        <v>3117</v>
      </c>
      <c r="E1597" s="199"/>
      <c r="F1597" s="79" t="s">
        <v>2661</v>
      </c>
      <c r="G1597" s="80">
        <v>25</v>
      </c>
      <c r="H1597" s="81">
        <v>0</v>
      </c>
      <c r="I1597" s="80">
        <f>G1597*H1597</f>
        <v>0</v>
      </c>
      <c r="J1597" s="80">
        <v>0</v>
      </c>
      <c r="K1597" s="80">
        <f>G1597*J1597</f>
        <v>0</v>
      </c>
      <c r="L1597" s="82" t="s">
        <v>207</v>
      </c>
      <c r="Z1597" s="38">
        <f>IF(AQ1597="5",BJ1597,0)</f>
        <v>0</v>
      </c>
      <c r="AB1597" s="38">
        <f>IF(AQ1597="1",BH1597,0)</f>
        <v>0</v>
      </c>
      <c r="AC1597" s="38">
        <f>IF(AQ1597="1",BI1597,0)</f>
        <v>0</v>
      </c>
      <c r="AD1597" s="38">
        <f>IF(AQ1597="7",BH1597,0)</f>
        <v>0</v>
      </c>
      <c r="AE1597" s="38">
        <f>IF(AQ1597="7",BI1597,0)</f>
        <v>0</v>
      </c>
      <c r="AF1597" s="38">
        <f>IF(AQ1597="2",BH1597,0)</f>
        <v>0</v>
      </c>
      <c r="AG1597" s="38">
        <f>IF(AQ1597="2",BI1597,0)</f>
        <v>0</v>
      </c>
      <c r="AH1597" s="38">
        <f>IF(AQ1597="0",BJ1597,0)</f>
        <v>0</v>
      </c>
      <c r="AI1597" s="50" t="s">
        <v>95</v>
      </c>
      <c r="AJ1597" s="80">
        <f>IF(AN1597=0,I1597,0)</f>
        <v>0</v>
      </c>
      <c r="AK1597" s="80">
        <f>IF(AN1597=12,I1597,0)</f>
        <v>0</v>
      </c>
      <c r="AL1597" s="80">
        <f>IF(AN1597=21,I1597,0)</f>
        <v>0</v>
      </c>
      <c r="AN1597" s="38">
        <v>21</v>
      </c>
      <c r="AO1597" s="38">
        <f>H1597*1</f>
        <v>0</v>
      </c>
      <c r="AP1597" s="38">
        <f>H1597*(1-1)</f>
        <v>0</v>
      </c>
      <c r="AQ1597" s="83" t="s">
        <v>132</v>
      </c>
      <c r="AV1597" s="38">
        <f>AW1597+AX1597</f>
        <v>0</v>
      </c>
      <c r="AW1597" s="38">
        <f>G1597*AO1597</f>
        <v>0</v>
      </c>
      <c r="AX1597" s="38">
        <f>G1597*AP1597</f>
        <v>0</v>
      </c>
      <c r="AY1597" s="72" t="s">
        <v>3088</v>
      </c>
      <c r="AZ1597" s="72" t="s">
        <v>3013</v>
      </c>
      <c r="BA1597" s="50" t="s">
        <v>3014</v>
      </c>
      <c r="BC1597" s="38">
        <f>AW1597+AX1597</f>
        <v>0</v>
      </c>
      <c r="BD1597" s="38">
        <f>H1597/(100-BE1597)*100</f>
        <v>0</v>
      </c>
      <c r="BE1597" s="38">
        <v>0</v>
      </c>
      <c r="BF1597" s="38">
        <f>K1597</f>
        <v>0</v>
      </c>
      <c r="BH1597" s="80">
        <f>G1597*AO1597</f>
        <v>0</v>
      </c>
      <c r="BI1597" s="80">
        <f>G1597*AP1597</f>
        <v>0</v>
      </c>
      <c r="BJ1597" s="80">
        <f>G1597*H1597</f>
        <v>0</v>
      </c>
      <c r="BK1597" s="80"/>
      <c r="BL1597" s="38"/>
      <c r="BW1597" s="38">
        <v>21</v>
      </c>
    </row>
    <row r="1598" spans="1:75" ht="13.5" customHeight="1">
      <c r="A1598" s="1" t="s">
        <v>3118</v>
      </c>
      <c r="B1598" s="2" t="s">
        <v>95</v>
      </c>
      <c r="C1598" s="2" t="s">
        <v>2817</v>
      </c>
      <c r="D1598" s="108" t="s">
        <v>2818</v>
      </c>
      <c r="E1598" s="103"/>
      <c r="F1598" s="2" t="s">
        <v>2286</v>
      </c>
      <c r="G1598" s="38">
        <v>1</v>
      </c>
      <c r="H1598" s="70">
        <v>0</v>
      </c>
      <c r="I1598" s="38">
        <f>G1598*H1598</f>
        <v>0</v>
      </c>
      <c r="J1598" s="38">
        <v>0</v>
      </c>
      <c r="K1598" s="38">
        <f>G1598*J1598</f>
        <v>0</v>
      </c>
      <c r="L1598" s="71" t="s">
        <v>207</v>
      </c>
      <c r="Z1598" s="38">
        <f>IF(AQ1598="5",BJ1598,0)</f>
        <v>0</v>
      </c>
      <c r="AB1598" s="38">
        <f>IF(AQ1598="1",BH1598,0)</f>
        <v>0</v>
      </c>
      <c r="AC1598" s="38">
        <f>IF(AQ1598="1",BI1598,0)</f>
        <v>0</v>
      </c>
      <c r="AD1598" s="38">
        <f>IF(AQ1598="7",BH1598,0)</f>
        <v>0</v>
      </c>
      <c r="AE1598" s="38">
        <f>IF(AQ1598="7",BI1598,0)</f>
        <v>0</v>
      </c>
      <c r="AF1598" s="38">
        <f>IF(AQ1598="2",BH1598,0)</f>
        <v>0</v>
      </c>
      <c r="AG1598" s="38">
        <f>IF(AQ1598="2",BI1598,0)</f>
        <v>0</v>
      </c>
      <c r="AH1598" s="38">
        <f>IF(AQ1598="0",BJ1598,0)</f>
        <v>0</v>
      </c>
      <c r="AI1598" s="50" t="s">
        <v>95</v>
      </c>
      <c r="AJ1598" s="38">
        <f>IF(AN1598=0,I1598,0)</f>
        <v>0</v>
      </c>
      <c r="AK1598" s="38">
        <f>IF(AN1598=12,I1598,0)</f>
        <v>0</v>
      </c>
      <c r="AL1598" s="38">
        <f>IF(AN1598=21,I1598,0)</f>
        <v>0</v>
      </c>
      <c r="AN1598" s="38">
        <v>21</v>
      </c>
      <c r="AO1598" s="38">
        <f>H1598*0</f>
        <v>0</v>
      </c>
      <c r="AP1598" s="38">
        <f>H1598*(1-0)</f>
        <v>0</v>
      </c>
      <c r="AQ1598" s="72" t="s">
        <v>132</v>
      </c>
      <c r="AV1598" s="38">
        <f>AW1598+AX1598</f>
        <v>0</v>
      </c>
      <c r="AW1598" s="38">
        <f>G1598*AO1598</f>
        <v>0</v>
      </c>
      <c r="AX1598" s="38">
        <f>G1598*AP1598</f>
        <v>0</v>
      </c>
      <c r="AY1598" s="72" t="s">
        <v>3088</v>
      </c>
      <c r="AZ1598" s="72" t="s">
        <v>3013</v>
      </c>
      <c r="BA1598" s="50" t="s">
        <v>3014</v>
      </c>
      <c r="BC1598" s="38">
        <f>AW1598+AX1598</f>
        <v>0</v>
      </c>
      <c r="BD1598" s="38">
        <f>H1598/(100-BE1598)*100</f>
        <v>0</v>
      </c>
      <c r="BE1598" s="38">
        <v>0</v>
      </c>
      <c r="BF1598" s="38">
        <f>K1598</f>
        <v>0</v>
      </c>
      <c r="BH1598" s="38">
        <f>G1598*AO1598</f>
        <v>0</v>
      </c>
      <c r="BI1598" s="38">
        <f>G1598*AP1598</f>
        <v>0</v>
      </c>
      <c r="BJ1598" s="38">
        <f>G1598*H1598</f>
        <v>0</v>
      </c>
      <c r="BK1598" s="38"/>
      <c r="BL1598" s="38"/>
      <c r="BW1598" s="38">
        <v>21</v>
      </c>
    </row>
    <row r="1599" spans="1:12" ht="13.5" customHeight="1">
      <c r="A1599" s="74"/>
      <c r="D1599" s="194" t="s">
        <v>2819</v>
      </c>
      <c r="E1599" s="195"/>
      <c r="F1599" s="195"/>
      <c r="G1599" s="195"/>
      <c r="H1599" s="196"/>
      <c r="I1599" s="195"/>
      <c r="J1599" s="195"/>
      <c r="K1599" s="195"/>
      <c r="L1599" s="197"/>
    </row>
    <row r="1600" spans="1:75" ht="13.5" customHeight="1">
      <c r="A1600" s="78" t="s">
        <v>1014</v>
      </c>
      <c r="B1600" s="79" t="s">
        <v>95</v>
      </c>
      <c r="C1600" s="79" t="s">
        <v>3119</v>
      </c>
      <c r="D1600" s="198" t="s">
        <v>2822</v>
      </c>
      <c r="E1600" s="199"/>
      <c r="F1600" s="79" t="s">
        <v>2823</v>
      </c>
      <c r="G1600" s="80">
        <v>1</v>
      </c>
      <c r="H1600" s="81">
        <v>0</v>
      </c>
      <c r="I1600" s="80">
        <f>G1600*H1600</f>
        <v>0</v>
      </c>
      <c r="J1600" s="80">
        <v>0</v>
      </c>
      <c r="K1600" s="80">
        <f>G1600*J1600</f>
        <v>0</v>
      </c>
      <c r="L1600" s="82" t="s">
        <v>207</v>
      </c>
      <c r="Z1600" s="38">
        <f>IF(AQ1600="5",BJ1600,0)</f>
        <v>0</v>
      </c>
      <c r="AB1600" s="38">
        <f>IF(AQ1600="1",BH1600,0)</f>
        <v>0</v>
      </c>
      <c r="AC1600" s="38">
        <f>IF(AQ1600="1",BI1600,0)</f>
        <v>0</v>
      </c>
      <c r="AD1600" s="38">
        <f>IF(AQ1600="7",BH1600,0)</f>
        <v>0</v>
      </c>
      <c r="AE1600" s="38">
        <f>IF(AQ1600="7",BI1600,0)</f>
        <v>0</v>
      </c>
      <c r="AF1600" s="38">
        <f>IF(AQ1600="2",BH1600,0)</f>
        <v>0</v>
      </c>
      <c r="AG1600" s="38">
        <f>IF(AQ1600="2",BI1600,0)</f>
        <v>0</v>
      </c>
      <c r="AH1600" s="38">
        <f>IF(AQ1600="0",BJ1600,0)</f>
        <v>0</v>
      </c>
      <c r="AI1600" s="50" t="s">
        <v>95</v>
      </c>
      <c r="AJ1600" s="80">
        <f>IF(AN1600=0,I1600,0)</f>
        <v>0</v>
      </c>
      <c r="AK1600" s="80">
        <f>IF(AN1600=12,I1600,0)</f>
        <v>0</v>
      </c>
      <c r="AL1600" s="80">
        <f>IF(AN1600=21,I1600,0)</f>
        <v>0</v>
      </c>
      <c r="AN1600" s="38">
        <v>21</v>
      </c>
      <c r="AO1600" s="38">
        <f>H1600*1</f>
        <v>0</v>
      </c>
      <c r="AP1600" s="38">
        <f>H1600*(1-1)</f>
        <v>0</v>
      </c>
      <c r="AQ1600" s="83" t="s">
        <v>132</v>
      </c>
      <c r="AV1600" s="38">
        <f>AW1600+AX1600</f>
        <v>0</v>
      </c>
      <c r="AW1600" s="38">
        <f>G1600*AO1600</f>
        <v>0</v>
      </c>
      <c r="AX1600" s="38">
        <f>G1600*AP1600</f>
        <v>0</v>
      </c>
      <c r="AY1600" s="72" t="s">
        <v>3088</v>
      </c>
      <c r="AZ1600" s="72" t="s">
        <v>3013</v>
      </c>
      <c r="BA1600" s="50" t="s">
        <v>3014</v>
      </c>
      <c r="BC1600" s="38">
        <f>AW1600+AX1600</f>
        <v>0</v>
      </c>
      <c r="BD1600" s="38">
        <f>H1600/(100-BE1600)*100</f>
        <v>0</v>
      </c>
      <c r="BE1600" s="38">
        <v>0</v>
      </c>
      <c r="BF1600" s="38">
        <f>K1600</f>
        <v>0</v>
      </c>
      <c r="BH1600" s="80">
        <f>G1600*AO1600</f>
        <v>0</v>
      </c>
      <c r="BI1600" s="80">
        <f>G1600*AP1600</f>
        <v>0</v>
      </c>
      <c r="BJ1600" s="80">
        <f>G1600*H1600</f>
        <v>0</v>
      </c>
      <c r="BK1600" s="80"/>
      <c r="BL1600" s="38"/>
      <c r="BW1600" s="38">
        <v>21</v>
      </c>
    </row>
    <row r="1601" spans="1:75" ht="13.5" customHeight="1">
      <c r="A1601" s="1" t="s">
        <v>3120</v>
      </c>
      <c r="B1601" s="2" t="s">
        <v>95</v>
      </c>
      <c r="C1601" s="2" t="s">
        <v>2817</v>
      </c>
      <c r="D1601" s="108" t="s">
        <v>2818</v>
      </c>
      <c r="E1601" s="103"/>
      <c r="F1601" s="2" t="s">
        <v>2286</v>
      </c>
      <c r="G1601" s="38">
        <v>9</v>
      </c>
      <c r="H1601" s="70">
        <v>0</v>
      </c>
      <c r="I1601" s="38">
        <f>G1601*H1601</f>
        <v>0</v>
      </c>
      <c r="J1601" s="38">
        <v>0</v>
      </c>
      <c r="K1601" s="38">
        <f>G1601*J1601</f>
        <v>0</v>
      </c>
      <c r="L1601" s="71" t="s">
        <v>207</v>
      </c>
      <c r="Z1601" s="38">
        <f>IF(AQ1601="5",BJ1601,0)</f>
        <v>0</v>
      </c>
      <c r="AB1601" s="38">
        <f>IF(AQ1601="1",BH1601,0)</f>
        <v>0</v>
      </c>
      <c r="AC1601" s="38">
        <f>IF(AQ1601="1",BI1601,0)</f>
        <v>0</v>
      </c>
      <c r="AD1601" s="38">
        <f>IF(AQ1601="7",BH1601,0)</f>
        <v>0</v>
      </c>
      <c r="AE1601" s="38">
        <f>IF(AQ1601="7",BI1601,0)</f>
        <v>0</v>
      </c>
      <c r="AF1601" s="38">
        <f>IF(AQ1601="2",BH1601,0)</f>
        <v>0</v>
      </c>
      <c r="AG1601" s="38">
        <f>IF(AQ1601="2",BI1601,0)</f>
        <v>0</v>
      </c>
      <c r="AH1601" s="38">
        <f>IF(AQ1601="0",BJ1601,0)</f>
        <v>0</v>
      </c>
      <c r="AI1601" s="50" t="s">
        <v>95</v>
      </c>
      <c r="AJ1601" s="38">
        <f>IF(AN1601=0,I1601,0)</f>
        <v>0</v>
      </c>
      <c r="AK1601" s="38">
        <f>IF(AN1601=12,I1601,0)</f>
        <v>0</v>
      </c>
      <c r="AL1601" s="38">
        <f>IF(AN1601=21,I1601,0)</f>
        <v>0</v>
      </c>
      <c r="AN1601" s="38">
        <v>21</v>
      </c>
      <c r="AO1601" s="38">
        <f>H1601*0</f>
        <v>0</v>
      </c>
      <c r="AP1601" s="38">
        <f>H1601*(1-0)</f>
        <v>0</v>
      </c>
      <c r="AQ1601" s="72" t="s">
        <v>132</v>
      </c>
      <c r="AV1601" s="38">
        <f>AW1601+AX1601</f>
        <v>0</v>
      </c>
      <c r="AW1601" s="38">
        <f>G1601*AO1601</f>
        <v>0</v>
      </c>
      <c r="AX1601" s="38">
        <f>G1601*AP1601</f>
        <v>0</v>
      </c>
      <c r="AY1601" s="72" t="s">
        <v>3088</v>
      </c>
      <c r="AZ1601" s="72" t="s">
        <v>3013</v>
      </c>
      <c r="BA1601" s="50" t="s">
        <v>3014</v>
      </c>
      <c r="BC1601" s="38">
        <f>AW1601+AX1601</f>
        <v>0</v>
      </c>
      <c r="BD1601" s="38">
        <f>H1601/(100-BE1601)*100</f>
        <v>0</v>
      </c>
      <c r="BE1601" s="38">
        <v>0</v>
      </c>
      <c r="BF1601" s="38">
        <f>K1601</f>
        <v>0</v>
      </c>
      <c r="BH1601" s="38">
        <f>G1601*AO1601</f>
        <v>0</v>
      </c>
      <c r="BI1601" s="38">
        <f>G1601*AP1601</f>
        <v>0</v>
      </c>
      <c r="BJ1601" s="38">
        <f>G1601*H1601</f>
        <v>0</v>
      </c>
      <c r="BK1601" s="38"/>
      <c r="BL1601" s="38"/>
      <c r="BW1601" s="38">
        <v>21</v>
      </c>
    </row>
    <row r="1602" spans="1:12" ht="13.5" customHeight="1">
      <c r="A1602" s="74"/>
      <c r="D1602" s="194" t="s">
        <v>3121</v>
      </c>
      <c r="E1602" s="195"/>
      <c r="F1602" s="195"/>
      <c r="G1602" s="195"/>
      <c r="H1602" s="196"/>
      <c r="I1602" s="195"/>
      <c r="J1602" s="195"/>
      <c r="K1602" s="195"/>
      <c r="L1602" s="197"/>
    </row>
    <row r="1603" spans="1:75" ht="27" customHeight="1">
      <c r="A1603" s="78" t="s">
        <v>1082</v>
      </c>
      <c r="B1603" s="79" t="s">
        <v>95</v>
      </c>
      <c r="C1603" s="79" t="s">
        <v>3122</v>
      </c>
      <c r="D1603" s="198" t="s">
        <v>3123</v>
      </c>
      <c r="E1603" s="199"/>
      <c r="F1603" s="79" t="s">
        <v>2567</v>
      </c>
      <c r="G1603" s="80">
        <v>3</v>
      </c>
      <c r="H1603" s="81">
        <v>0</v>
      </c>
      <c r="I1603" s="80">
        <f>G1603*H1603</f>
        <v>0</v>
      </c>
      <c r="J1603" s="80">
        <v>0</v>
      </c>
      <c r="K1603" s="80">
        <f>G1603*J1603</f>
        <v>0</v>
      </c>
      <c r="L1603" s="82" t="s">
        <v>207</v>
      </c>
      <c r="Z1603" s="38">
        <f>IF(AQ1603="5",BJ1603,0)</f>
        <v>0</v>
      </c>
      <c r="AB1603" s="38">
        <f>IF(AQ1603="1",BH1603,0)</f>
        <v>0</v>
      </c>
      <c r="AC1603" s="38">
        <f>IF(AQ1603="1",BI1603,0)</f>
        <v>0</v>
      </c>
      <c r="AD1603" s="38">
        <f>IF(AQ1603="7",BH1603,0)</f>
        <v>0</v>
      </c>
      <c r="AE1603" s="38">
        <f>IF(AQ1603="7",BI1603,0)</f>
        <v>0</v>
      </c>
      <c r="AF1603" s="38">
        <f>IF(AQ1603="2",BH1603,0)</f>
        <v>0</v>
      </c>
      <c r="AG1603" s="38">
        <f>IF(AQ1603="2",BI1603,0)</f>
        <v>0</v>
      </c>
      <c r="AH1603" s="38">
        <f>IF(AQ1603="0",BJ1603,0)</f>
        <v>0</v>
      </c>
      <c r="AI1603" s="50" t="s">
        <v>95</v>
      </c>
      <c r="AJ1603" s="80">
        <f>IF(AN1603=0,I1603,0)</f>
        <v>0</v>
      </c>
      <c r="AK1603" s="80">
        <f>IF(AN1603=12,I1603,0)</f>
        <v>0</v>
      </c>
      <c r="AL1603" s="80">
        <f>IF(AN1603=21,I1603,0)</f>
        <v>0</v>
      </c>
      <c r="AN1603" s="38">
        <v>21</v>
      </c>
      <c r="AO1603" s="38">
        <f>H1603*1</f>
        <v>0</v>
      </c>
      <c r="AP1603" s="38">
        <f>H1603*(1-1)</f>
        <v>0</v>
      </c>
      <c r="AQ1603" s="83" t="s">
        <v>132</v>
      </c>
      <c r="AV1603" s="38">
        <f>AW1603+AX1603</f>
        <v>0</v>
      </c>
      <c r="AW1603" s="38">
        <f>G1603*AO1603</f>
        <v>0</v>
      </c>
      <c r="AX1603" s="38">
        <f>G1603*AP1603</f>
        <v>0</v>
      </c>
      <c r="AY1603" s="72" t="s">
        <v>3088</v>
      </c>
      <c r="AZ1603" s="72" t="s">
        <v>3013</v>
      </c>
      <c r="BA1603" s="50" t="s">
        <v>3014</v>
      </c>
      <c r="BC1603" s="38">
        <f>AW1603+AX1603</f>
        <v>0</v>
      </c>
      <c r="BD1603" s="38">
        <f>H1603/(100-BE1603)*100</f>
        <v>0</v>
      </c>
      <c r="BE1603" s="38">
        <v>0</v>
      </c>
      <c r="BF1603" s="38">
        <f>K1603</f>
        <v>0</v>
      </c>
      <c r="BH1603" s="80">
        <f>G1603*AO1603</f>
        <v>0</v>
      </c>
      <c r="BI1603" s="80">
        <f>G1603*AP1603</f>
        <v>0</v>
      </c>
      <c r="BJ1603" s="80">
        <f>G1603*H1603</f>
        <v>0</v>
      </c>
      <c r="BK1603" s="80"/>
      <c r="BL1603" s="38"/>
      <c r="BW1603" s="38">
        <v>21</v>
      </c>
    </row>
    <row r="1604" spans="1:75" ht="13.5" customHeight="1">
      <c r="A1604" s="1" t="s">
        <v>1194</v>
      </c>
      <c r="B1604" s="2" t="s">
        <v>95</v>
      </c>
      <c r="C1604" s="2" t="s">
        <v>2817</v>
      </c>
      <c r="D1604" s="108" t="s">
        <v>2818</v>
      </c>
      <c r="E1604" s="103"/>
      <c r="F1604" s="2" t="s">
        <v>2286</v>
      </c>
      <c r="G1604" s="38">
        <v>12</v>
      </c>
      <c r="H1604" s="70">
        <v>0</v>
      </c>
      <c r="I1604" s="38">
        <f>G1604*H1604</f>
        <v>0</v>
      </c>
      <c r="J1604" s="38">
        <v>0</v>
      </c>
      <c r="K1604" s="38">
        <f>G1604*J1604</f>
        <v>0</v>
      </c>
      <c r="L1604" s="71" t="s">
        <v>207</v>
      </c>
      <c r="Z1604" s="38">
        <f>IF(AQ1604="5",BJ1604,0)</f>
        <v>0</v>
      </c>
      <c r="AB1604" s="38">
        <f>IF(AQ1604="1",BH1604,0)</f>
        <v>0</v>
      </c>
      <c r="AC1604" s="38">
        <f>IF(AQ1604="1",BI1604,0)</f>
        <v>0</v>
      </c>
      <c r="AD1604" s="38">
        <f>IF(AQ1604="7",BH1604,0)</f>
        <v>0</v>
      </c>
      <c r="AE1604" s="38">
        <f>IF(AQ1604="7",BI1604,0)</f>
        <v>0</v>
      </c>
      <c r="AF1604" s="38">
        <f>IF(AQ1604="2",BH1604,0)</f>
        <v>0</v>
      </c>
      <c r="AG1604" s="38">
        <f>IF(AQ1604="2",BI1604,0)</f>
        <v>0</v>
      </c>
      <c r="AH1604" s="38">
        <f>IF(AQ1604="0",BJ1604,0)</f>
        <v>0</v>
      </c>
      <c r="AI1604" s="50" t="s">
        <v>95</v>
      </c>
      <c r="AJ1604" s="38">
        <f>IF(AN1604=0,I1604,0)</f>
        <v>0</v>
      </c>
      <c r="AK1604" s="38">
        <f>IF(AN1604=12,I1604,0)</f>
        <v>0</v>
      </c>
      <c r="AL1604" s="38">
        <f>IF(AN1604=21,I1604,0)</f>
        <v>0</v>
      </c>
      <c r="AN1604" s="38">
        <v>21</v>
      </c>
      <c r="AO1604" s="38">
        <f>H1604*0</f>
        <v>0</v>
      </c>
      <c r="AP1604" s="38">
        <f>H1604*(1-0)</f>
        <v>0</v>
      </c>
      <c r="AQ1604" s="72" t="s">
        <v>132</v>
      </c>
      <c r="AV1604" s="38">
        <f>AW1604+AX1604</f>
        <v>0</v>
      </c>
      <c r="AW1604" s="38">
        <f>G1604*AO1604</f>
        <v>0</v>
      </c>
      <c r="AX1604" s="38">
        <f>G1604*AP1604</f>
        <v>0</v>
      </c>
      <c r="AY1604" s="72" t="s">
        <v>3088</v>
      </c>
      <c r="AZ1604" s="72" t="s">
        <v>3013</v>
      </c>
      <c r="BA1604" s="50" t="s">
        <v>3014</v>
      </c>
      <c r="BC1604" s="38">
        <f>AW1604+AX1604</f>
        <v>0</v>
      </c>
      <c r="BD1604" s="38">
        <f>H1604/(100-BE1604)*100</f>
        <v>0</v>
      </c>
      <c r="BE1604" s="38">
        <v>0</v>
      </c>
      <c r="BF1604" s="38">
        <f>K1604</f>
        <v>0</v>
      </c>
      <c r="BH1604" s="38">
        <f>G1604*AO1604</f>
        <v>0</v>
      </c>
      <c r="BI1604" s="38">
        <f>G1604*AP1604</f>
        <v>0</v>
      </c>
      <c r="BJ1604" s="38">
        <f>G1604*H1604</f>
        <v>0</v>
      </c>
      <c r="BK1604" s="38"/>
      <c r="BL1604" s="38"/>
      <c r="BW1604" s="38">
        <v>21</v>
      </c>
    </row>
    <row r="1605" spans="1:12" ht="13.5" customHeight="1">
      <c r="A1605" s="74"/>
      <c r="D1605" s="194" t="s">
        <v>3086</v>
      </c>
      <c r="E1605" s="195"/>
      <c r="F1605" s="195"/>
      <c r="G1605" s="195"/>
      <c r="H1605" s="196"/>
      <c r="I1605" s="195"/>
      <c r="J1605" s="195"/>
      <c r="K1605" s="195"/>
      <c r="L1605" s="197"/>
    </row>
    <row r="1606" spans="1:75" ht="13.5" customHeight="1">
      <c r="A1606" s="78" t="s">
        <v>3124</v>
      </c>
      <c r="B1606" s="79" t="s">
        <v>95</v>
      </c>
      <c r="C1606" s="79" t="s">
        <v>3125</v>
      </c>
      <c r="D1606" s="198" t="s">
        <v>3126</v>
      </c>
      <c r="E1606" s="199"/>
      <c r="F1606" s="79" t="s">
        <v>2567</v>
      </c>
      <c r="G1606" s="80">
        <v>3</v>
      </c>
      <c r="H1606" s="81">
        <v>0</v>
      </c>
      <c r="I1606" s="80">
        <f>G1606*H1606</f>
        <v>0</v>
      </c>
      <c r="J1606" s="80">
        <v>0</v>
      </c>
      <c r="K1606" s="80">
        <f>G1606*J1606</f>
        <v>0</v>
      </c>
      <c r="L1606" s="82" t="s">
        <v>207</v>
      </c>
      <c r="Z1606" s="38">
        <f>IF(AQ1606="5",BJ1606,0)</f>
        <v>0</v>
      </c>
      <c r="AB1606" s="38">
        <f>IF(AQ1606="1",BH1606,0)</f>
        <v>0</v>
      </c>
      <c r="AC1606" s="38">
        <f>IF(AQ1606="1",BI1606,0)</f>
        <v>0</v>
      </c>
      <c r="AD1606" s="38">
        <f>IF(AQ1606="7",BH1606,0)</f>
        <v>0</v>
      </c>
      <c r="AE1606" s="38">
        <f>IF(AQ1606="7",BI1606,0)</f>
        <v>0</v>
      </c>
      <c r="AF1606" s="38">
        <f>IF(AQ1606="2",BH1606,0)</f>
        <v>0</v>
      </c>
      <c r="AG1606" s="38">
        <f>IF(AQ1606="2",BI1606,0)</f>
        <v>0</v>
      </c>
      <c r="AH1606" s="38">
        <f>IF(AQ1606="0",BJ1606,0)</f>
        <v>0</v>
      </c>
      <c r="AI1606" s="50" t="s">
        <v>95</v>
      </c>
      <c r="AJ1606" s="80">
        <f>IF(AN1606=0,I1606,0)</f>
        <v>0</v>
      </c>
      <c r="AK1606" s="80">
        <f>IF(AN1606=12,I1606,0)</f>
        <v>0</v>
      </c>
      <c r="AL1606" s="80">
        <f>IF(AN1606=21,I1606,0)</f>
        <v>0</v>
      </c>
      <c r="AN1606" s="38">
        <v>21</v>
      </c>
      <c r="AO1606" s="38">
        <f>H1606*1</f>
        <v>0</v>
      </c>
      <c r="AP1606" s="38">
        <f>H1606*(1-1)</f>
        <v>0</v>
      </c>
      <c r="AQ1606" s="83" t="s">
        <v>132</v>
      </c>
      <c r="AV1606" s="38">
        <f>AW1606+AX1606</f>
        <v>0</v>
      </c>
      <c r="AW1606" s="38">
        <f>G1606*AO1606</f>
        <v>0</v>
      </c>
      <c r="AX1606" s="38">
        <f>G1606*AP1606</f>
        <v>0</v>
      </c>
      <c r="AY1606" s="72" t="s">
        <v>3088</v>
      </c>
      <c r="AZ1606" s="72" t="s">
        <v>3013</v>
      </c>
      <c r="BA1606" s="50" t="s">
        <v>3014</v>
      </c>
      <c r="BC1606" s="38">
        <f>AW1606+AX1606</f>
        <v>0</v>
      </c>
      <c r="BD1606" s="38">
        <f>H1606/(100-BE1606)*100</f>
        <v>0</v>
      </c>
      <c r="BE1606" s="38">
        <v>0</v>
      </c>
      <c r="BF1606" s="38">
        <f>K1606</f>
        <v>0</v>
      </c>
      <c r="BH1606" s="80">
        <f>G1606*AO1606</f>
        <v>0</v>
      </c>
      <c r="BI1606" s="80">
        <f>G1606*AP1606</f>
        <v>0</v>
      </c>
      <c r="BJ1606" s="80">
        <f>G1606*H1606</f>
        <v>0</v>
      </c>
      <c r="BK1606" s="80"/>
      <c r="BL1606" s="38"/>
      <c r="BW1606" s="38">
        <v>21</v>
      </c>
    </row>
    <row r="1607" spans="1:47" ht="15">
      <c r="A1607" s="65" t="s">
        <v>4</v>
      </c>
      <c r="B1607" s="66" t="s">
        <v>95</v>
      </c>
      <c r="C1607" s="66" t="s">
        <v>3127</v>
      </c>
      <c r="D1607" s="192" t="s">
        <v>3128</v>
      </c>
      <c r="E1607" s="193"/>
      <c r="F1607" s="67" t="s">
        <v>78</v>
      </c>
      <c r="G1607" s="67" t="s">
        <v>78</v>
      </c>
      <c r="H1607" s="68" t="s">
        <v>78</v>
      </c>
      <c r="I1607" s="44">
        <f>SUM(I1608:I1625)</f>
        <v>0</v>
      </c>
      <c r="J1607" s="50" t="s">
        <v>4</v>
      </c>
      <c r="K1607" s="44">
        <f>SUM(K1608:K1625)</f>
        <v>0</v>
      </c>
      <c r="L1607" s="69" t="s">
        <v>4</v>
      </c>
      <c r="AI1607" s="50" t="s">
        <v>95</v>
      </c>
      <c r="AS1607" s="44">
        <f>SUM(AJ1608:AJ1625)</f>
        <v>0</v>
      </c>
      <c r="AT1607" s="44">
        <f>SUM(AK1608:AK1625)</f>
        <v>0</v>
      </c>
      <c r="AU1607" s="44">
        <f>SUM(AL1608:AL1625)</f>
        <v>0</v>
      </c>
    </row>
    <row r="1608" spans="1:75" ht="27" customHeight="1">
      <c r="A1608" s="1" t="s">
        <v>3129</v>
      </c>
      <c r="B1608" s="2" t="s">
        <v>95</v>
      </c>
      <c r="C1608" s="2" t="s">
        <v>2681</v>
      </c>
      <c r="D1608" s="108" t="s">
        <v>2682</v>
      </c>
      <c r="E1608" s="103"/>
      <c r="F1608" s="2" t="s">
        <v>214</v>
      </c>
      <c r="G1608" s="38">
        <v>104</v>
      </c>
      <c r="H1608" s="70">
        <v>0</v>
      </c>
      <c r="I1608" s="38">
        <f>G1608*H1608</f>
        <v>0</v>
      </c>
      <c r="J1608" s="38">
        <v>0</v>
      </c>
      <c r="K1608" s="38">
        <f>G1608*J1608</f>
        <v>0</v>
      </c>
      <c r="L1608" s="71" t="s">
        <v>207</v>
      </c>
      <c r="Z1608" s="38">
        <f>IF(AQ1608="5",BJ1608,0)</f>
        <v>0</v>
      </c>
      <c r="AB1608" s="38">
        <f>IF(AQ1608="1",BH1608,0)</f>
        <v>0</v>
      </c>
      <c r="AC1608" s="38">
        <f>IF(AQ1608="1",BI1608,0)</f>
        <v>0</v>
      </c>
      <c r="AD1608" s="38">
        <f>IF(AQ1608="7",BH1608,0)</f>
        <v>0</v>
      </c>
      <c r="AE1608" s="38">
        <f>IF(AQ1608="7",BI1608,0)</f>
        <v>0</v>
      </c>
      <c r="AF1608" s="38">
        <f>IF(AQ1608="2",BH1608,0)</f>
        <v>0</v>
      </c>
      <c r="AG1608" s="38">
        <f>IF(AQ1608="2",BI1608,0)</f>
        <v>0</v>
      </c>
      <c r="AH1608" s="38">
        <f>IF(AQ1608="0",BJ1608,0)</f>
        <v>0</v>
      </c>
      <c r="AI1608" s="50" t="s">
        <v>95</v>
      </c>
      <c r="AJ1608" s="38">
        <f>IF(AN1608=0,I1608,0)</f>
        <v>0</v>
      </c>
      <c r="AK1608" s="38">
        <f>IF(AN1608=12,I1608,0)</f>
        <v>0</v>
      </c>
      <c r="AL1608" s="38">
        <f>IF(AN1608=21,I1608,0)</f>
        <v>0</v>
      </c>
      <c r="AN1608" s="38">
        <v>21</v>
      </c>
      <c r="AO1608" s="38">
        <f>H1608*0</f>
        <v>0</v>
      </c>
      <c r="AP1608" s="38">
        <f>H1608*(1-0)</f>
        <v>0</v>
      </c>
      <c r="AQ1608" s="72" t="s">
        <v>132</v>
      </c>
      <c r="AV1608" s="38">
        <f>AW1608+AX1608</f>
        <v>0</v>
      </c>
      <c r="AW1608" s="38">
        <f>G1608*AO1608</f>
        <v>0</v>
      </c>
      <c r="AX1608" s="38">
        <f>G1608*AP1608</f>
        <v>0</v>
      </c>
      <c r="AY1608" s="72" t="s">
        <v>3130</v>
      </c>
      <c r="AZ1608" s="72" t="s">
        <v>3013</v>
      </c>
      <c r="BA1608" s="50" t="s">
        <v>3014</v>
      </c>
      <c r="BC1608" s="38">
        <f>AW1608+AX1608</f>
        <v>0</v>
      </c>
      <c r="BD1608" s="38">
        <f>H1608/(100-BE1608)*100</f>
        <v>0</v>
      </c>
      <c r="BE1608" s="38">
        <v>0</v>
      </c>
      <c r="BF1608" s="38">
        <f>K1608</f>
        <v>0</v>
      </c>
      <c r="BH1608" s="38">
        <f>G1608*AO1608</f>
        <v>0</v>
      </c>
      <c r="BI1608" s="38">
        <f>G1608*AP1608</f>
        <v>0</v>
      </c>
      <c r="BJ1608" s="38">
        <f>G1608*H1608</f>
        <v>0</v>
      </c>
      <c r="BK1608" s="38"/>
      <c r="BL1608" s="38"/>
      <c r="BW1608" s="38">
        <v>21</v>
      </c>
    </row>
    <row r="1609" spans="1:75" ht="13.5" customHeight="1">
      <c r="A1609" s="78" t="s">
        <v>3131</v>
      </c>
      <c r="B1609" s="79" t="s">
        <v>95</v>
      </c>
      <c r="C1609" s="79" t="s">
        <v>3132</v>
      </c>
      <c r="D1609" s="198" t="s">
        <v>3133</v>
      </c>
      <c r="E1609" s="199"/>
      <c r="F1609" s="79" t="s">
        <v>2661</v>
      </c>
      <c r="G1609" s="80">
        <v>104</v>
      </c>
      <c r="H1609" s="81">
        <v>0</v>
      </c>
      <c r="I1609" s="80">
        <f>G1609*H1609</f>
        <v>0</v>
      </c>
      <c r="J1609" s="80">
        <v>0</v>
      </c>
      <c r="K1609" s="80">
        <f>G1609*J1609</f>
        <v>0</v>
      </c>
      <c r="L1609" s="82" t="s">
        <v>207</v>
      </c>
      <c r="Z1609" s="38">
        <f>IF(AQ1609="5",BJ1609,0)</f>
        <v>0</v>
      </c>
      <c r="AB1609" s="38">
        <f>IF(AQ1609="1",BH1609,0)</f>
        <v>0</v>
      </c>
      <c r="AC1609" s="38">
        <f>IF(AQ1609="1",BI1609,0)</f>
        <v>0</v>
      </c>
      <c r="AD1609" s="38">
        <f>IF(AQ1609="7",BH1609,0)</f>
        <v>0</v>
      </c>
      <c r="AE1609" s="38">
        <f>IF(AQ1609="7",BI1609,0)</f>
        <v>0</v>
      </c>
      <c r="AF1609" s="38">
        <f>IF(AQ1609="2",BH1609,0)</f>
        <v>0</v>
      </c>
      <c r="AG1609" s="38">
        <f>IF(AQ1609="2",BI1609,0)</f>
        <v>0</v>
      </c>
      <c r="AH1609" s="38">
        <f>IF(AQ1609="0",BJ1609,0)</f>
        <v>0</v>
      </c>
      <c r="AI1609" s="50" t="s">
        <v>95</v>
      </c>
      <c r="AJ1609" s="80">
        <f>IF(AN1609=0,I1609,0)</f>
        <v>0</v>
      </c>
      <c r="AK1609" s="80">
        <f>IF(AN1609=12,I1609,0)</f>
        <v>0</v>
      </c>
      <c r="AL1609" s="80">
        <f>IF(AN1609=21,I1609,0)</f>
        <v>0</v>
      </c>
      <c r="AN1609" s="38">
        <v>21</v>
      </c>
      <c r="AO1609" s="38">
        <f>H1609*1</f>
        <v>0</v>
      </c>
      <c r="AP1609" s="38">
        <f>H1609*(1-1)</f>
        <v>0</v>
      </c>
      <c r="AQ1609" s="83" t="s">
        <v>132</v>
      </c>
      <c r="AV1609" s="38">
        <f>AW1609+AX1609</f>
        <v>0</v>
      </c>
      <c r="AW1609" s="38">
        <f>G1609*AO1609</f>
        <v>0</v>
      </c>
      <c r="AX1609" s="38">
        <f>G1609*AP1609</f>
        <v>0</v>
      </c>
      <c r="AY1609" s="72" t="s">
        <v>3130</v>
      </c>
      <c r="AZ1609" s="72" t="s">
        <v>3013</v>
      </c>
      <c r="BA1609" s="50" t="s">
        <v>3014</v>
      </c>
      <c r="BC1609" s="38">
        <f>AW1609+AX1609</f>
        <v>0</v>
      </c>
      <c r="BD1609" s="38">
        <f>H1609/(100-BE1609)*100</f>
        <v>0</v>
      </c>
      <c r="BE1609" s="38">
        <v>0</v>
      </c>
      <c r="BF1609" s="38">
        <f>K1609</f>
        <v>0</v>
      </c>
      <c r="BH1609" s="80">
        <f>G1609*AO1609</f>
        <v>0</v>
      </c>
      <c r="BI1609" s="80">
        <f>G1609*AP1609</f>
        <v>0</v>
      </c>
      <c r="BJ1609" s="80">
        <f>G1609*H1609</f>
        <v>0</v>
      </c>
      <c r="BK1609" s="80"/>
      <c r="BL1609" s="38"/>
      <c r="BW1609" s="38">
        <v>21</v>
      </c>
    </row>
    <row r="1610" spans="1:75" ht="13.5" customHeight="1">
      <c r="A1610" s="1" t="s">
        <v>1272</v>
      </c>
      <c r="B1610" s="2" t="s">
        <v>95</v>
      </c>
      <c r="C1610" s="2" t="s">
        <v>3019</v>
      </c>
      <c r="D1610" s="108" t="s">
        <v>3020</v>
      </c>
      <c r="E1610" s="103"/>
      <c r="F1610" s="2" t="s">
        <v>199</v>
      </c>
      <c r="G1610" s="38">
        <v>1</v>
      </c>
      <c r="H1610" s="70">
        <v>0</v>
      </c>
      <c r="I1610" s="38">
        <f>G1610*H1610</f>
        <v>0</v>
      </c>
      <c r="J1610" s="38">
        <v>0</v>
      </c>
      <c r="K1610" s="38">
        <f>G1610*J1610</f>
        <v>0</v>
      </c>
      <c r="L1610" s="71" t="s">
        <v>207</v>
      </c>
      <c r="Z1610" s="38">
        <f>IF(AQ1610="5",BJ1610,0)</f>
        <v>0</v>
      </c>
      <c r="AB1610" s="38">
        <f>IF(AQ1610="1",BH1610,0)</f>
        <v>0</v>
      </c>
      <c r="AC1610" s="38">
        <f>IF(AQ1610="1",BI1610,0)</f>
        <v>0</v>
      </c>
      <c r="AD1610" s="38">
        <f>IF(AQ1610="7",BH1610,0)</f>
        <v>0</v>
      </c>
      <c r="AE1610" s="38">
        <f>IF(AQ1610="7",BI1610,0)</f>
        <v>0</v>
      </c>
      <c r="AF1610" s="38">
        <f>IF(AQ1610="2",BH1610,0)</f>
        <v>0</v>
      </c>
      <c r="AG1610" s="38">
        <f>IF(AQ1610="2",BI1610,0)</f>
        <v>0</v>
      </c>
      <c r="AH1610" s="38">
        <f>IF(AQ1610="0",BJ1610,0)</f>
        <v>0</v>
      </c>
      <c r="AI1610" s="50" t="s">
        <v>95</v>
      </c>
      <c r="AJ1610" s="38">
        <f>IF(AN1610=0,I1610,0)</f>
        <v>0</v>
      </c>
      <c r="AK1610" s="38">
        <f>IF(AN1610=12,I1610,0)</f>
        <v>0</v>
      </c>
      <c r="AL1610" s="38">
        <f>IF(AN1610=21,I1610,0)</f>
        <v>0</v>
      </c>
      <c r="AN1610" s="38">
        <v>21</v>
      </c>
      <c r="AO1610" s="38">
        <f>H1610*0</f>
        <v>0</v>
      </c>
      <c r="AP1610" s="38">
        <f>H1610*(1-0)</f>
        <v>0</v>
      </c>
      <c r="AQ1610" s="72" t="s">
        <v>143</v>
      </c>
      <c r="AV1610" s="38">
        <f>AW1610+AX1610</f>
        <v>0</v>
      </c>
      <c r="AW1610" s="38">
        <f>G1610*AO1610</f>
        <v>0</v>
      </c>
      <c r="AX1610" s="38">
        <f>G1610*AP1610</f>
        <v>0</v>
      </c>
      <c r="AY1610" s="72" t="s">
        <v>3130</v>
      </c>
      <c r="AZ1610" s="72" t="s">
        <v>3013</v>
      </c>
      <c r="BA1610" s="50" t="s">
        <v>3014</v>
      </c>
      <c r="BC1610" s="38">
        <f>AW1610+AX1610</f>
        <v>0</v>
      </c>
      <c r="BD1610" s="38">
        <f>H1610/(100-BE1610)*100</f>
        <v>0</v>
      </c>
      <c r="BE1610" s="38">
        <v>0</v>
      </c>
      <c r="BF1610" s="38">
        <f>K1610</f>
        <v>0</v>
      </c>
      <c r="BH1610" s="38">
        <f>G1610*AO1610</f>
        <v>0</v>
      </c>
      <c r="BI1610" s="38">
        <f>G1610*AP1610</f>
        <v>0</v>
      </c>
      <c r="BJ1610" s="38">
        <f>G1610*H1610</f>
        <v>0</v>
      </c>
      <c r="BK1610" s="38"/>
      <c r="BL1610" s="38"/>
      <c r="BW1610" s="38">
        <v>21</v>
      </c>
    </row>
    <row r="1611" spans="1:75" ht="27" customHeight="1">
      <c r="A1611" s="1" t="s">
        <v>3134</v>
      </c>
      <c r="B1611" s="2" t="s">
        <v>95</v>
      </c>
      <c r="C1611" s="2" t="s">
        <v>3023</v>
      </c>
      <c r="D1611" s="108" t="s">
        <v>3135</v>
      </c>
      <c r="E1611" s="103"/>
      <c r="F1611" s="2" t="s">
        <v>263</v>
      </c>
      <c r="G1611" s="38">
        <v>0.01</v>
      </c>
      <c r="H1611" s="70">
        <v>0</v>
      </c>
      <c r="I1611" s="38">
        <f>G1611*H1611</f>
        <v>0</v>
      </c>
      <c r="J1611" s="38">
        <v>0</v>
      </c>
      <c r="K1611" s="38">
        <f>G1611*J1611</f>
        <v>0</v>
      </c>
      <c r="L1611" s="71" t="s">
        <v>207</v>
      </c>
      <c r="Z1611" s="38">
        <f>IF(AQ1611="5",BJ1611,0)</f>
        <v>0</v>
      </c>
      <c r="AB1611" s="38">
        <f>IF(AQ1611="1",BH1611,0)</f>
        <v>0</v>
      </c>
      <c r="AC1611" s="38">
        <f>IF(AQ1611="1",BI1611,0)</f>
        <v>0</v>
      </c>
      <c r="AD1611" s="38">
        <f>IF(AQ1611="7",BH1611,0)</f>
        <v>0</v>
      </c>
      <c r="AE1611" s="38">
        <f>IF(AQ1611="7",BI1611,0)</f>
        <v>0</v>
      </c>
      <c r="AF1611" s="38">
        <f>IF(AQ1611="2",BH1611,0)</f>
        <v>0</v>
      </c>
      <c r="AG1611" s="38">
        <f>IF(AQ1611="2",BI1611,0)</f>
        <v>0</v>
      </c>
      <c r="AH1611" s="38">
        <f>IF(AQ1611="0",BJ1611,0)</f>
        <v>0</v>
      </c>
      <c r="AI1611" s="50" t="s">
        <v>95</v>
      </c>
      <c r="AJ1611" s="38">
        <f>IF(AN1611=0,I1611,0)</f>
        <v>0</v>
      </c>
      <c r="AK1611" s="38">
        <f>IF(AN1611=12,I1611,0)</f>
        <v>0</v>
      </c>
      <c r="AL1611" s="38">
        <f>IF(AN1611=21,I1611,0)</f>
        <v>0</v>
      </c>
      <c r="AN1611" s="38">
        <v>21</v>
      </c>
      <c r="AO1611" s="38">
        <f>H1611*0</f>
        <v>0</v>
      </c>
      <c r="AP1611" s="38">
        <f>H1611*(1-0)</f>
        <v>0</v>
      </c>
      <c r="AQ1611" s="72" t="s">
        <v>132</v>
      </c>
      <c r="AV1611" s="38">
        <f>AW1611+AX1611</f>
        <v>0</v>
      </c>
      <c r="AW1611" s="38">
        <f>G1611*AO1611</f>
        <v>0</v>
      </c>
      <c r="AX1611" s="38">
        <f>G1611*AP1611</f>
        <v>0</v>
      </c>
      <c r="AY1611" s="72" t="s">
        <v>3130</v>
      </c>
      <c r="AZ1611" s="72" t="s">
        <v>3013</v>
      </c>
      <c r="BA1611" s="50" t="s">
        <v>3014</v>
      </c>
      <c r="BC1611" s="38">
        <f>AW1611+AX1611</f>
        <v>0</v>
      </c>
      <c r="BD1611" s="38">
        <f>H1611/(100-BE1611)*100</f>
        <v>0</v>
      </c>
      <c r="BE1611" s="38">
        <v>0</v>
      </c>
      <c r="BF1611" s="38">
        <f>K1611</f>
        <v>0</v>
      </c>
      <c r="BH1611" s="38">
        <f>G1611*AO1611</f>
        <v>0</v>
      </c>
      <c r="BI1611" s="38">
        <f>G1611*AP1611</f>
        <v>0</v>
      </c>
      <c r="BJ1611" s="38">
        <f>G1611*H1611</f>
        <v>0</v>
      </c>
      <c r="BK1611" s="38"/>
      <c r="BL1611" s="38"/>
      <c r="BW1611" s="38">
        <v>21</v>
      </c>
    </row>
    <row r="1612" spans="1:12" ht="13.5" customHeight="1">
      <c r="A1612" s="74"/>
      <c r="D1612" s="194" t="s">
        <v>3021</v>
      </c>
      <c r="E1612" s="195"/>
      <c r="F1612" s="195"/>
      <c r="G1612" s="195"/>
      <c r="H1612" s="196"/>
      <c r="I1612" s="195"/>
      <c r="J1612" s="195"/>
      <c r="K1612" s="195"/>
      <c r="L1612" s="197"/>
    </row>
    <row r="1613" spans="1:75" ht="13.5" customHeight="1">
      <c r="A1613" s="78" t="s">
        <v>3136</v>
      </c>
      <c r="B1613" s="79" t="s">
        <v>95</v>
      </c>
      <c r="C1613" s="79" t="s">
        <v>3027</v>
      </c>
      <c r="D1613" s="198" t="s">
        <v>3028</v>
      </c>
      <c r="E1613" s="199"/>
      <c r="F1613" s="79" t="s">
        <v>199</v>
      </c>
      <c r="G1613" s="80">
        <v>1</v>
      </c>
      <c r="H1613" s="81">
        <v>0</v>
      </c>
      <c r="I1613" s="80">
        <f aca="true" t="shared" si="470" ref="I1613:I1623">G1613*H1613</f>
        <v>0</v>
      </c>
      <c r="J1613" s="80">
        <v>0</v>
      </c>
      <c r="K1613" s="80">
        <f aca="true" t="shared" si="471" ref="K1613:K1623">G1613*J1613</f>
        <v>0</v>
      </c>
      <c r="L1613" s="82" t="s">
        <v>207</v>
      </c>
      <c r="Z1613" s="38">
        <f aca="true" t="shared" si="472" ref="Z1613:Z1623">IF(AQ1613="5",BJ1613,0)</f>
        <v>0</v>
      </c>
      <c r="AB1613" s="38">
        <f aca="true" t="shared" si="473" ref="AB1613:AB1623">IF(AQ1613="1",BH1613,0)</f>
        <v>0</v>
      </c>
      <c r="AC1613" s="38">
        <f aca="true" t="shared" si="474" ref="AC1613:AC1623">IF(AQ1613="1",BI1613,0)</f>
        <v>0</v>
      </c>
      <c r="AD1613" s="38">
        <f aca="true" t="shared" si="475" ref="AD1613:AD1623">IF(AQ1613="7",BH1613,0)</f>
        <v>0</v>
      </c>
      <c r="AE1613" s="38">
        <f aca="true" t="shared" si="476" ref="AE1613:AE1623">IF(AQ1613="7",BI1613,0)</f>
        <v>0</v>
      </c>
      <c r="AF1613" s="38">
        <f aca="true" t="shared" si="477" ref="AF1613:AF1623">IF(AQ1613="2",BH1613,0)</f>
        <v>0</v>
      </c>
      <c r="AG1613" s="38">
        <f aca="true" t="shared" si="478" ref="AG1613:AG1623">IF(AQ1613="2",BI1613,0)</f>
        <v>0</v>
      </c>
      <c r="AH1613" s="38">
        <f aca="true" t="shared" si="479" ref="AH1613:AH1623">IF(AQ1613="0",BJ1613,0)</f>
        <v>0</v>
      </c>
      <c r="AI1613" s="50" t="s">
        <v>95</v>
      </c>
      <c r="AJ1613" s="80">
        <f aca="true" t="shared" si="480" ref="AJ1613:AJ1623">IF(AN1613=0,I1613,0)</f>
        <v>0</v>
      </c>
      <c r="AK1613" s="80">
        <f aca="true" t="shared" si="481" ref="AK1613:AK1623">IF(AN1613=12,I1613,0)</f>
        <v>0</v>
      </c>
      <c r="AL1613" s="80">
        <f aca="true" t="shared" si="482" ref="AL1613:AL1623">IF(AN1613=21,I1613,0)</f>
        <v>0</v>
      </c>
      <c r="AN1613" s="38">
        <v>21</v>
      </c>
      <c r="AO1613" s="38">
        <f>H1613*1</f>
        <v>0</v>
      </c>
      <c r="AP1613" s="38">
        <f>H1613*(1-1)</f>
        <v>0</v>
      </c>
      <c r="AQ1613" s="83" t="s">
        <v>132</v>
      </c>
      <c r="AV1613" s="38">
        <f aca="true" t="shared" si="483" ref="AV1613:AV1623">AW1613+AX1613</f>
        <v>0</v>
      </c>
      <c r="AW1613" s="38">
        <f aca="true" t="shared" si="484" ref="AW1613:AW1623">G1613*AO1613</f>
        <v>0</v>
      </c>
      <c r="AX1613" s="38">
        <f aca="true" t="shared" si="485" ref="AX1613:AX1623">G1613*AP1613</f>
        <v>0</v>
      </c>
      <c r="AY1613" s="72" t="s">
        <v>3130</v>
      </c>
      <c r="AZ1613" s="72" t="s">
        <v>3013</v>
      </c>
      <c r="BA1613" s="50" t="s">
        <v>3014</v>
      </c>
      <c r="BC1613" s="38">
        <f aca="true" t="shared" si="486" ref="BC1613:BC1623">AW1613+AX1613</f>
        <v>0</v>
      </c>
      <c r="BD1613" s="38">
        <f aca="true" t="shared" si="487" ref="BD1613:BD1623">H1613/(100-BE1613)*100</f>
        <v>0</v>
      </c>
      <c r="BE1613" s="38">
        <v>0</v>
      </c>
      <c r="BF1613" s="38">
        <f aca="true" t="shared" si="488" ref="BF1613:BF1623">K1613</f>
        <v>0</v>
      </c>
      <c r="BH1613" s="80">
        <f aca="true" t="shared" si="489" ref="BH1613:BH1623">G1613*AO1613</f>
        <v>0</v>
      </c>
      <c r="BI1613" s="80">
        <f aca="true" t="shared" si="490" ref="BI1613:BI1623">G1613*AP1613</f>
        <v>0</v>
      </c>
      <c r="BJ1613" s="80">
        <f aca="true" t="shared" si="491" ref="BJ1613:BJ1623">G1613*H1613</f>
        <v>0</v>
      </c>
      <c r="BK1613" s="80"/>
      <c r="BL1613" s="38"/>
      <c r="BW1613" s="38">
        <v>21</v>
      </c>
    </row>
    <row r="1614" spans="1:75" ht="27" customHeight="1">
      <c r="A1614" s="1" t="s">
        <v>3137</v>
      </c>
      <c r="B1614" s="2" t="s">
        <v>95</v>
      </c>
      <c r="C1614" s="2" t="s">
        <v>2651</v>
      </c>
      <c r="D1614" s="108" t="s">
        <v>2602</v>
      </c>
      <c r="E1614" s="103"/>
      <c r="F1614" s="2" t="s">
        <v>199</v>
      </c>
      <c r="G1614" s="38">
        <v>6</v>
      </c>
      <c r="H1614" s="70">
        <v>0</v>
      </c>
      <c r="I1614" s="38">
        <f t="shared" si="470"/>
        <v>0</v>
      </c>
      <c r="J1614" s="38">
        <v>0</v>
      </c>
      <c r="K1614" s="38">
        <f t="shared" si="471"/>
        <v>0</v>
      </c>
      <c r="L1614" s="71" t="s">
        <v>207</v>
      </c>
      <c r="Z1614" s="38">
        <f t="shared" si="472"/>
        <v>0</v>
      </c>
      <c r="AB1614" s="38">
        <f t="shared" si="473"/>
        <v>0</v>
      </c>
      <c r="AC1614" s="38">
        <f t="shared" si="474"/>
        <v>0</v>
      </c>
      <c r="AD1614" s="38">
        <f t="shared" si="475"/>
        <v>0</v>
      </c>
      <c r="AE1614" s="38">
        <f t="shared" si="476"/>
        <v>0</v>
      </c>
      <c r="AF1614" s="38">
        <f t="shared" si="477"/>
        <v>0</v>
      </c>
      <c r="AG1614" s="38">
        <f t="shared" si="478"/>
        <v>0</v>
      </c>
      <c r="AH1614" s="38">
        <f t="shared" si="479"/>
        <v>0</v>
      </c>
      <c r="AI1614" s="50" t="s">
        <v>95</v>
      </c>
      <c r="AJ1614" s="38">
        <f t="shared" si="480"/>
        <v>0</v>
      </c>
      <c r="AK1614" s="38">
        <f t="shared" si="481"/>
        <v>0</v>
      </c>
      <c r="AL1614" s="38">
        <f t="shared" si="482"/>
        <v>0</v>
      </c>
      <c r="AN1614" s="38">
        <v>21</v>
      </c>
      <c r="AO1614" s="38">
        <f>H1614*0</f>
        <v>0</v>
      </c>
      <c r="AP1614" s="38">
        <f>H1614*(1-0)</f>
        <v>0</v>
      </c>
      <c r="AQ1614" s="72" t="s">
        <v>132</v>
      </c>
      <c r="AV1614" s="38">
        <f t="shared" si="483"/>
        <v>0</v>
      </c>
      <c r="AW1614" s="38">
        <f t="shared" si="484"/>
        <v>0</v>
      </c>
      <c r="AX1614" s="38">
        <f t="shared" si="485"/>
        <v>0</v>
      </c>
      <c r="AY1614" s="72" t="s">
        <v>3130</v>
      </c>
      <c r="AZ1614" s="72" t="s">
        <v>3013</v>
      </c>
      <c r="BA1614" s="50" t="s">
        <v>3014</v>
      </c>
      <c r="BC1614" s="38">
        <f t="shared" si="486"/>
        <v>0</v>
      </c>
      <c r="BD1614" s="38">
        <f t="shared" si="487"/>
        <v>0</v>
      </c>
      <c r="BE1614" s="38">
        <v>0</v>
      </c>
      <c r="BF1614" s="38">
        <f t="shared" si="488"/>
        <v>0</v>
      </c>
      <c r="BH1614" s="38">
        <f t="shared" si="489"/>
        <v>0</v>
      </c>
      <c r="BI1614" s="38">
        <f t="shared" si="490"/>
        <v>0</v>
      </c>
      <c r="BJ1614" s="38">
        <f t="shared" si="491"/>
        <v>0</v>
      </c>
      <c r="BK1614" s="38"/>
      <c r="BL1614" s="38"/>
      <c r="BW1614" s="38">
        <v>21</v>
      </c>
    </row>
    <row r="1615" spans="1:75" ht="13.5" customHeight="1">
      <c r="A1615" s="78" t="s">
        <v>1387</v>
      </c>
      <c r="B1615" s="79" t="s">
        <v>95</v>
      </c>
      <c r="C1615" s="79" t="s">
        <v>2653</v>
      </c>
      <c r="D1615" s="198" t="s">
        <v>2654</v>
      </c>
      <c r="E1615" s="199"/>
      <c r="F1615" s="79" t="s">
        <v>2567</v>
      </c>
      <c r="G1615" s="80">
        <v>6</v>
      </c>
      <c r="H1615" s="81">
        <v>0</v>
      </c>
      <c r="I1615" s="80">
        <f t="shared" si="470"/>
        <v>0</v>
      </c>
      <c r="J1615" s="80">
        <v>0</v>
      </c>
      <c r="K1615" s="80">
        <f t="shared" si="471"/>
        <v>0</v>
      </c>
      <c r="L1615" s="82" t="s">
        <v>207</v>
      </c>
      <c r="Z1615" s="38">
        <f t="shared" si="472"/>
        <v>0</v>
      </c>
      <c r="AB1615" s="38">
        <f t="shared" si="473"/>
        <v>0</v>
      </c>
      <c r="AC1615" s="38">
        <f t="shared" si="474"/>
        <v>0</v>
      </c>
      <c r="AD1615" s="38">
        <f t="shared" si="475"/>
        <v>0</v>
      </c>
      <c r="AE1615" s="38">
        <f t="shared" si="476"/>
        <v>0</v>
      </c>
      <c r="AF1615" s="38">
        <f t="shared" si="477"/>
        <v>0</v>
      </c>
      <c r="AG1615" s="38">
        <f t="shared" si="478"/>
        <v>0</v>
      </c>
      <c r="AH1615" s="38">
        <f t="shared" si="479"/>
        <v>0</v>
      </c>
      <c r="AI1615" s="50" t="s">
        <v>95</v>
      </c>
      <c r="AJ1615" s="80">
        <f t="shared" si="480"/>
        <v>0</v>
      </c>
      <c r="AK1615" s="80">
        <f t="shared" si="481"/>
        <v>0</v>
      </c>
      <c r="AL1615" s="80">
        <f t="shared" si="482"/>
        <v>0</v>
      </c>
      <c r="AN1615" s="38">
        <v>21</v>
      </c>
      <c r="AO1615" s="38">
        <f>H1615*1</f>
        <v>0</v>
      </c>
      <c r="AP1615" s="38">
        <f>H1615*(1-1)</f>
        <v>0</v>
      </c>
      <c r="AQ1615" s="83" t="s">
        <v>132</v>
      </c>
      <c r="AV1615" s="38">
        <f t="shared" si="483"/>
        <v>0</v>
      </c>
      <c r="AW1615" s="38">
        <f t="shared" si="484"/>
        <v>0</v>
      </c>
      <c r="AX1615" s="38">
        <f t="shared" si="485"/>
        <v>0</v>
      </c>
      <c r="AY1615" s="72" t="s">
        <v>3130</v>
      </c>
      <c r="AZ1615" s="72" t="s">
        <v>3013</v>
      </c>
      <c r="BA1615" s="50" t="s">
        <v>3014</v>
      </c>
      <c r="BC1615" s="38">
        <f t="shared" si="486"/>
        <v>0</v>
      </c>
      <c r="BD1615" s="38">
        <f t="shared" si="487"/>
        <v>0</v>
      </c>
      <c r="BE1615" s="38">
        <v>0</v>
      </c>
      <c r="BF1615" s="38">
        <f t="shared" si="488"/>
        <v>0</v>
      </c>
      <c r="BH1615" s="80">
        <f t="shared" si="489"/>
        <v>0</v>
      </c>
      <c r="BI1615" s="80">
        <f t="shared" si="490"/>
        <v>0</v>
      </c>
      <c r="BJ1615" s="80">
        <f t="shared" si="491"/>
        <v>0</v>
      </c>
      <c r="BK1615" s="80"/>
      <c r="BL1615" s="38"/>
      <c r="BW1615" s="38">
        <v>21</v>
      </c>
    </row>
    <row r="1616" spans="1:75" ht="27" customHeight="1">
      <c r="A1616" s="1" t="s">
        <v>1397</v>
      </c>
      <c r="B1616" s="2" t="s">
        <v>95</v>
      </c>
      <c r="C1616" s="2" t="s">
        <v>2663</v>
      </c>
      <c r="D1616" s="108" t="s">
        <v>2664</v>
      </c>
      <c r="E1616" s="103"/>
      <c r="F1616" s="2" t="s">
        <v>199</v>
      </c>
      <c r="G1616" s="38">
        <v>5</v>
      </c>
      <c r="H1616" s="70">
        <v>0</v>
      </c>
      <c r="I1616" s="38">
        <f t="shared" si="470"/>
        <v>0</v>
      </c>
      <c r="J1616" s="38">
        <v>0</v>
      </c>
      <c r="K1616" s="38">
        <f t="shared" si="471"/>
        <v>0</v>
      </c>
      <c r="L1616" s="71" t="s">
        <v>207</v>
      </c>
      <c r="Z1616" s="38">
        <f t="shared" si="472"/>
        <v>0</v>
      </c>
      <c r="AB1616" s="38">
        <f t="shared" si="473"/>
        <v>0</v>
      </c>
      <c r="AC1616" s="38">
        <f t="shared" si="474"/>
        <v>0</v>
      </c>
      <c r="AD1616" s="38">
        <f t="shared" si="475"/>
        <v>0</v>
      </c>
      <c r="AE1616" s="38">
        <f t="shared" si="476"/>
        <v>0</v>
      </c>
      <c r="AF1616" s="38">
        <f t="shared" si="477"/>
        <v>0</v>
      </c>
      <c r="AG1616" s="38">
        <f t="shared" si="478"/>
        <v>0</v>
      </c>
      <c r="AH1616" s="38">
        <f t="shared" si="479"/>
        <v>0</v>
      </c>
      <c r="AI1616" s="50" t="s">
        <v>95</v>
      </c>
      <c r="AJ1616" s="38">
        <f t="shared" si="480"/>
        <v>0</v>
      </c>
      <c r="AK1616" s="38">
        <f t="shared" si="481"/>
        <v>0</v>
      </c>
      <c r="AL1616" s="38">
        <f t="shared" si="482"/>
        <v>0</v>
      </c>
      <c r="AN1616" s="38">
        <v>21</v>
      </c>
      <c r="AO1616" s="38">
        <f>H1616*0</f>
        <v>0</v>
      </c>
      <c r="AP1616" s="38">
        <f>H1616*(1-0)</f>
        <v>0</v>
      </c>
      <c r="AQ1616" s="72" t="s">
        <v>132</v>
      </c>
      <c r="AV1616" s="38">
        <f t="shared" si="483"/>
        <v>0</v>
      </c>
      <c r="AW1616" s="38">
        <f t="shared" si="484"/>
        <v>0</v>
      </c>
      <c r="AX1616" s="38">
        <f t="shared" si="485"/>
        <v>0</v>
      </c>
      <c r="AY1616" s="72" t="s">
        <v>3130</v>
      </c>
      <c r="AZ1616" s="72" t="s">
        <v>3013</v>
      </c>
      <c r="BA1616" s="50" t="s">
        <v>3014</v>
      </c>
      <c r="BC1616" s="38">
        <f t="shared" si="486"/>
        <v>0</v>
      </c>
      <c r="BD1616" s="38">
        <f t="shared" si="487"/>
        <v>0</v>
      </c>
      <c r="BE1616" s="38">
        <v>0</v>
      </c>
      <c r="BF1616" s="38">
        <f t="shared" si="488"/>
        <v>0</v>
      </c>
      <c r="BH1616" s="38">
        <f t="shared" si="489"/>
        <v>0</v>
      </c>
      <c r="BI1616" s="38">
        <f t="shared" si="490"/>
        <v>0</v>
      </c>
      <c r="BJ1616" s="38">
        <f t="shared" si="491"/>
        <v>0</v>
      </c>
      <c r="BK1616" s="38"/>
      <c r="BL1616" s="38"/>
      <c r="BW1616" s="38">
        <v>21</v>
      </c>
    </row>
    <row r="1617" spans="1:75" ht="13.5" customHeight="1">
      <c r="A1617" s="78" t="s">
        <v>3138</v>
      </c>
      <c r="B1617" s="79" t="s">
        <v>95</v>
      </c>
      <c r="C1617" s="79" t="s">
        <v>2666</v>
      </c>
      <c r="D1617" s="198" t="s">
        <v>2667</v>
      </c>
      <c r="E1617" s="199"/>
      <c r="F1617" s="79" t="s">
        <v>2567</v>
      </c>
      <c r="G1617" s="80">
        <v>5</v>
      </c>
      <c r="H1617" s="81">
        <v>0</v>
      </c>
      <c r="I1617" s="80">
        <f t="shared" si="470"/>
        <v>0</v>
      </c>
      <c r="J1617" s="80">
        <v>0</v>
      </c>
      <c r="K1617" s="80">
        <f t="shared" si="471"/>
        <v>0</v>
      </c>
      <c r="L1617" s="82" t="s">
        <v>207</v>
      </c>
      <c r="Z1617" s="38">
        <f t="shared" si="472"/>
        <v>0</v>
      </c>
      <c r="AB1617" s="38">
        <f t="shared" si="473"/>
        <v>0</v>
      </c>
      <c r="AC1617" s="38">
        <f t="shared" si="474"/>
        <v>0</v>
      </c>
      <c r="AD1617" s="38">
        <f t="shared" si="475"/>
        <v>0</v>
      </c>
      <c r="AE1617" s="38">
        <f t="shared" si="476"/>
        <v>0</v>
      </c>
      <c r="AF1617" s="38">
        <f t="shared" si="477"/>
        <v>0</v>
      </c>
      <c r="AG1617" s="38">
        <f t="shared" si="478"/>
        <v>0</v>
      </c>
      <c r="AH1617" s="38">
        <f t="shared" si="479"/>
        <v>0</v>
      </c>
      <c r="AI1617" s="50" t="s">
        <v>95</v>
      </c>
      <c r="AJ1617" s="80">
        <f t="shared" si="480"/>
        <v>0</v>
      </c>
      <c r="AK1617" s="80">
        <f t="shared" si="481"/>
        <v>0</v>
      </c>
      <c r="AL1617" s="80">
        <f t="shared" si="482"/>
        <v>0</v>
      </c>
      <c r="AN1617" s="38">
        <v>21</v>
      </c>
      <c r="AO1617" s="38">
        <f>H1617*1</f>
        <v>0</v>
      </c>
      <c r="AP1617" s="38">
        <f>H1617*(1-1)</f>
        <v>0</v>
      </c>
      <c r="AQ1617" s="83" t="s">
        <v>132</v>
      </c>
      <c r="AV1617" s="38">
        <f t="shared" si="483"/>
        <v>0</v>
      </c>
      <c r="AW1617" s="38">
        <f t="shared" si="484"/>
        <v>0</v>
      </c>
      <c r="AX1617" s="38">
        <f t="shared" si="485"/>
        <v>0</v>
      </c>
      <c r="AY1617" s="72" t="s">
        <v>3130</v>
      </c>
      <c r="AZ1617" s="72" t="s">
        <v>3013</v>
      </c>
      <c r="BA1617" s="50" t="s">
        <v>3014</v>
      </c>
      <c r="BC1617" s="38">
        <f t="shared" si="486"/>
        <v>0</v>
      </c>
      <c r="BD1617" s="38">
        <f t="shared" si="487"/>
        <v>0</v>
      </c>
      <c r="BE1617" s="38">
        <v>0</v>
      </c>
      <c r="BF1617" s="38">
        <f t="shared" si="488"/>
        <v>0</v>
      </c>
      <c r="BH1617" s="80">
        <f t="shared" si="489"/>
        <v>0</v>
      </c>
      <c r="BI1617" s="80">
        <f t="shared" si="490"/>
        <v>0</v>
      </c>
      <c r="BJ1617" s="80">
        <f t="shared" si="491"/>
        <v>0</v>
      </c>
      <c r="BK1617" s="80"/>
      <c r="BL1617" s="38"/>
      <c r="BW1617" s="38">
        <v>21</v>
      </c>
    </row>
    <row r="1618" spans="1:75" ht="27" customHeight="1">
      <c r="A1618" s="1" t="s">
        <v>3139</v>
      </c>
      <c r="B1618" s="2" t="s">
        <v>95</v>
      </c>
      <c r="C1618" s="2" t="s">
        <v>2758</v>
      </c>
      <c r="D1618" s="108" t="s">
        <v>2759</v>
      </c>
      <c r="E1618" s="103"/>
      <c r="F1618" s="2" t="s">
        <v>189</v>
      </c>
      <c r="G1618" s="38">
        <v>0.05</v>
      </c>
      <c r="H1618" s="70">
        <v>0</v>
      </c>
      <c r="I1618" s="38">
        <f t="shared" si="470"/>
        <v>0</v>
      </c>
      <c r="J1618" s="38">
        <v>0</v>
      </c>
      <c r="K1618" s="38">
        <f t="shared" si="471"/>
        <v>0</v>
      </c>
      <c r="L1618" s="71" t="s">
        <v>207</v>
      </c>
      <c r="Z1618" s="38">
        <f t="shared" si="472"/>
        <v>0</v>
      </c>
      <c r="AB1618" s="38">
        <f t="shared" si="473"/>
        <v>0</v>
      </c>
      <c r="AC1618" s="38">
        <f t="shared" si="474"/>
        <v>0</v>
      </c>
      <c r="AD1618" s="38">
        <f t="shared" si="475"/>
        <v>0</v>
      </c>
      <c r="AE1618" s="38">
        <f t="shared" si="476"/>
        <v>0</v>
      </c>
      <c r="AF1618" s="38">
        <f t="shared" si="477"/>
        <v>0</v>
      </c>
      <c r="AG1618" s="38">
        <f t="shared" si="478"/>
        <v>0</v>
      </c>
      <c r="AH1618" s="38">
        <f t="shared" si="479"/>
        <v>0</v>
      </c>
      <c r="AI1618" s="50" t="s">
        <v>95</v>
      </c>
      <c r="AJ1618" s="38">
        <f t="shared" si="480"/>
        <v>0</v>
      </c>
      <c r="AK1618" s="38">
        <f t="shared" si="481"/>
        <v>0</v>
      </c>
      <c r="AL1618" s="38">
        <f t="shared" si="482"/>
        <v>0</v>
      </c>
      <c r="AN1618" s="38">
        <v>21</v>
      </c>
      <c r="AO1618" s="38">
        <f>H1618*0</f>
        <v>0</v>
      </c>
      <c r="AP1618" s="38">
        <f>H1618*(1-0)</f>
        <v>0</v>
      </c>
      <c r="AQ1618" s="72" t="s">
        <v>162</v>
      </c>
      <c r="AV1618" s="38">
        <f t="shared" si="483"/>
        <v>0</v>
      </c>
      <c r="AW1618" s="38">
        <f t="shared" si="484"/>
        <v>0</v>
      </c>
      <c r="AX1618" s="38">
        <f t="shared" si="485"/>
        <v>0</v>
      </c>
      <c r="AY1618" s="72" t="s">
        <v>3130</v>
      </c>
      <c r="AZ1618" s="72" t="s">
        <v>3013</v>
      </c>
      <c r="BA1618" s="50" t="s">
        <v>3014</v>
      </c>
      <c r="BC1618" s="38">
        <f t="shared" si="486"/>
        <v>0</v>
      </c>
      <c r="BD1618" s="38">
        <f t="shared" si="487"/>
        <v>0</v>
      </c>
      <c r="BE1618" s="38">
        <v>0</v>
      </c>
      <c r="BF1618" s="38">
        <f t="shared" si="488"/>
        <v>0</v>
      </c>
      <c r="BH1618" s="38">
        <f t="shared" si="489"/>
        <v>0</v>
      </c>
      <c r="BI1618" s="38">
        <f t="shared" si="490"/>
        <v>0</v>
      </c>
      <c r="BJ1618" s="38">
        <f t="shared" si="491"/>
        <v>0</v>
      </c>
      <c r="BK1618" s="38"/>
      <c r="BL1618" s="38"/>
      <c r="BW1618" s="38">
        <v>21</v>
      </c>
    </row>
    <row r="1619" spans="1:75" ht="13.5" customHeight="1">
      <c r="A1619" s="1" t="s">
        <v>3140</v>
      </c>
      <c r="B1619" s="2" t="s">
        <v>95</v>
      </c>
      <c r="C1619" s="2" t="s">
        <v>3141</v>
      </c>
      <c r="D1619" s="108" t="s">
        <v>3142</v>
      </c>
      <c r="E1619" s="103"/>
      <c r="F1619" s="2" t="s">
        <v>199</v>
      </c>
      <c r="G1619" s="38">
        <v>1</v>
      </c>
      <c r="H1619" s="70">
        <v>0</v>
      </c>
      <c r="I1619" s="38">
        <f t="shared" si="470"/>
        <v>0</v>
      </c>
      <c r="J1619" s="38">
        <v>0</v>
      </c>
      <c r="K1619" s="38">
        <f t="shared" si="471"/>
        <v>0</v>
      </c>
      <c r="L1619" s="71" t="s">
        <v>207</v>
      </c>
      <c r="Z1619" s="38">
        <f t="shared" si="472"/>
        <v>0</v>
      </c>
      <c r="AB1619" s="38">
        <f t="shared" si="473"/>
        <v>0</v>
      </c>
      <c r="AC1619" s="38">
        <f t="shared" si="474"/>
        <v>0</v>
      </c>
      <c r="AD1619" s="38">
        <f t="shared" si="475"/>
        <v>0</v>
      </c>
      <c r="AE1619" s="38">
        <f t="shared" si="476"/>
        <v>0</v>
      </c>
      <c r="AF1619" s="38">
        <f t="shared" si="477"/>
        <v>0</v>
      </c>
      <c r="AG1619" s="38">
        <f t="shared" si="478"/>
        <v>0</v>
      </c>
      <c r="AH1619" s="38">
        <f t="shared" si="479"/>
        <v>0</v>
      </c>
      <c r="AI1619" s="50" t="s">
        <v>95</v>
      </c>
      <c r="AJ1619" s="38">
        <f t="shared" si="480"/>
        <v>0</v>
      </c>
      <c r="AK1619" s="38">
        <f t="shared" si="481"/>
        <v>0</v>
      </c>
      <c r="AL1619" s="38">
        <f t="shared" si="482"/>
        <v>0</v>
      </c>
      <c r="AN1619" s="38">
        <v>21</v>
      </c>
      <c r="AO1619" s="38">
        <f>H1619*0</f>
        <v>0</v>
      </c>
      <c r="AP1619" s="38">
        <f>H1619*(1-0)</f>
        <v>0</v>
      </c>
      <c r="AQ1619" s="72" t="s">
        <v>132</v>
      </c>
      <c r="AV1619" s="38">
        <f t="shared" si="483"/>
        <v>0</v>
      </c>
      <c r="AW1619" s="38">
        <f t="shared" si="484"/>
        <v>0</v>
      </c>
      <c r="AX1619" s="38">
        <f t="shared" si="485"/>
        <v>0</v>
      </c>
      <c r="AY1619" s="72" t="s">
        <v>3130</v>
      </c>
      <c r="AZ1619" s="72" t="s">
        <v>3013</v>
      </c>
      <c r="BA1619" s="50" t="s">
        <v>3014</v>
      </c>
      <c r="BC1619" s="38">
        <f t="shared" si="486"/>
        <v>0</v>
      </c>
      <c r="BD1619" s="38">
        <f t="shared" si="487"/>
        <v>0</v>
      </c>
      <c r="BE1619" s="38">
        <v>0</v>
      </c>
      <c r="BF1619" s="38">
        <f t="shared" si="488"/>
        <v>0</v>
      </c>
      <c r="BH1619" s="38">
        <f t="shared" si="489"/>
        <v>0</v>
      </c>
      <c r="BI1619" s="38">
        <f t="shared" si="490"/>
        <v>0</v>
      </c>
      <c r="BJ1619" s="38">
        <f t="shared" si="491"/>
        <v>0</v>
      </c>
      <c r="BK1619" s="38"/>
      <c r="BL1619" s="38"/>
      <c r="BW1619" s="38">
        <v>21</v>
      </c>
    </row>
    <row r="1620" spans="1:75" ht="27" customHeight="1">
      <c r="A1620" s="78" t="s">
        <v>3143</v>
      </c>
      <c r="B1620" s="79" t="s">
        <v>95</v>
      </c>
      <c r="C1620" s="79" t="s">
        <v>3144</v>
      </c>
      <c r="D1620" s="198" t="s">
        <v>3145</v>
      </c>
      <c r="E1620" s="199"/>
      <c r="F1620" s="79" t="s">
        <v>2567</v>
      </c>
      <c r="G1620" s="80">
        <v>1</v>
      </c>
      <c r="H1620" s="81">
        <v>0</v>
      </c>
      <c r="I1620" s="80">
        <f t="shared" si="470"/>
        <v>0</v>
      </c>
      <c r="J1620" s="80">
        <v>0</v>
      </c>
      <c r="K1620" s="80">
        <f t="shared" si="471"/>
        <v>0</v>
      </c>
      <c r="L1620" s="82" t="s">
        <v>207</v>
      </c>
      <c r="Z1620" s="38">
        <f t="shared" si="472"/>
        <v>0</v>
      </c>
      <c r="AB1620" s="38">
        <f t="shared" si="473"/>
        <v>0</v>
      </c>
      <c r="AC1620" s="38">
        <f t="shared" si="474"/>
        <v>0</v>
      </c>
      <c r="AD1620" s="38">
        <f t="shared" si="475"/>
        <v>0</v>
      </c>
      <c r="AE1620" s="38">
        <f t="shared" si="476"/>
        <v>0</v>
      </c>
      <c r="AF1620" s="38">
        <f t="shared" si="477"/>
        <v>0</v>
      </c>
      <c r="AG1620" s="38">
        <f t="shared" si="478"/>
        <v>0</v>
      </c>
      <c r="AH1620" s="38">
        <f t="shared" si="479"/>
        <v>0</v>
      </c>
      <c r="AI1620" s="50" t="s">
        <v>95</v>
      </c>
      <c r="AJ1620" s="80">
        <f t="shared" si="480"/>
        <v>0</v>
      </c>
      <c r="AK1620" s="80">
        <f t="shared" si="481"/>
        <v>0</v>
      </c>
      <c r="AL1620" s="80">
        <f t="shared" si="482"/>
        <v>0</v>
      </c>
      <c r="AN1620" s="38">
        <v>21</v>
      </c>
      <c r="AO1620" s="38">
        <f>H1620*1</f>
        <v>0</v>
      </c>
      <c r="AP1620" s="38">
        <f>H1620*(1-1)</f>
        <v>0</v>
      </c>
      <c r="AQ1620" s="83" t="s">
        <v>132</v>
      </c>
      <c r="AV1620" s="38">
        <f t="shared" si="483"/>
        <v>0</v>
      </c>
      <c r="AW1620" s="38">
        <f t="shared" si="484"/>
        <v>0</v>
      </c>
      <c r="AX1620" s="38">
        <f t="shared" si="485"/>
        <v>0</v>
      </c>
      <c r="AY1620" s="72" t="s">
        <v>3130</v>
      </c>
      <c r="AZ1620" s="72" t="s">
        <v>3013</v>
      </c>
      <c r="BA1620" s="50" t="s">
        <v>3014</v>
      </c>
      <c r="BC1620" s="38">
        <f t="shared" si="486"/>
        <v>0</v>
      </c>
      <c r="BD1620" s="38">
        <f t="shared" si="487"/>
        <v>0</v>
      </c>
      <c r="BE1620" s="38">
        <v>0</v>
      </c>
      <c r="BF1620" s="38">
        <f t="shared" si="488"/>
        <v>0</v>
      </c>
      <c r="BH1620" s="80">
        <f t="shared" si="489"/>
        <v>0</v>
      </c>
      <c r="BI1620" s="80">
        <f t="shared" si="490"/>
        <v>0</v>
      </c>
      <c r="BJ1620" s="80">
        <f t="shared" si="491"/>
        <v>0</v>
      </c>
      <c r="BK1620" s="80"/>
      <c r="BL1620" s="38"/>
      <c r="BW1620" s="38">
        <v>21</v>
      </c>
    </row>
    <row r="1621" spans="1:75" ht="13.5" customHeight="1">
      <c r="A1621" s="1" t="s">
        <v>1437</v>
      </c>
      <c r="B1621" s="2" t="s">
        <v>95</v>
      </c>
      <c r="C1621" s="2" t="s">
        <v>3146</v>
      </c>
      <c r="D1621" s="108" t="s">
        <v>3147</v>
      </c>
      <c r="E1621" s="103"/>
      <c r="F1621" s="2" t="s">
        <v>199</v>
      </c>
      <c r="G1621" s="38">
        <v>5</v>
      </c>
      <c r="H1621" s="70">
        <v>0</v>
      </c>
      <c r="I1621" s="38">
        <f t="shared" si="470"/>
        <v>0</v>
      </c>
      <c r="J1621" s="38">
        <v>0</v>
      </c>
      <c r="K1621" s="38">
        <f t="shared" si="471"/>
        <v>0</v>
      </c>
      <c r="L1621" s="71" t="s">
        <v>207</v>
      </c>
      <c r="Z1621" s="38">
        <f t="shared" si="472"/>
        <v>0</v>
      </c>
      <c r="AB1621" s="38">
        <f t="shared" si="473"/>
        <v>0</v>
      </c>
      <c r="AC1621" s="38">
        <f t="shared" si="474"/>
        <v>0</v>
      </c>
      <c r="AD1621" s="38">
        <f t="shared" si="475"/>
        <v>0</v>
      </c>
      <c r="AE1621" s="38">
        <f t="shared" si="476"/>
        <v>0</v>
      </c>
      <c r="AF1621" s="38">
        <f t="shared" si="477"/>
        <v>0</v>
      </c>
      <c r="AG1621" s="38">
        <f t="shared" si="478"/>
        <v>0</v>
      </c>
      <c r="AH1621" s="38">
        <f t="shared" si="479"/>
        <v>0</v>
      </c>
      <c r="AI1621" s="50" t="s">
        <v>95</v>
      </c>
      <c r="AJ1621" s="38">
        <f t="shared" si="480"/>
        <v>0</v>
      </c>
      <c r="AK1621" s="38">
        <f t="shared" si="481"/>
        <v>0</v>
      </c>
      <c r="AL1621" s="38">
        <f t="shared" si="482"/>
        <v>0</v>
      </c>
      <c r="AN1621" s="38">
        <v>21</v>
      </c>
      <c r="AO1621" s="38">
        <f>H1621*0</f>
        <v>0</v>
      </c>
      <c r="AP1621" s="38">
        <f>H1621*(1-0)</f>
        <v>0</v>
      </c>
      <c r="AQ1621" s="72" t="s">
        <v>143</v>
      </c>
      <c r="AV1621" s="38">
        <f t="shared" si="483"/>
        <v>0</v>
      </c>
      <c r="AW1621" s="38">
        <f t="shared" si="484"/>
        <v>0</v>
      </c>
      <c r="AX1621" s="38">
        <f t="shared" si="485"/>
        <v>0</v>
      </c>
      <c r="AY1621" s="72" t="s">
        <v>3130</v>
      </c>
      <c r="AZ1621" s="72" t="s">
        <v>3013</v>
      </c>
      <c r="BA1621" s="50" t="s">
        <v>3014</v>
      </c>
      <c r="BC1621" s="38">
        <f t="shared" si="486"/>
        <v>0</v>
      </c>
      <c r="BD1621" s="38">
        <f t="shared" si="487"/>
        <v>0</v>
      </c>
      <c r="BE1621" s="38">
        <v>0</v>
      </c>
      <c r="BF1621" s="38">
        <f t="shared" si="488"/>
        <v>0</v>
      </c>
      <c r="BH1621" s="38">
        <f t="shared" si="489"/>
        <v>0</v>
      </c>
      <c r="BI1621" s="38">
        <f t="shared" si="490"/>
        <v>0</v>
      </c>
      <c r="BJ1621" s="38">
        <f t="shared" si="491"/>
        <v>0</v>
      </c>
      <c r="BK1621" s="38"/>
      <c r="BL1621" s="38"/>
      <c r="BW1621" s="38">
        <v>21</v>
      </c>
    </row>
    <row r="1622" spans="1:75" ht="13.5" customHeight="1">
      <c r="A1622" s="78" t="s">
        <v>3148</v>
      </c>
      <c r="B1622" s="79" t="s">
        <v>95</v>
      </c>
      <c r="C1622" s="79" t="s">
        <v>3149</v>
      </c>
      <c r="D1622" s="198" t="s">
        <v>3150</v>
      </c>
      <c r="E1622" s="199"/>
      <c r="F1622" s="79" t="s">
        <v>2567</v>
      </c>
      <c r="G1622" s="80">
        <v>5</v>
      </c>
      <c r="H1622" s="81">
        <v>0</v>
      </c>
      <c r="I1622" s="80">
        <f t="shared" si="470"/>
        <v>0</v>
      </c>
      <c r="J1622" s="80">
        <v>0</v>
      </c>
      <c r="K1622" s="80">
        <f t="shared" si="471"/>
        <v>0</v>
      </c>
      <c r="L1622" s="82" t="s">
        <v>207</v>
      </c>
      <c r="Z1622" s="38">
        <f t="shared" si="472"/>
        <v>0</v>
      </c>
      <c r="AB1622" s="38">
        <f t="shared" si="473"/>
        <v>0</v>
      </c>
      <c r="AC1622" s="38">
        <f t="shared" si="474"/>
        <v>0</v>
      </c>
      <c r="AD1622" s="38">
        <f t="shared" si="475"/>
        <v>0</v>
      </c>
      <c r="AE1622" s="38">
        <f t="shared" si="476"/>
        <v>0</v>
      </c>
      <c r="AF1622" s="38">
        <f t="shared" si="477"/>
        <v>0</v>
      </c>
      <c r="AG1622" s="38">
        <f t="shared" si="478"/>
        <v>0</v>
      </c>
      <c r="AH1622" s="38">
        <f t="shared" si="479"/>
        <v>0</v>
      </c>
      <c r="AI1622" s="50" t="s">
        <v>95</v>
      </c>
      <c r="AJ1622" s="80">
        <f t="shared" si="480"/>
        <v>0</v>
      </c>
      <c r="AK1622" s="80">
        <f t="shared" si="481"/>
        <v>0</v>
      </c>
      <c r="AL1622" s="80">
        <f t="shared" si="482"/>
        <v>0</v>
      </c>
      <c r="AN1622" s="38">
        <v>21</v>
      </c>
      <c r="AO1622" s="38">
        <f>H1622*1</f>
        <v>0</v>
      </c>
      <c r="AP1622" s="38">
        <f>H1622*(1-1)</f>
        <v>0</v>
      </c>
      <c r="AQ1622" s="83" t="s">
        <v>132</v>
      </c>
      <c r="AV1622" s="38">
        <f t="shared" si="483"/>
        <v>0</v>
      </c>
      <c r="AW1622" s="38">
        <f t="shared" si="484"/>
        <v>0</v>
      </c>
      <c r="AX1622" s="38">
        <f t="shared" si="485"/>
        <v>0</v>
      </c>
      <c r="AY1622" s="72" t="s">
        <v>3130</v>
      </c>
      <c r="AZ1622" s="72" t="s">
        <v>3013</v>
      </c>
      <c r="BA1622" s="50" t="s">
        <v>3014</v>
      </c>
      <c r="BC1622" s="38">
        <f t="shared" si="486"/>
        <v>0</v>
      </c>
      <c r="BD1622" s="38">
        <f t="shared" si="487"/>
        <v>0</v>
      </c>
      <c r="BE1622" s="38">
        <v>0</v>
      </c>
      <c r="BF1622" s="38">
        <f t="shared" si="488"/>
        <v>0</v>
      </c>
      <c r="BH1622" s="80">
        <f t="shared" si="489"/>
        <v>0</v>
      </c>
      <c r="BI1622" s="80">
        <f t="shared" si="490"/>
        <v>0</v>
      </c>
      <c r="BJ1622" s="80">
        <f t="shared" si="491"/>
        <v>0</v>
      </c>
      <c r="BK1622" s="80"/>
      <c r="BL1622" s="38"/>
      <c r="BW1622" s="38">
        <v>21</v>
      </c>
    </row>
    <row r="1623" spans="1:75" ht="13.5" customHeight="1">
      <c r="A1623" s="1" t="s">
        <v>1504</v>
      </c>
      <c r="B1623" s="2" t="s">
        <v>95</v>
      </c>
      <c r="C1623" s="2" t="s">
        <v>2817</v>
      </c>
      <c r="D1623" s="108" t="s">
        <v>2818</v>
      </c>
      <c r="E1623" s="103"/>
      <c r="F1623" s="2" t="s">
        <v>2286</v>
      </c>
      <c r="G1623" s="38">
        <v>3</v>
      </c>
      <c r="H1623" s="70">
        <v>0</v>
      </c>
      <c r="I1623" s="38">
        <f t="shared" si="470"/>
        <v>0</v>
      </c>
      <c r="J1623" s="38">
        <v>0</v>
      </c>
      <c r="K1623" s="38">
        <f t="shared" si="471"/>
        <v>0</v>
      </c>
      <c r="L1623" s="71" t="s">
        <v>207</v>
      </c>
      <c r="Z1623" s="38">
        <f t="shared" si="472"/>
        <v>0</v>
      </c>
      <c r="AB1623" s="38">
        <f t="shared" si="473"/>
        <v>0</v>
      </c>
      <c r="AC1623" s="38">
        <f t="shared" si="474"/>
        <v>0</v>
      </c>
      <c r="AD1623" s="38">
        <f t="shared" si="475"/>
        <v>0</v>
      </c>
      <c r="AE1623" s="38">
        <f t="shared" si="476"/>
        <v>0</v>
      </c>
      <c r="AF1623" s="38">
        <f t="shared" si="477"/>
        <v>0</v>
      </c>
      <c r="AG1623" s="38">
        <f t="shared" si="478"/>
        <v>0</v>
      </c>
      <c r="AH1623" s="38">
        <f t="shared" si="479"/>
        <v>0</v>
      </c>
      <c r="AI1623" s="50" t="s">
        <v>95</v>
      </c>
      <c r="AJ1623" s="38">
        <f t="shared" si="480"/>
        <v>0</v>
      </c>
      <c r="AK1623" s="38">
        <f t="shared" si="481"/>
        <v>0</v>
      </c>
      <c r="AL1623" s="38">
        <f t="shared" si="482"/>
        <v>0</v>
      </c>
      <c r="AN1623" s="38">
        <v>21</v>
      </c>
      <c r="AO1623" s="38">
        <f>H1623*0</f>
        <v>0</v>
      </c>
      <c r="AP1623" s="38">
        <f>H1623*(1-0)</f>
        <v>0</v>
      </c>
      <c r="AQ1623" s="72" t="s">
        <v>132</v>
      </c>
      <c r="AV1623" s="38">
        <f t="shared" si="483"/>
        <v>0</v>
      </c>
      <c r="AW1623" s="38">
        <f t="shared" si="484"/>
        <v>0</v>
      </c>
      <c r="AX1623" s="38">
        <f t="shared" si="485"/>
        <v>0</v>
      </c>
      <c r="AY1623" s="72" t="s">
        <v>3130</v>
      </c>
      <c r="AZ1623" s="72" t="s">
        <v>3013</v>
      </c>
      <c r="BA1623" s="50" t="s">
        <v>3014</v>
      </c>
      <c r="BC1623" s="38">
        <f t="shared" si="486"/>
        <v>0</v>
      </c>
      <c r="BD1623" s="38">
        <f t="shared" si="487"/>
        <v>0</v>
      </c>
      <c r="BE1623" s="38">
        <v>0</v>
      </c>
      <c r="BF1623" s="38">
        <f t="shared" si="488"/>
        <v>0</v>
      </c>
      <c r="BH1623" s="38">
        <f t="shared" si="489"/>
        <v>0</v>
      </c>
      <c r="BI1623" s="38">
        <f t="shared" si="490"/>
        <v>0</v>
      </c>
      <c r="BJ1623" s="38">
        <f t="shared" si="491"/>
        <v>0</v>
      </c>
      <c r="BK1623" s="38"/>
      <c r="BL1623" s="38"/>
      <c r="BW1623" s="38">
        <v>21</v>
      </c>
    </row>
    <row r="1624" spans="1:12" ht="13.5" customHeight="1">
      <c r="A1624" s="74"/>
      <c r="D1624" s="194" t="s">
        <v>2819</v>
      </c>
      <c r="E1624" s="195"/>
      <c r="F1624" s="195"/>
      <c r="G1624" s="195"/>
      <c r="H1624" s="196"/>
      <c r="I1624" s="195"/>
      <c r="J1624" s="195"/>
      <c r="K1624" s="195"/>
      <c r="L1624" s="197"/>
    </row>
    <row r="1625" spans="1:75" ht="13.5" customHeight="1">
      <c r="A1625" s="78" t="s">
        <v>1535</v>
      </c>
      <c r="B1625" s="79" t="s">
        <v>95</v>
      </c>
      <c r="C1625" s="79" t="s">
        <v>3151</v>
      </c>
      <c r="D1625" s="198" t="s">
        <v>2822</v>
      </c>
      <c r="E1625" s="199"/>
      <c r="F1625" s="79" t="s">
        <v>2823</v>
      </c>
      <c r="G1625" s="80">
        <v>1</v>
      </c>
      <c r="H1625" s="81">
        <v>0</v>
      </c>
      <c r="I1625" s="80">
        <f>G1625*H1625</f>
        <v>0</v>
      </c>
      <c r="J1625" s="80">
        <v>0</v>
      </c>
      <c r="K1625" s="80">
        <f>G1625*J1625</f>
        <v>0</v>
      </c>
      <c r="L1625" s="82" t="s">
        <v>207</v>
      </c>
      <c r="Z1625" s="38">
        <f>IF(AQ1625="5",BJ1625,0)</f>
        <v>0</v>
      </c>
      <c r="AB1625" s="38">
        <f>IF(AQ1625="1",BH1625,0)</f>
        <v>0</v>
      </c>
      <c r="AC1625" s="38">
        <f>IF(AQ1625="1",BI1625,0)</f>
        <v>0</v>
      </c>
      <c r="AD1625" s="38">
        <f>IF(AQ1625="7",BH1625,0)</f>
        <v>0</v>
      </c>
      <c r="AE1625" s="38">
        <f>IF(AQ1625="7",BI1625,0)</f>
        <v>0</v>
      </c>
      <c r="AF1625" s="38">
        <f>IF(AQ1625="2",BH1625,0)</f>
        <v>0</v>
      </c>
      <c r="AG1625" s="38">
        <f>IF(AQ1625="2",BI1625,0)</f>
        <v>0</v>
      </c>
      <c r="AH1625" s="38">
        <f>IF(AQ1625="0",BJ1625,0)</f>
        <v>0</v>
      </c>
      <c r="AI1625" s="50" t="s">
        <v>95</v>
      </c>
      <c r="AJ1625" s="80">
        <f>IF(AN1625=0,I1625,0)</f>
        <v>0</v>
      </c>
      <c r="AK1625" s="80">
        <f>IF(AN1625=12,I1625,0)</f>
        <v>0</v>
      </c>
      <c r="AL1625" s="80">
        <f>IF(AN1625=21,I1625,0)</f>
        <v>0</v>
      </c>
      <c r="AN1625" s="38">
        <v>21</v>
      </c>
      <c r="AO1625" s="38">
        <f>H1625*1</f>
        <v>0</v>
      </c>
      <c r="AP1625" s="38">
        <f>H1625*(1-1)</f>
        <v>0</v>
      </c>
      <c r="AQ1625" s="83" t="s">
        <v>132</v>
      </c>
      <c r="AV1625" s="38">
        <f>AW1625+AX1625</f>
        <v>0</v>
      </c>
      <c r="AW1625" s="38">
        <f>G1625*AO1625</f>
        <v>0</v>
      </c>
      <c r="AX1625" s="38">
        <f>G1625*AP1625</f>
        <v>0</v>
      </c>
      <c r="AY1625" s="72" t="s">
        <v>3130</v>
      </c>
      <c r="AZ1625" s="72" t="s">
        <v>3013</v>
      </c>
      <c r="BA1625" s="50" t="s">
        <v>3014</v>
      </c>
      <c r="BC1625" s="38">
        <f>AW1625+AX1625</f>
        <v>0</v>
      </c>
      <c r="BD1625" s="38">
        <f>H1625/(100-BE1625)*100</f>
        <v>0</v>
      </c>
      <c r="BE1625" s="38">
        <v>0</v>
      </c>
      <c r="BF1625" s="38">
        <f>K1625</f>
        <v>0</v>
      </c>
      <c r="BH1625" s="80">
        <f>G1625*AO1625</f>
        <v>0</v>
      </c>
      <c r="BI1625" s="80">
        <f>G1625*AP1625</f>
        <v>0</v>
      </c>
      <c r="BJ1625" s="80">
        <f>G1625*H1625</f>
        <v>0</v>
      </c>
      <c r="BK1625" s="80"/>
      <c r="BL1625" s="38"/>
      <c r="BW1625" s="38">
        <v>21</v>
      </c>
    </row>
    <row r="1626" spans="1:47" ht="15">
      <c r="A1626" s="65" t="s">
        <v>4</v>
      </c>
      <c r="B1626" s="66" t="s">
        <v>95</v>
      </c>
      <c r="C1626" s="66" t="s">
        <v>3152</v>
      </c>
      <c r="D1626" s="192" t="s">
        <v>3153</v>
      </c>
      <c r="E1626" s="193"/>
      <c r="F1626" s="67" t="s">
        <v>78</v>
      </c>
      <c r="G1626" s="67" t="s">
        <v>78</v>
      </c>
      <c r="H1626" s="68" t="s">
        <v>78</v>
      </c>
      <c r="I1626" s="44">
        <f>SUM(I1627:I1650)</f>
        <v>0</v>
      </c>
      <c r="J1626" s="50" t="s">
        <v>4</v>
      </c>
      <c r="K1626" s="44">
        <f>SUM(K1627:K1650)</f>
        <v>0</v>
      </c>
      <c r="L1626" s="69" t="s">
        <v>4</v>
      </c>
      <c r="AI1626" s="50" t="s">
        <v>95</v>
      </c>
      <c r="AS1626" s="44">
        <f>SUM(AJ1627:AJ1650)</f>
        <v>0</v>
      </c>
      <c r="AT1626" s="44">
        <f>SUM(AK1627:AK1650)</f>
        <v>0</v>
      </c>
      <c r="AU1626" s="44">
        <f>SUM(AL1627:AL1650)</f>
        <v>0</v>
      </c>
    </row>
    <row r="1627" spans="1:75" ht="27" customHeight="1">
      <c r="A1627" s="1" t="s">
        <v>3154</v>
      </c>
      <c r="B1627" s="2" t="s">
        <v>95</v>
      </c>
      <c r="C1627" s="2" t="s">
        <v>2681</v>
      </c>
      <c r="D1627" s="108" t="s">
        <v>2682</v>
      </c>
      <c r="E1627" s="103"/>
      <c r="F1627" s="2" t="s">
        <v>214</v>
      </c>
      <c r="G1627" s="38">
        <v>40</v>
      </c>
      <c r="H1627" s="70">
        <v>0</v>
      </c>
      <c r="I1627" s="38">
        <f aca="true" t="shared" si="492" ref="I1627:I1636">G1627*H1627</f>
        <v>0</v>
      </c>
      <c r="J1627" s="38">
        <v>0</v>
      </c>
      <c r="K1627" s="38">
        <f aca="true" t="shared" si="493" ref="K1627:K1636">G1627*J1627</f>
        <v>0</v>
      </c>
      <c r="L1627" s="71" t="s">
        <v>207</v>
      </c>
      <c r="Z1627" s="38">
        <f aca="true" t="shared" si="494" ref="Z1627:Z1636">IF(AQ1627="5",BJ1627,0)</f>
        <v>0</v>
      </c>
      <c r="AB1627" s="38">
        <f aca="true" t="shared" si="495" ref="AB1627:AB1636">IF(AQ1627="1",BH1627,0)</f>
        <v>0</v>
      </c>
      <c r="AC1627" s="38">
        <f aca="true" t="shared" si="496" ref="AC1627:AC1636">IF(AQ1627="1",BI1627,0)</f>
        <v>0</v>
      </c>
      <c r="AD1627" s="38">
        <f aca="true" t="shared" si="497" ref="AD1627:AD1636">IF(AQ1627="7",BH1627,0)</f>
        <v>0</v>
      </c>
      <c r="AE1627" s="38">
        <f aca="true" t="shared" si="498" ref="AE1627:AE1636">IF(AQ1627="7",BI1627,0)</f>
        <v>0</v>
      </c>
      <c r="AF1627" s="38">
        <f aca="true" t="shared" si="499" ref="AF1627:AF1636">IF(AQ1627="2",BH1627,0)</f>
        <v>0</v>
      </c>
      <c r="AG1627" s="38">
        <f aca="true" t="shared" si="500" ref="AG1627:AG1636">IF(AQ1627="2",BI1627,0)</f>
        <v>0</v>
      </c>
      <c r="AH1627" s="38">
        <f aca="true" t="shared" si="501" ref="AH1627:AH1636">IF(AQ1627="0",BJ1627,0)</f>
        <v>0</v>
      </c>
      <c r="AI1627" s="50" t="s">
        <v>95</v>
      </c>
      <c r="AJ1627" s="38">
        <f aca="true" t="shared" si="502" ref="AJ1627:AJ1636">IF(AN1627=0,I1627,0)</f>
        <v>0</v>
      </c>
      <c r="AK1627" s="38">
        <f aca="true" t="shared" si="503" ref="AK1627:AK1636">IF(AN1627=12,I1627,0)</f>
        <v>0</v>
      </c>
      <c r="AL1627" s="38">
        <f aca="true" t="shared" si="504" ref="AL1627:AL1636">IF(AN1627=21,I1627,0)</f>
        <v>0</v>
      </c>
      <c r="AN1627" s="38">
        <v>21</v>
      </c>
      <c r="AO1627" s="38">
        <f>H1627*0</f>
        <v>0</v>
      </c>
      <c r="AP1627" s="38">
        <f>H1627*(1-0)</f>
        <v>0</v>
      </c>
      <c r="AQ1627" s="72" t="s">
        <v>132</v>
      </c>
      <c r="AV1627" s="38">
        <f aca="true" t="shared" si="505" ref="AV1627:AV1636">AW1627+AX1627</f>
        <v>0</v>
      </c>
      <c r="AW1627" s="38">
        <f aca="true" t="shared" si="506" ref="AW1627:AW1636">G1627*AO1627</f>
        <v>0</v>
      </c>
      <c r="AX1627" s="38">
        <f aca="true" t="shared" si="507" ref="AX1627:AX1636">G1627*AP1627</f>
        <v>0</v>
      </c>
      <c r="AY1627" s="72" t="s">
        <v>3155</v>
      </c>
      <c r="AZ1627" s="72" t="s">
        <v>3013</v>
      </c>
      <c r="BA1627" s="50" t="s">
        <v>3014</v>
      </c>
      <c r="BC1627" s="38">
        <f aca="true" t="shared" si="508" ref="BC1627:BC1636">AW1627+AX1627</f>
        <v>0</v>
      </c>
      <c r="BD1627" s="38">
        <f aca="true" t="shared" si="509" ref="BD1627:BD1636">H1627/(100-BE1627)*100</f>
        <v>0</v>
      </c>
      <c r="BE1627" s="38">
        <v>0</v>
      </c>
      <c r="BF1627" s="38">
        <f aca="true" t="shared" si="510" ref="BF1627:BF1636">K1627</f>
        <v>0</v>
      </c>
      <c r="BH1627" s="38">
        <f aca="true" t="shared" si="511" ref="BH1627:BH1636">G1627*AO1627</f>
        <v>0</v>
      </c>
      <c r="BI1627" s="38">
        <f aca="true" t="shared" si="512" ref="BI1627:BI1636">G1627*AP1627</f>
        <v>0</v>
      </c>
      <c r="BJ1627" s="38">
        <f aca="true" t="shared" si="513" ref="BJ1627:BJ1636">G1627*H1627</f>
        <v>0</v>
      </c>
      <c r="BK1627" s="38"/>
      <c r="BL1627" s="38"/>
      <c r="BW1627" s="38">
        <v>21</v>
      </c>
    </row>
    <row r="1628" spans="1:75" ht="13.5" customHeight="1">
      <c r="A1628" s="78" t="s">
        <v>3156</v>
      </c>
      <c r="B1628" s="79" t="s">
        <v>95</v>
      </c>
      <c r="C1628" s="79" t="s">
        <v>3132</v>
      </c>
      <c r="D1628" s="198" t="s">
        <v>3133</v>
      </c>
      <c r="E1628" s="199"/>
      <c r="F1628" s="79" t="s">
        <v>2661</v>
      </c>
      <c r="G1628" s="80">
        <v>40</v>
      </c>
      <c r="H1628" s="81">
        <v>0</v>
      </c>
      <c r="I1628" s="80">
        <f t="shared" si="492"/>
        <v>0</v>
      </c>
      <c r="J1628" s="80">
        <v>0</v>
      </c>
      <c r="K1628" s="80">
        <f t="shared" si="493"/>
        <v>0</v>
      </c>
      <c r="L1628" s="82" t="s">
        <v>207</v>
      </c>
      <c r="Z1628" s="38">
        <f t="shared" si="494"/>
        <v>0</v>
      </c>
      <c r="AB1628" s="38">
        <f t="shared" si="495"/>
        <v>0</v>
      </c>
      <c r="AC1628" s="38">
        <f t="shared" si="496"/>
        <v>0</v>
      </c>
      <c r="AD1628" s="38">
        <f t="shared" si="497"/>
        <v>0</v>
      </c>
      <c r="AE1628" s="38">
        <f t="shared" si="498"/>
        <v>0</v>
      </c>
      <c r="AF1628" s="38">
        <f t="shared" si="499"/>
        <v>0</v>
      </c>
      <c r="AG1628" s="38">
        <f t="shared" si="500"/>
        <v>0</v>
      </c>
      <c r="AH1628" s="38">
        <f t="shared" si="501"/>
        <v>0</v>
      </c>
      <c r="AI1628" s="50" t="s">
        <v>95</v>
      </c>
      <c r="AJ1628" s="80">
        <f t="shared" si="502"/>
        <v>0</v>
      </c>
      <c r="AK1628" s="80">
        <f t="shared" si="503"/>
        <v>0</v>
      </c>
      <c r="AL1628" s="80">
        <f t="shared" si="504"/>
        <v>0</v>
      </c>
      <c r="AN1628" s="38">
        <v>21</v>
      </c>
      <c r="AO1628" s="38">
        <f>H1628*1</f>
        <v>0</v>
      </c>
      <c r="AP1628" s="38">
        <f>H1628*(1-1)</f>
        <v>0</v>
      </c>
      <c r="AQ1628" s="83" t="s">
        <v>132</v>
      </c>
      <c r="AV1628" s="38">
        <f t="shared" si="505"/>
        <v>0</v>
      </c>
      <c r="AW1628" s="38">
        <f t="shared" si="506"/>
        <v>0</v>
      </c>
      <c r="AX1628" s="38">
        <f t="shared" si="507"/>
        <v>0</v>
      </c>
      <c r="AY1628" s="72" t="s">
        <v>3155</v>
      </c>
      <c r="AZ1628" s="72" t="s">
        <v>3013</v>
      </c>
      <c r="BA1628" s="50" t="s">
        <v>3014</v>
      </c>
      <c r="BC1628" s="38">
        <f t="shared" si="508"/>
        <v>0</v>
      </c>
      <c r="BD1628" s="38">
        <f t="shared" si="509"/>
        <v>0</v>
      </c>
      <c r="BE1628" s="38">
        <v>0</v>
      </c>
      <c r="BF1628" s="38">
        <f t="shared" si="510"/>
        <v>0</v>
      </c>
      <c r="BH1628" s="80">
        <f t="shared" si="511"/>
        <v>0</v>
      </c>
      <c r="BI1628" s="80">
        <f t="shared" si="512"/>
        <v>0</v>
      </c>
      <c r="BJ1628" s="80">
        <f t="shared" si="513"/>
        <v>0</v>
      </c>
      <c r="BK1628" s="80"/>
      <c r="BL1628" s="38"/>
      <c r="BW1628" s="38">
        <v>21</v>
      </c>
    </row>
    <row r="1629" spans="1:75" ht="27" customHeight="1">
      <c r="A1629" s="1" t="s">
        <v>3157</v>
      </c>
      <c r="B1629" s="2" t="s">
        <v>95</v>
      </c>
      <c r="C1629" s="2" t="s">
        <v>3158</v>
      </c>
      <c r="D1629" s="108" t="s">
        <v>3159</v>
      </c>
      <c r="E1629" s="103"/>
      <c r="F1629" s="2" t="s">
        <v>214</v>
      </c>
      <c r="G1629" s="38">
        <v>78</v>
      </c>
      <c r="H1629" s="70">
        <v>0</v>
      </c>
      <c r="I1629" s="38">
        <f t="shared" si="492"/>
        <v>0</v>
      </c>
      <c r="J1629" s="38">
        <v>0</v>
      </c>
      <c r="K1629" s="38">
        <f t="shared" si="493"/>
        <v>0</v>
      </c>
      <c r="L1629" s="71" t="s">
        <v>207</v>
      </c>
      <c r="Z1629" s="38">
        <f t="shared" si="494"/>
        <v>0</v>
      </c>
      <c r="AB1629" s="38">
        <f t="shared" si="495"/>
        <v>0</v>
      </c>
      <c r="AC1629" s="38">
        <f t="shared" si="496"/>
        <v>0</v>
      </c>
      <c r="AD1629" s="38">
        <f t="shared" si="497"/>
        <v>0</v>
      </c>
      <c r="AE1629" s="38">
        <f t="shared" si="498"/>
        <v>0</v>
      </c>
      <c r="AF1629" s="38">
        <f t="shared" si="499"/>
        <v>0</v>
      </c>
      <c r="AG1629" s="38">
        <f t="shared" si="500"/>
        <v>0</v>
      </c>
      <c r="AH1629" s="38">
        <f t="shared" si="501"/>
        <v>0</v>
      </c>
      <c r="AI1629" s="50" t="s">
        <v>95</v>
      </c>
      <c r="AJ1629" s="38">
        <f t="shared" si="502"/>
        <v>0</v>
      </c>
      <c r="AK1629" s="38">
        <f t="shared" si="503"/>
        <v>0</v>
      </c>
      <c r="AL1629" s="38">
        <f t="shared" si="504"/>
        <v>0</v>
      </c>
      <c r="AN1629" s="38">
        <v>21</v>
      </c>
      <c r="AO1629" s="38">
        <f>H1629*0</f>
        <v>0</v>
      </c>
      <c r="AP1629" s="38">
        <f>H1629*(1-0)</f>
        <v>0</v>
      </c>
      <c r="AQ1629" s="72" t="s">
        <v>132</v>
      </c>
      <c r="AV1629" s="38">
        <f t="shared" si="505"/>
        <v>0</v>
      </c>
      <c r="AW1629" s="38">
        <f t="shared" si="506"/>
        <v>0</v>
      </c>
      <c r="AX1629" s="38">
        <f t="shared" si="507"/>
        <v>0</v>
      </c>
      <c r="AY1629" s="72" t="s">
        <v>3155</v>
      </c>
      <c r="AZ1629" s="72" t="s">
        <v>3013</v>
      </c>
      <c r="BA1629" s="50" t="s">
        <v>3014</v>
      </c>
      <c r="BC1629" s="38">
        <f t="shared" si="508"/>
        <v>0</v>
      </c>
      <c r="BD1629" s="38">
        <f t="shared" si="509"/>
        <v>0</v>
      </c>
      <c r="BE1629" s="38">
        <v>0</v>
      </c>
      <c r="BF1629" s="38">
        <f t="shared" si="510"/>
        <v>0</v>
      </c>
      <c r="BH1629" s="38">
        <f t="shared" si="511"/>
        <v>0</v>
      </c>
      <c r="BI1629" s="38">
        <f t="shared" si="512"/>
        <v>0</v>
      </c>
      <c r="BJ1629" s="38">
        <f t="shared" si="513"/>
        <v>0</v>
      </c>
      <c r="BK1629" s="38"/>
      <c r="BL1629" s="38"/>
      <c r="BW1629" s="38">
        <v>21</v>
      </c>
    </row>
    <row r="1630" spans="1:75" ht="13.5" customHeight="1">
      <c r="A1630" s="78" t="s">
        <v>3160</v>
      </c>
      <c r="B1630" s="79" t="s">
        <v>95</v>
      </c>
      <c r="C1630" s="79" t="s">
        <v>3161</v>
      </c>
      <c r="D1630" s="198" t="s">
        <v>3162</v>
      </c>
      <c r="E1630" s="199"/>
      <c r="F1630" s="79" t="s">
        <v>2661</v>
      </c>
      <c r="G1630" s="80">
        <v>78</v>
      </c>
      <c r="H1630" s="81">
        <v>0</v>
      </c>
      <c r="I1630" s="80">
        <f t="shared" si="492"/>
        <v>0</v>
      </c>
      <c r="J1630" s="80">
        <v>0</v>
      </c>
      <c r="K1630" s="80">
        <f t="shared" si="493"/>
        <v>0</v>
      </c>
      <c r="L1630" s="82" t="s">
        <v>207</v>
      </c>
      <c r="Z1630" s="38">
        <f t="shared" si="494"/>
        <v>0</v>
      </c>
      <c r="AB1630" s="38">
        <f t="shared" si="495"/>
        <v>0</v>
      </c>
      <c r="AC1630" s="38">
        <f t="shared" si="496"/>
        <v>0</v>
      </c>
      <c r="AD1630" s="38">
        <f t="shared" si="497"/>
        <v>0</v>
      </c>
      <c r="AE1630" s="38">
        <f t="shared" si="498"/>
        <v>0</v>
      </c>
      <c r="AF1630" s="38">
        <f t="shared" si="499"/>
        <v>0</v>
      </c>
      <c r="AG1630" s="38">
        <f t="shared" si="500"/>
        <v>0</v>
      </c>
      <c r="AH1630" s="38">
        <f t="shared" si="501"/>
        <v>0</v>
      </c>
      <c r="AI1630" s="50" t="s">
        <v>95</v>
      </c>
      <c r="AJ1630" s="80">
        <f t="shared" si="502"/>
        <v>0</v>
      </c>
      <c r="AK1630" s="80">
        <f t="shared" si="503"/>
        <v>0</v>
      </c>
      <c r="AL1630" s="80">
        <f t="shared" si="504"/>
        <v>0</v>
      </c>
      <c r="AN1630" s="38">
        <v>21</v>
      </c>
      <c r="AO1630" s="38">
        <f>H1630*1</f>
        <v>0</v>
      </c>
      <c r="AP1630" s="38">
        <f>H1630*(1-1)</f>
        <v>0</v>
      </c>
      <c r="AQ1630" s="83" t="s">
        <v>132</v>
      </c>
      <c r="AV1630" s="38">
        <f t="shared" si="505"/>
        <v>0</v>
      </c>
      <c r="AW1630" s="38">
        <f t="shared" si="506"/>
        <v>0</v>
      </c>
      <c r="AX1630" s="38">
        <f t="shared" si="507"/>
        <v>0</v>
      </c>
      <c r="AY1630" s="72" t="s">
        <v>3155</v>
      </c>
      <c r="AZ1630" s="72" t="s">
        <v>3013</v>
      </c>
      <c r="BA1630" s="50" t="s">
        <v>3014</v>
      </c>
      <c r="BC1630" s="38">
        <f t="shared" si="508"/>
        <v>0</v>
      </c>
      <c r="BD1630" s="38">
        <f t="shared" si="509"/>
        <v>0</v>
      </c>
      <c r="BE1630" s="38">
        <v>0</v>
      </c>
      <c r="BF1630" s="38">
        <f t="shared" si="510"/>
        <v>0</v>
      </c>
      <c r="BH1630" s="80">
        <f t="shared" si="511"/>
        <v>0</v>
      </c>
      <c r="BI1630" s="80">
        <f t="shared" si="512"/>
        <v>0</v>
      </c>
      <c r="BJ1630" s="80">
        <f t="shared" si="513"/>
        <v>0</v>
      </c>
      <c r="BK1630" s="80"/>
      <c r="BL1630" s="38"/>
      <c r="BW1630" s="38">
        <v>21</v>
      </c>
    </row>
    <row r="1631" spans="1:75" ht="13.5" customHeight="1">
      <c r="A1631" s="1" t="s">
        <v>3163</v>
      </c>
      <c r="B1631" s="2" t="s">
        <v>95</v>
      </c>
      <c r="C1631" s="2" t="s">
        <v>3019</v>
      </c>
      <c r="D1631" s="108" t="s">
        <v>3020</v>
      </c>
      <c r="E1631" s="103"/>
      <c r="F1631" s="2" t="s">
        <v>199</v>
      </c>
      <c r="G1631" s="38">
        <v>1</v>
      </c>
      <c r="H1631" s="70">
        <v>0</v>
      </c>
      <c r="I1631" s="38">
        <f t="shared" si="492"/>
        <v>0</v>
      </c>
      <c r="J1631" s="38">
        <v>0</v>
      </c>
      <c r="K1631" s="38">
        <f t="shared" si="493"/>
        <v>0</v>
      </c>
      <c r="L1631" s="71" t="s">
        <v>207</v>
      </c>
      <c r="Z1631" s="38">
        <f t="shared" si="494"/>
        <v>0</v>
      </c>
      <c r="AB1631" s="38">
        <f t="shared" si="495"/>
        <v>0</v>
      </c>
      <c r="AC1631" s="38">
        <f t="shared" si="496"/>
        <v>0</v>
      </c>
      <c r="AD1631" s="38">
        <f t="shared" si="497"/>
        <v>0</v>
      </c>
      <c r="AE1631" s="38">
        <f t="shared" si="498"/>
        <v>0</v>
      </c>
      <c r="AF1631" s="38">
        <f t="shared" si="499"/>
        <v>0</v>
      </c>
      <c r="AG1631" s="38">
        <f t="shared" si="500"/>
        <v>0</v>
      </c>
      <c r="AH1631" s="38">
        <f t="shared" si="501"/>
        <v>0</v>
      </c>
      <c r="AI1631" s="50" t="s">
        <v>95</v>
      </c>
      <c r="AJ1631" s="38">
        <f t="shared" si="502"/>
        <v>0</v>
      </c>
      <c r="AK1631" s="38">
        <f t="shared" si="503"/>
        <v>0</v>
      </c>
      <c r="AL1631" s="38">
        <f t="shared" si="504"/>
        <v>0</v>
      </c>
      <c r="AN1631" s="38">
        <v>21</v>
      </c>
      <c r="AO1631" s="38">
        <f>H1631*0</f>
        <v>0</v>
      </c>
      <c r="AP1631" s="38">
        <f>H1631*(1-0)</f>
        <v>0</v>
      </c>
      <c r="AQ1631" s="72" t="s">
        <v>143</v>
      </c>
      <c r="AV1631" s="38">
        <f t="shared" si="505"/>
        <v>0</v>
      </c>
      <c r="AW1631" s="38">
        <f t="shared" si="506"/>
        <v>0</v>
      </c>
      <c r="AX1631" s="38">
        <f t="shared" si="507"/>
        <v>0</v>
      </c>
      <c r="AY1631" s="72" t="s">
        <v>3155</v>
      </c>
      <c r="AZ1631" s="72" t="s">
        <v>3013</v>
      </c>
      <c r="BA1631" s="50" t="s">
        <v>3014</v>
      </c>
      <c r="BC1631" s="38">
        <f t="shared" si="508"/>
        <v>0</v>
      </c>
      <c r="BD1631" s="38">
        <f t="shared" si="509"/>
        <v>0</v>
      </c>
      <c r="BE1631" s="38">
        <v>0</v>
      </c>
      <c r="BF1631" s="38">
        <f t="shared" si="510"/>
        <v>0</v>
      </c>
      <c r="BH1631" s="38">
        <f t="shared" si="511"/>
        <v>0</v>
      </c>
      <c r="BI1631" s="38">
        <f t="shared" si="512"/>
        <v>0</v>
      </c>
      <c r="BJ1631" s="38">
        <f t="shared" si="513"/>
        <v>0</v>
      </c>
      <c r="BK1631" s="38"/>
      <c r="BL1631" s="38"/>
      <c r="BW1631" s="38">
        <v>21</v>
      </c>
    </row>
    <row r="1632" spans="1:75" ht="27" customHeight="1">
      <c r="A1632" s="1" t="s">
        <v>3164</v>
      </c>
      <c r="B1632" s="2" t="s">
        <v>95</v>
      </c>
      <c r="C1632" s="2" t="s">
        <v>3023</v>
      </c>
      <c r="D1632" s="108" t="s">
        <v>3165</v>
      </c>
      <c r="E1632" s="103"/>
      <c r="F1632" s="2" t="s">
        <v>263</v>
      </c>
      <c r="G1632" s="38">
        <v>0.01</v>
      </c>
      <c r="H1632" s="70">
        <v>0</v>
      </c>
      <c r="I1632" s="38">
        <f t="shared" si="492"/>
        <v>0</v>
      </c>
      <c r="J1632" s="38">
        <v>0</v>
      </c>
      <c r="K1632" s="38">
        <f t="shared" si="493"/>
        <v>0</v>
      </c>
      <c r="L1632" s="71" t="s">
        <v>207</v>
      </c>
      <c r="Z1632" s="38">
        <f t="shared" si="494"/>
        <v>0</v>
      </c>
      <c r="AB1632" s="38">
        <f t="shared" si="495"/>
        <v>0</v>
      </c>
      <c r="AC1632" s="38">
        <f t="shared" si="496"/>
        <v>0</v>
      </c>
      <c r="AD1632" s="38">
        <f t="shared" si="497"/>
        <v>0</v>
      </c>
      <c r="AE1632" s="38">
        <f t="shared" si="498"/>
        <v>0</v>
      </c>
      <c r="AF1632" s="38">
        <f t="shared" si="499"/>
        <v>0</v>
      </c>
      <c r="AG1632" s="38">
        <f t="shared" si="500"/>
        <v>0</v>
      </c>
      <c r="AH1632" s="38">
        <f t="shared" si="501"/>
        <v>0</v>
      </c>
      <c r="AI1632" s="50" t="s">
        <v>95</v>
      </c>
      <c r="AJ1632" s="38">
        <f t="shared" si="502"/>
        <v>0</v>
      </c>
      <c r="AK1632" s="38">
        <f t="shared" si="503"/>
        <v>0</v>
      </c>
      <c r="AL1632" s="38">
        <f t="shared" si="504"/>
        <v>0</v>
      </c>
      <c r="AN1632" s="38">
        <v>21</v>
      </c>
      <c r="AO1632" s="38">
        <f>H1632*0</f>
        <v>0</v>
      </c>
      <c r="AP1632" s="38">
        <f>H1632*(1-0)</f>
        <v>0</v>
      </c>
      <c r="AQ1632" s="72" t="s">
        <v>132</v>
      </c>
      <c r="AV1632" s="38">
        <f t="shared" si="505"/>
        <v>0</v>
      </c>
      <c r="AW1632" s="38">
        <f t="shared" si="506"/>
        <v>0</v>
      </c>
      <c r="AX1632" s="38">
        <f t="shared" si="507"/>
        <v>0</v>
      </c>
      <c r="AY1632" s="72" t="s">
        <v>3155</v>
      </c>
      <c r="AZ1632" s="72" t="s">
        <v>3013</v>
      </c>
      <c r="BA1632" s="50" t="s">
        <v>3014</v>
      </c>
      <c r="BC1632" s="38">
        <f t="shared" si="508"/>
        <v>0</v>
      </c>
      <c r="BD1632" s="38">
        <f t="shared" si="509"/>
        <v>0</v>
      </c>
      <c r="BE1632" s="38">
        <v>0</v>
      </c>
      <c r="BF1632" s="38">
        <f t="shared" si="510"/>
        <v>0</v>
      </c>
      <c r="BH1632" s="38">
        <f t="shared" si="511"/>
        <v>0</v>
      </c>
      <c r="BI1632" s="38">
        <f t="shared" si="512"/>
        <v>0</v>
      </c>
      <c r="BJ1632" s="38">
        <f t="shared" si="513"/>
        <v>0</v>
      </c>
      <c r="BK1632" s="38"/>
      <c r="BL1632" s="38"/>
      <c r="BW1632" s="38">
        <v>21</v>
      </c>
    </row>
    <row r="1633" spans="1:75" ht="13.5" customHeight="1">
      <c r="A1633" s="78" t="s">
        <v>3166</v>
      </c>
      <c r="B1633" s="79" t="s">
        <v>95</v>
      </c>
      <c r="C1633" s="79" t="s">
        <v>3027</v>
      </c>
      <c r="D1633" s="198" t="s">
        <v>3028</v>
      </c>
      <c r="E1633" s="199"/>
      <c r="F1633" s="79" t="s">
        <v>199</v>
      </c>
      <c r="G1633" s="80">
        <v>1</v>
      </c>
      <c r="H1633" s="81">
        <v>0</v>
      </c>
      <c r="I1633" s="80">
        <f t="shared" si="492"/>
        <v>0</v>
      </c>
      <c r="J1633" s="80">
        <v>0</v>
      </c>
      <c r="K1633" s="80">
        <f t="shared" si="493"/>
        <v>0</v>
      </c>
      <c r="L1633" s="82" t="s">
        <v>207</v>
      </c>
      <c r="Z1633" s="38">
        <f t="shared" si="494"/>
        <v>0</v>
      </c>
      <c r="AB1633" s="38">
        <f t="shared" si="495"/>
        <v>0</v>
      </c>
      <c r="AC1633" s="38">
        <f t="shared" si="496"/>
        <v>0</v>
      </c>
      <c r="AD1633" s="38">
        <f t="shared" si="497"/>
        <v>0</v>
      </c>
      <c r="AE1633" s="38">
        <f t="shared" si="498"/>
        <v>0</v>
      </c>
      <c r="AF1633" s="38">
        <f t="shared" si="499"/>
        <v>0</v>
      </c>
      <c r="AG1633" s="38">
        <f t="shared" si="500"/>
        <v>0</v>
      </c>
      <c r="AH1633" s="38">
        <f t="shared" si="501"/>
        <v>0</v>
      </c>
      <c r="AI1633" s="50" t="s">
        <v>95</v>
      </c>
      <c r="AJ1633" s="80">
        <f t="shared" si="502"/>
        <v>0</v>
      </c>
      <c r="AK1633" s="80">
        <f t="shared" si="503"/>
        <v>0</v>
      </c>
      <c r="AL1633" s="80">
        <f t="shared" si="504"/>
        <v>0</v>
      </c>
      <c r="AN1633" s="38">
        <v>21</v>
      </c>
      <c r="AO1633" s="38">
        <f>H1633*1</f>
        <v>0</v>
      </c>
      <c r="AP1633" s="38">
        <f>H1633*(1-1)</f>
        <v>0</v>
      </c>
      <c r="AQ1633" s="83" t="s">
        <v>132</v>
      </c>
      <c r="AV1633" s="38">
        <f t="shared" si="505"/>
        <v>0</v>
      </c>
      <c r="AW1633" s="38">
        <f t="shared" si="506"/>
        <v>0</v>
      </c>
      <c r="AX1633" s="38">
        <f t="shared" si="507"/>
        <v>0</v>
      </c>
      <c r="AY1633" s="72" t="s">
        <v>3155</v>
      </c>
      <c r="AZ1633" s="72" t="s">
        <v>3013</v>
      </c>
      <c r="BA1633" s="50" t="s">
        <v>3014</v>
      </c>
      <c r="BC1633" s="38">
        <f t="shared" si="508"/>
        <v>0</v>
      </c>
      <c r="BD1633" s="38">
        <f t="shared" si="509"/>
        <v>0</v>
      </c>
      <c r="BE1633" s="38">
        <v>0</v>
      </c>
      <c r="BF1633" s="38">
        <f t="shared" si="510"/>
        <v>0</v>
      </c>
      <c r="BH1633" s="80">
        <f t="shared" si="511"/>
        <v>0</v>
      </c>
      <c r="BI1633" s="80">
        <f t="shared" si="512"/>
        <v>0</v>
      </c>
      <c r="BJ1633" s="80">
        <f t="shared" si="513"/>
        <v>0</v>
      </c>
      <c r="BK1633" s="80"/>
      <c r="BL1633" s="38"/>
      <c r="BW1633" s="38">
        <v>21</v>
      </c>
    </row>
    <row r="1634" spans="1:75" ht="27" customHeight="1">
      <c r="A1634" s="1" t="s">
        <v>3167</v>
      </c>
      <c r="B1634" s="2" t="s">
        <v>95</v>
      </c>
      <c r="C1634" s="2" t="s">
        <v>2669</v>
      </c>
      <c r="D1634" s="108" t="s">
        <v>3029</v>
      </c>
      <c r="E1634" s="103"/>
      <c r="F1634" s="2" t="s">
        <v>199</v>
      </c>
      <c r="G1634" s="38">
        <v>5</v>
      </c>
      <c r="H1634" s="70">
        <v>0</v>
      </c>
      <c r="I1634" s="38">
        <f t="shared" si="492"/>
        <v>0</v>
      </c>
      <c r="J1634" s="38">
        <v>0</v>
      </c>
      <c r="K1634" s="38">
        <f t="shared" si="493"/>
        <v>0</v>
      </c>
      <c r="L1634" s="71" t="s">
        <v>207</v>
      </c>
      <c r="Z1634" s="38">
        <f t="shared" si="494"/>
        <v>0</v>
      </c>
      <c r="AB1634" s="38">
        <f t="shared" si="495"/>
        <v>0</v>
      </c>
      <c r="AC1634" s="38">
        <f t="shared" si="496"/>
        <v>0</v>
      </c>
      <c r="AD1634" s="38">
        <f t="shared" si="497"/>
        <v>0</v>
      </c>
      <c r="AE1634" s="38">
        <f t="shared" si="498"/>
        <v>0</v>
      </c>
      <c r="AF1634" s="38">
        <f t="shared" si="499"/>
        <v>0</v>
      </c>
      <c r="AG1634" s="38">
        <f t="shared" si="500"/>
        <v>0</v>
      </c>
      <c r="AH1634" s="38">
        <f t="shared" si="501"/>
        <v>0</v>
      </c>
      <c r="AI1634" s="50" t="s">
        <v>95</v>
      </c>
      <c r="AJ1634" s="38">
        <f t="shared" si="502"/>
        <v>0</v>
      </c>
      <c r="AK1634" s="38">
        <f t="shared" si="503"/>
        <v>0</v>
      </c>
      <c r="AL1634" s="38">
        <f t="shared" si="504"/>
        <v>0</v>
      </c>
      <c r="AN1634" s="38">
        <v>21</v>
      </c>
      <c r="AO1634" s="38">
        <f>H1634*0</f>
        <v>0</v>
      </c>
      <c r="AP1634" s="38">
        <f>H1634*(1-0)</f>
        <v>0</v>
      </c>
      <c r="AQ1634" s="72" t="s">
        <v>132</v>
      </c>
      <c r="AV1634" s="38">
        <f t="shared" si="505"/>
        <v>0</v>
      </c>
      <c r="AW1634" s="38">
        <f t="shared" si="506"/>
        <v>0</v>
      </c>
      <c r="AX1634" s="38">
        <f t="shared" si="507"/>
        <v>0</v>
      </c>
      <c r="AY1634" s="72" t="s">
        <v>3155</v>
      </c>
      <c r="AZ1634" s="72" t="s">
        <v>3013</v>
      </c>
      <c r="BA1634" s="50" t="s">
        <v>3014</v>
      </c>
      <c r="BC1634" s="38">
        <f t="shared" si="508"/>
        <v>0</v>
      </c>
      <c r="BD1634" s="38">
        <f t="shared" si="509"/>
        <v>0</v>
      </c>
      <c r="BE1634" s="38">
        <v>0</v>
      </c>
      <c r="BF1634" s="38">
        <f t="shared" si="510"/>
        <v>0</v>
      </c>
      <c r="BH1634" s="38">
        <f t="shared" si="511"/>
        <v>0</v>
      </c>
      <c r="BI1634" s="38">
        <f t="shared" si="512"/>
        <v>0</v>
      </c>
      <c r="BJ1634" s="38">
        <f t="shared" si="513"/>
        <v>0</v>
      </c>
      <c r="BK1634" s="38"/>
      <c r="BL1634" s="38"/>
      <c r="BW1634" s="38">
        <v>21</v>
      </c>
    </row>
    <row r="1635" spans="1:75" ht="27" customHeight="1">
      <c r="A1635" s="78" t="s">
        <v>3168</v>
      </c>
      <c r="B1635" s="79" t="s">
        <v>95</v>
      </c>
      <c r="C1635" s="79" t="s">
        <v>2672</v>
      </c>
      <c r="D1635" s="198" t="s">
        <v>2673</v>
      </c>
      <c r="E1635" s="199"/>
      <c r="F1635" s="79" t="s">
        <v>2567</v>
      </c>
      <c r="G1635" s="80">
        <v>5</v>
      </c>
      <c r="H1635" s="81">
        <v>0</v>
      </c>
      <c r="I1635" s="80">
        <f t="shared" si="492"/>
        <v>0</v>
      </c>
      <c r="J1635" s="80">
        <v>0</v>
      </c>
      <c r="K1635" s="80">
        <f t="shared" si="493"/>
        <v>0</v>
      </c>
      <c r="L1635" s="82" t="s">
        <v>207</v>
      </c>
      <c r="Z1635" s="38">
        <f t="shared" si="494"/>
        <v>0</v>
      </c>
      <c r="AB1635" s="38">
        <f t="shared" si="495"/>
        <v>0</v>
      </c>
      <c r="AC1635" s="38">
        <f t="shared" si="496"/>
        <v>0</v>
      </c>
      <c r="AD1635" s="38">
        <f t="shared" si="497"/>
        <v>0</v>
      </c>
      <c r="AE1635" s="38">
        <f t="shared" si="498"/>
        <v>0</v>
      </c>
      <c r="AF1635" s="38">
        <f t="shared" si="499"/>
        <v>0</v>
      </c>
      <c r="AG1635" s="38">
        <f t="shared" si="500"/>
        <v>0</v>
      </c>
      <c r="AH1635" s="38">
        <f t="shared" si="501"/>
        <v>0</v>
      </c>
      <c r="AI1635" s="50" t="s">
        <v>95</v>
      </c>
      <c r="AJ1635" s="80">
        <f t="shared" si="502"/>
        <v>0</v>
      </c>
      <c r="AK1635" s="80">
        <f t="shared" si="503"/>
        <v>0</v>
      </c>
      <c r="AL1635" s="80">
        <f t="shared" si="504"/>
        <v>0</v>
      </c>
      <c r="AN1635" s="38">
        <v>21</v>
      </c>
      <c r="AO1635" s="38">
        <f>H1635*1</f>
        <v>0</v>
      </c>
      <c r="AP1635" s="38">
        <f>H1635*(1-1)</f>
        <v>0</v>
      </c>
      <c r="AQ1635" s="83" t="s">
        <v>132</v>
      </c>
      <c r="AV1635" s="38">
        <f t="shared" si="505"/>
        <v>0</v>
      </c>
      <c r="AW1635" s="38">
        <f t="shared" si="506"/>
        <v>0</v>
      </c>
      <c r="AX1635" s="38">
        <f t="shared" si="507"/>
        <v>0</v>
      </c>
      <c r="AY1635" s="72" t="s">
        <v>3155</v>
      </c>
      <c r="AZ1635" s="72" t="s">
        <v>3013</v>
      </c>
      <c r="BA1635" s="50" t="s">
        <v>3014</v>
      </c>
      <c r="BC1635" s="38">
        <f t="shared" si="508"/>
        <v>0</v>
      </c>
      <c r="BD1635" s="38">
        <f t="shared" si="509"/>
        <v>0</v>
      </c>
      <c r="BE1635" s="38">
        <v>0</v>
      </c>
      <c r="BF1635" s="38">
        <f t="shared" si="510"/>
        <v>0</v>
      </c>
      <c r="BH1635" s="80">
        <f t="shared" si="511"/>
        <v>0</v>
      </c>
      <c r="BI1635" s="80">
        <f t="shared" si="512"/>
        <v>0</v>
      </c>
      <c r="BJ1635" s="80">
        <f t="shared" si="513"/>
        <v>0</v>
      </c>
      <c r="BK1635" s="80"/>
      <c r="BL1635" s="38"/>
      <c r="BW1635" s="38">
        <v>21</v>
      </c>
    </row>
    <row r="1636" spans="1:75" ht="27" customHeight="1">
      <c r="A1636" s="1" t="s">
        <v>3169</v>
      </c>
      <c r="B1636" s="2" t="s">
        <v>95</v>
      </c>
      <c r="C1636" s="2" t="s">
        <v>2651</v>
      </c>
      <c r="D1636" s="108" t="s">
        <v>3170</v>
      </c>
      <c r="E1636" s="103"/>
      <c r="F1636" s="2" t="s">
        <v>199</v>
      </c>
      <c r="G1636" s="38">
        <v>6</v>
      </c>
      <c r="H1636" s="70">
        <v>0</v>
      </c>
      <c r="I1636" s="38">
        <f t="shared" si="492"/>
        <v>0</v>
      </c>
      <c r="J1636" s="38">
        <v>0</v>
      </c>
      <c r="K1636" s="38">
        <f t="shared" si="493"/>
        <v>0</v>
      </c>
      <c r="L1636" s="71" t="s">
        <v>207</v>
      </c>
      <c r="Z1636" s="38">
        <f t="shared" si="494"/>
        <v>0</v>
      </c>
      <c r="AB1636" s="38">
        <f t="shared" si="495"/>
        <v>0</v>
      </c>
      <c r="AC1636" s="38">
        <f t="shared" si="496"/>
        <v>0</v>
      </c>
      <c r="AD1636" s="38">
        <f t="shared" si="497"/>
        <v>0</v>
      </c>
      <c r="AE1636" s="38">
        <f t="shared" si="498"/>
        <v>0</v>
      </c>
      <c r="AF1636" s="38">
        <f t="shared" si="499"/>
        <v>0</v>
      </c>
      <c r="AG1636" s="38">
        <f t="shared" si="500"/>
        <v>0</v>
      </c>
      <c r="AH1636" s="38">
        <f t="shared" si="501"/>
        <v>0</v>
      </c>
      <c r="AI1636" s="50" t="s">
        <v>95</v>
      </c>
      <c r="AJ1636" s="38">
        <f t="shared" si="502"/>
        <v>0</v>
      </c>
      <c r="AK1636" s="38">
        <f t="shared" si="503"/>
        <v>0</v>
      </c>
      <c r="AL1636" s="38">
        <f t="shared" si="504"/>
        <v>0</v>
      </c>
      <c r="AN1636" s="38">
        <v>21</v>
      </c>
      <c r="AO1636" s="38">
        <f>H1636*0</f>
        <v>0</v>
      </c>
      <c r="AP1636" s="38">
        <f>H1636*(1-0)</f>
        <v>0</v>
      </c>
      <c r="AQ1636" s="72" t="s">
        <v>132</v>
      </c>
      <c r="AV1636" s="38">
        <f t="shared" si="505"/>
        <v>0</v>
      </c>
      <c r="AW1636" s="38">
        <f t="shared" si="506"/>
        <v>0</v>
      </c>
      <c r="AX1636" s="38">
        <f t="shared" si="507"/>
        <v>0</v>
      </c>
      <c r="AY1636" s="72" t="s">
        <v>3155</v>
      </c>
      <c r="AZ1636" s="72" t="s">
        <v>3013</v>
      </c>
      <c r="BA1636" s="50" t="s">
        <v>3014</v>
      </c>
      <c r="BC1636" s="38">
        <f t="shared" si="508"/>
        <v>0</v>
      </c>
      <c r="BD1636" s="38">
        <f t="shared" si="509"/>
        <v>0</v>
      </c>
      <c r="BE1636" s="38">
        <v>0</v>
      </c>
      <c r="BF1636" s="38">
        <f t="shared" si="510"/>
        <v>0</v>
      </c>
      <c r="BH1636" s="38">
        <f t="shared" si="511"/>
        <v>0</v>
      </c>
      <c r="BI1636" s="38">
        <f t="shared" si="512"/>
        <v>0</v>
      </c>
      <c r="BJ1636" s="38">
        <f t="shared" si="513"/>
        <v>0</v>
      </c>
      <c r="BK1636" s="38"/>
      <c r="BL1636" s="38"/>
      <c r="BW1636" s="38">
        <v>21</v>
      </c>
    </row>
    <row r="1637" spans="1:12" ht="13.5" customHeight="1">
      <c r="A1637" s="74"/>
      <c r="D1637" s="194" t="s">
        <v>3171</v>
      </c>
      <c r="E1637" s="195"/>
      <c r="F1637" s="195"/>
      <c r="G1637" s="195"/>
      <c r="H1637" s="196"/>
      <c r="I1637" s="195"/>
      <c r="J1637" s="195"/>
      <c r="K1637" s="195"/>
      <c r="L1637" s="197"/>
    </row>
    <row r="1638" spans="1:75" ht="13.5" customHeight="1">
      <c r="A1638" s="78" t="s">
        <v>3172</v>
      </c>
      <c r="B1638" s="79" t="s">
        <v>95</v>
      </c>
      <c r="C1638" s="79" t="s">
        <v>2653</v>
      </c>
      <c r="D1638" s="198" t="s">
        <v>2654</v>
      </c>
      <c r="E1638" s="199"/>
      <c r="F1638" s="79" t="s">
        <v>2567</v>
      </c>
      <c r="G1638" s="80">
        <v>6</v>
      </c>
      <c r="H1638" s="81">
        <v>0</v>
      </c>
      <c r="I1638" s="80">
        <f>G1638*H1638</f>
        <v>0</v>
      </c>
      <c r="J1638" s="80">
        <v>0</v>
      </c>
      <c r="K1638" s="80">
        <f>G1638*J1638</f>
        <v>0</v>
      </c>
      <c r="L1638" s="82" t="s">
        <v>207</v>
      </c>
      <c r="Z1638" s="38">
        <f>IF(AQ1638="5",BJ1638,0)</f>
        <v>0</v>
      </c>
      <c r="AB1638" s="38">
        <f>IF(AQ1638="1",BH1638,0)</f>
        <v>0</v>
      </c>
      <c r="AC1638" s="38">
        <f>IF(AQ1638="1",BI1638,0)</f>
        <v>0</v>
      </c>
      <c r="AD1638" s="38">
        <f>IF(AQ1638="7",BH1638,0)</f>
        <v>0</v>
      </c>
      <c r="AE1638" s="38">
        <f>IF(AQ1638="7",BI1638,0)</f>
        <v>0</v>
      </c>
      <c r="AF1638" s="38">
        <f>IF(AQ1638="2",BH1638,0)</f>
        <v>0</v>
      </c>
      <c r="AG1638" s="38">
        <f>IF(AQ1638="2",BI1638,0)</f>
        <v>0</v>
      </c>
      <c r="AH1638" s="38">
        <f>IF(AQ1638="0",BJ1638,0)</f>
        <v>0</v>
      </c>
      <c r="AI1638" s="50" t="s">
        <v>95</v>
      </c>
      <c r="AJ1638" s="80">
        <f>IF(AN1638=0,I1638,0)</f>
        <v>0</v>
      </c>
      <c r="AK1638" s="80">
        <f>IF(AN1638=12,I1638,0)</f>
        <v>0</v>
      </c>
      <c r="AL1638" s="80">
        <f>IF(AN1638=21,I1638,0)</f>
        <v>0</v>
      </c>
      <c r="AN1638" s="38">
        <v>21</v>
      </c>
      <c r="AO1638" s="38">
        <f>H1638*1</f>
        <v>0</v>
      </c>
      <c r="AP1638" s="38">
        <f>H1638*(1-1)</f>
        <v>0</v>
      </c>
      <c r="AQ1638" s="83" t="s">
        <v>132</v>
      </c>
      <c r="AV1638" s="38">
        <f>AW1638+AX1638</f>
        <v>0</v>
      </c>
      <c r="AW1638" s="38">
        <f>G1638*AO1638</f>
        <v>0</v>
      </c>
      <c r="AX1638" s="38">
        <f>G1638*AP1638</f>
        <v>0</v>
      </c>
      <c r="AY1638" s="72" t="s">
        <v>3155</v>
      </c>
      <c r="AZ1638" s="72" t="s">
        <v>3013</v>
      </c>
      <c r="BA1638" s="50" t="s">
        <v>3014</v>
      </c>
      <c r="BC1638" s="38">
        <f>AW1638+AX1638</f>
        <v>0</v>
      </c>
      <c r="BD1638" s="38">
        <f>H1638/(100-BE1638)*100</f>
        <v>0</v>
      </c>
      <c r="BE1638" s="38">
        <v>0</v>
      </c>
      <c r="BF1638" s="38">
        <f>K1638</f>
        <v>0</v>
      </c>
      <c r="BH1638" s="80">
        <f>G1638*AO1638</f>
        <v>0</v>
      </c>
      <c r="BI1638" s="80">
        <f>G1638*AP1638</f>
        <v>0</v>
      </c>
      <c r="BJ1638" s="80">
        <f>G1638*H1638</f>
        <v>0</v>
      </c>
      <c r="BK1638" s="80"/>
      <c r="BL1638" s="38"/>
      <c r="BW1638" s="38">
        <v>21</v>
      </c>
    </row>
    <row r="1639" spans="1:75" ht="27" customHeight="1">
      <c r="A1639" s="1" t="s">
        <v>3173</v>
      </c>
      <c r="B1639" s="2" t="s">
        <v>95</v>
      </c>
      <c r="C1639" s="2" t="s">
        <v>2758</v>
      </c>
      <c r="D1639" s="108" t="s">
        <v>2759</v>
      </c>
      <c r="E1639" s="103"/>
      <c r="F1639" s="2" t="s">
        <v>189</v>
      </c>
      <c r="G1639" s="38">
        <v>0.05</v>
      </c>
      <c r="H1639" s="70">
        <v>0</v>
      </c>
      <c r="I1639" s="38">
        <f>G1639*H1639</f>
        <v>0</v>
      </c>
      <c r="J1639" s="38">
        <v>0</v>
      </c>
      <c r="K1639" s="38">
        <f>G1639*J1639</f>
        <v>0</v>
      </c>
      <c r="L1639" s="71" t="s">
        <v>207</v>
      </c>
      <c r="Z1639" s="38">
        <f>IF(AQ1639="5",BJ1639,0)</f>
        <v>0</v>
      </c>
      <c r="AB1639" s="38">
        <f>IF(AQ1639="1",BH1639,0)</f>
        <v>0</v>
      </c>
      <c r="AC1639" s="38">
        <f>IF(AQ1639="1",BI1639,0)</f>
        <v>0</v>
      </c>
      <c r="AD1639" s="38">
        <f>IF(AQ1639="7",BH1639,0)</f>
        <v>0</v>
      </c>
      <c r="AE1639" s="38">
        <f>IF(AQ1639="7",BI1639,0)</f>
        <v>0</v>
      </c>
      <c r="AF1639" s="38">
        <f>IF(AQ1639="2",BH1639,0)</f>
        <v>0</v>
      </c>
      <c r="AG1639" s="38">
        <f>IF(AQ1639="2",BI1639,0)</f>
        <v>0</v>
      </c>
      <c r="AH1639" s="38">
        <f>IF(AQ1639="0",BJ1639,0)</f>
        <v>0</v>
      </c>
      <c r="AI1639" s="50" t="s">
        <v>95</v>
      </c>
      <c r="AJ1639" s="38">
        <f>IF(AN1639=0,I1639,0)</f>
        <v>0</v>
      </c>
      <c r="AK1639" s="38">
        <f>IF(AN1639=12,I1639,0)</f>
        <v>0</v>
      </c>
      <c r="AL1639" s="38">
        <f>IF(AN1639=21,I1639,0)</f>
        <v>0</v>
      </c>
      <c r="AN1639" s="38">
        <v>21</v>
      </c>
      <c r="AO1639" s="38">
        <f>H1639*0</f>
        <v>0</v>
      </c>
      <c r="AP1639" s="38">
        <f>H1639*(1-0)</f>
        <v>0</v>
      </c>
      <c r="AQ1639" s="72" t="s">
        <v>162</v>
      </c>
      <c r="AV1639" s="38">
        <f>AW1639+AX1639</f>
        <v>0</v>
      </c>
      <c r="AW1639" s="38">
        <f>G1639*AO1639</f>
        <v>0</v>
      </c>
      <c r="AX1639" s="38">
        <f>G1639*AP1639</f>
        <v>0</v>
      </c>
      <c r="AY1639" s="72" t="s">
        <v>3155</v>
      </c>
      <c r="AZ1639" s="72" t="s">
        <v>3013</v>
      </c>
      <c r="BA1639" s="50" t="s">
        <v>3014</v>
      </c>
      <c r="BC1639" s="38">
        <f>AW1639+AX1639</f>
        <v>0</v>
      </c>
      <c r="BD1639" s="38">
        <f>H1639/(100-BE1639)*100</f>
        <v>0</v>
      </c>
      <c r="BE1639" s="38">
        <v>0</v>
      </c>
      <c r="BF1639" s="38">
        <f>K1639</f>
        <v>0</v>
      </c>
      <c r="BH1639" s="38">
        <f>G1639*AO1639</f>
        <v>0</v>
      </c>
      <c r="BI1639" s="38">
        <f>G1639*AP1639</f>
        <v>0</v>
      </c>
      <c r="BJ1639" s="38">
        <f>G1639*H1639</f>
        <v>0</v>
      </c>
      <c r="BK1639" s="38"/>
      <c r="BL1639" s="38"/>
      <c r="BW1639" s="38">
        <v>21</v>
      </c>
    </row>
    <row r="1640" spans="1:75" ht="27" customHeight="1">
      <c r="A1640" s="1" t="s">
        <v>3174</v>
      </c>
      <c r="B1640" s="2" t="s">
        <v>95</v>
      </c>
      <c r="C1640" s="2" t="s">
        <v>3175</v>
      </c>
      <c r="D1640" s="108" t="s">
        <v>3176</v>
      </c>
      <c r="E1640" s="103"/>
      <c r="F1640" s="2" t="s">
        <v>199</v>
      </c>
      <c r="G1640" s="38">
        <v>5</v>
      </c>
      <c r="H1640" s="70">
        <v>0</v>
      </c>
      <c r="I1640" s="38">
        <f>G1640*H1640</f>
        <v>0</v>
      </c>
      <c r="J1640" s="38">
        <v>0</v>
      </c>
      <c r="K1640" s="38">
        <f>G1640*J1640</f>
        <v>0</v>
      </c>
      <c r="L1640" s="71" t="s">
        <v>207</v>
      </c>
      <c r="Z1640" s="38">
        <f>IF(AQ1640="5",BJ1640,0)</f>
        <v>0</v>
      </c>
      <c r="AB1640" s="38">
        <f>IF(AQ1640="1",BH1640,0)</f>
        <v>0</v>
      </c>
      <c r="AC1640" s="38">
        <f>IF(AQ1640="1",BI1640,0)</f>
        <v>0</v>
      </c>
      <c r="AD1640" s="38">
        <f>IF(AQ1640="7",BH1640,0)</f>
        <v>0</v>
      </c>
      <c r="AE1640" s="38">
        <f>IF(AQ1640="7",BI1640,0)</f>
        <v>0</v>
      </c>
      <c r="AF1640" s="38">
        <f>IF(AQ1640="2",BH1640,0)</f>
        <v>0</v>
      </c>
      <c r="AG1640" s="38">
        <f>IF(AQ1640="2",BI1640,0)</f>
        <v>0</v>
      </c>
      <c r="AH1640" s="38">
        <f>IF(AQ1640="0",BJ1640,0)</f>
        <v>0</v>
      </c>
      <c r="AI1640" s="50" t="s">
        <v>95</v>
      </c>
      <c r="AJ1640" s="38">
        <f>IF(AN1640=0,I1640,0)</f>
        <v>0</v>
      </c>
      <c r="AK1640" s="38">
        <f>IF(AN1640=12,I1640,0)</f>
        <v>0</v>
      </c>
      <c r="AL1640" s="38">
        <f>IF(AN1640=21,I1640,0)</f>
        <v>0</v>
      </c>
      <c r="AN1640" s="38">
        <v>21</v>
      </c>
      <c r="AO1640" s="38">
        <f>H1640*0</f>
        <v>0</v>
      </c>
      <c r="AP1640" s="38">
        <f>H1640*(1-0)</f>
        <v>0</v>
      </c>
      <c r="AQ1640" s="72" t="s">
        <v>132</v>
      </c>
      <c r="AV1640" s="38">
        <f>AW1640+AX1640</f>
        <v>0</v>
      </c>
      <c r="AW1640" s="38">
        <f>G1640*AO1640</f>
        <v>0</v>
      </c>
      <c r="AX1640" s="38">
        <f>G1640*AP1640</f>
        <v>0</v>
      </c>
      <c r="AY1640" s="72" t="s">
        <v>3155</v>
      </c>
      <c r="AZ1640" s="72" t="s">
        <v>3013</v>
      </c>
      <c r="BA1640" s="50" t="s">
        <v>3014</v>
      </c>
      <c r="BC1640" s="38">
        <f>AW1640+AX1640</f>
        <v>0</v>
      </c>
      <c r="BD1640" s="38">
        <f>H1640/(100-BE1640)*100</f>
        <v>0</v>
      </c>
      <c r="BE1640" s="38">
        <v>0</v>
      </c>
      <c r="BF1640" s="38">
        <f>K1640</f>
        <v>0</v>
      </c>
      <c r="BH1640" s="38">
        <f>G1640*AO1640</f>
        <v>0</v>
      </c>
      <c r="BI1640" s="38">
        <f>G1640*AP1640</f>
        <v>0</v>
      </c>
      <c r="BJ1640" s="38">
        <f>G1640*H1640</f>
        <v>0</v>
      </c>
      <c r="BK1640" s="38"/>
      <c r="BL1640" s="38"/>
      <c r="BW1640" s="38">
        <v>21</v>
      </c>
    </row>
    <row r="1641" spans="1:12" ht="13.5" customHeight="1">
      <c r="A1641" s="74"/>
      <c r="D1641" s="194" t="s">
        <v>3177</v>
      </c>
      <c r="E1641" s="195"/>
      <c r="F1641" s="195"/>
      <c r="G1641" s="195"/>
      <c r="H1641" s="196"/>
      <c r="I1641" s="195"/>
      <c r="J1641" s="195"/>
      <c r="K1641" s="195"/>
      <c r="L1641" s="197"/>
    </row>
    <row r="1642" spans="1:75" ht="27" customHeight="1">
      <c r="A1642" s="1" t="s">
        <v>3178</v>
      </c>
      <c r="B1642" s="2" t="s">
        <v>95</v>
      </c>
      <c r="C1642" s="2" t="s">
        <v>3033</v>
      </c>
      <c r="D1642" s="108" t="s">
        <v>3034</v>
      </c>
      <c r="E1642" s="103"/>
      <c r="F1642" s="2" t="s">
        <v>199</v>
      </c>
      <c r="G1642" s="38">
        <v>5</v>
      </c>
      <c r="H1642" s="70">
        <v>0</v>
      </c>
      <c r="I1642" s="38">
        <f>G1642*H1642</f>
        <v>0</v>
      </c>
      <c r="J1642" s="38">
        <v>0</v>
      </c>
      <c r="K1642" s="38">
        <f>G1642*J1642</f>
        <v>0</v>
      </c>
      <c r="L1642" s="71" t="s">
        <v>207</v>
      </c>
      <c r="Z1642" s="38">
        <f>IF(AQ1642="5",BJ1642,0)</f>
        <v>0</v>
      </c>
      <c r="AB1642" s="38">
        <f>IF(AQ1642="1",BH1642,0)</f>
        <v>0</v>
      </c>
      <c r="AC1642" s="38">
        <f>IF(AQ1642="1",BI1642,0)</f>
        <v>0</v>
      </c>
      <c r="AD1642" s="38">
        <f>IF(AQ1642="7",BH1642,0)</f>
        <v>0</v>
      </c>
      <c r="AE1642" s="38">
        <f>IF(AQ1642="7",BI1642,0)</f>
        <v>0</v>
      </c>
      <c r="AF1642" s="38">
        <f>IF(AQ1642="2",BH1642,0)</f>
        <v>0</v>
      </c>
      <c r="AG1642" s="38">
        <f>IF(AQ1642="2",BI1642,0)</f>
        <v>0</v>
      </c>
      <c r="AH1642" s="38">
        <f>IF(AQ1642="0",BJ1642,0)</f>
        <v>0</v>
      </c>
      <c r="AI1642" s="50" t="s">
        <v>95</v>
      </c>
      <c r="AJ1642" s="38">
        <f>IF(AN1642=0,I1642,0)</f>
        <v>0</v>
      </c>
      <c r="AK1642" s="38">
        <f>IF(AN1642=12,I1642,0)</f>
        <v>0</v>
      </c>
      <c r="AL1642" s="38">
        <f>IF(AN1642=21,I1642,0)</f>
        <v>0</v>
      </c>
      <c r="AN1642" s="38">
        <v>21</v>
      </c>
      <c r="AO1642" s="38">
        <f>H1642*0</f>
        <v>0</v>
      </c>
      <c r="AP1642" s="38">
        <f>H1642*(1-0)</f>
        <v>0</v>
      </c>
      <c r="AQ1642" s="72" t="s">
        <v>132</v>
      </c>
      <c r="AV1642" s="38">
        <f>AW1642+AX1642</f>
        <v>0</v>
      </c>
      <c r="AW1642" s="38">
        <f>G1642*AO1642</f>
        <v>0</v>
      </c>
      <c r="AX1642" s="38">
        <f>G1642*AP1642</f>
        <v>0</v>
      </c>
      <c r="AY1642" s="72" t="s">
        <v>3155</v>
      </c>
      <c r="AZ1642" s="72" t="s">
        <v>3013</v>
      </c>
      <c r="BA1642" s="50" t="s">
        <v>3014</v>
      </c>
      <c r="BC1642" s="38">
        <f>AW1642+AX1642</f>
        <v>0</v>
      </c>
      <c r="BD1642" s="38">
        <f>H1642/(100-BE1642)*100</f>
        <v>0</v>
      </c>
      <c r="BE1642" s="38">
        <v>0</v>
      </c>
      <c r="BF1642" s="38">
        <f>K1642</f>
        <v>0</v>
      </c>
      <c r="BH1642" s="38">
        <f>G1642*AO1642</f>
        <v>0</v>
      </c>
      <c r="BI1642" s="38">
        <f>G1642*AP1642</f>
        <v>0</v>
      </c>
      <c r="BJ1642" s="38">
        <f>G1642*H1642</f>
        <v>0</v>
      </c>
      <c r="BK1642" s="38"/>
      <c r="BL1642" s="38"/>
      <c r="BW1642" s="38">
        <v>21</v>
      </c>
    </row>
    <row r="1643" spans="1:75" ht="27" customHeight="1">
      <c r="A1643" s="78" t="s">
        <v>3179</v>
      </c>
      <c r="B1643" s="79" t="s">
        <v>95</v>
      </c>
      <c r="C1643" s="79" t="s">
        <v>3180</v>
      </c>
      <c r="D1643" s="198" t="s">
        <v>3181</v>
      </c>
      <c r="E1643" s="199"/>
      <c r="F1643" s="79" t="s">
        <v>2567</v>
      </c>
      <c r="G1643" s="80">
        <v>5</v>
      </c>
      <c r="H1643" s="81">
        <v>0</v>
      </c>
      <c r="I1643" s="80">
        <f>G1643*H1643</f>
        <v>0</v>
      </c>
      <c r="J1643" s="80">
        <v>0</v>
      </c>
      <c r="K1643" s="80">
        <f>G1643*J1643</f>
        <v>0</v>
      </c>
      <c r="L1643" s="82" t="s">
        <v>207</v>
      </c>
      <c r="Z1643" s="38">
        <f>IF(AQ1643="5",BJ1643,0)</f>
        <v>0</v>
      </c>
      <c r="AB1643" s="38">
        <f>IF(AQ1643="1",BH1643,0)</f>
        <v>0</v>
      </c>
      <c r="AC1643" s="38">
        <f>IF(AQ1643="1",BI1643,0)</f>
        <v>0</v>
      </c>
      <c r="AD1643" s="38">
        <f>IF(AQ1643="7",BH1643,0)</f>
        <v>0</v>
      </c>
      <c r="AE1643" s="38">
        <f>IF(AQ1643="7",BI1643,0)</f>
        <v>0</v>
      </c>
      <c r="AF1643" s="38">
        <f>IF(AQ1643="2",BH1643,0)</f>
        <v>0</v>
      </c>
      <c r="AG1643" s="38">
        <f>IF(AQ1643="2",BI1643,0)</f>
        <v>0</v>
      </c>
      <c r="AH1643" s="38">
        <f>IF(AQ1643="0",BJ1643,0)</f>
        <v>0</v>
      </c>
      <c r="AI1643" s="50" t="s">
        <v>95</v>
      </c>
      <c r="AJ1643" s="80">
        <f>IF(AN1643=0,I1643,0)</f>
        <v>0</v>
      </c>
      <c r="AK1643" s="80">
        <f>IF(AN1643=12,I1643,0)</f>
        <v>0</v>
      </c>
      <c r="AL1643" s="80">
        <f>IF(AN1643=21,I1643,0)</f>
        <v>0</v>
      </c>
      <c r="AN1643" s="38">
        <v>21</v>
      </c>
      <c r="AO1643" s="38">
        <f>H1643*1</f>
        <v>0</v>
      </c>
      <c r="AP1643" s="38">
        <f>H1643*(1-1)</f>
        <v>0</v>
      </c>
      <c r="AQ1643" s="83" t="s">
        <v>132</v>
      </c>
      <c r="AV1643" s="38">
        <f>AW1643+AX1643</f>
        <v>0</v>
      </c>
      <c r="AW1643" s="38">
        <f>G1643*AO1643</f>
        <v>0</v>
      </c>
      <c r="AX1643" s="38">
        <f>G1643*AP1643</f>
        <v>0</v>
      </c>
      <c r="AY1643" s="72" t="s">
        <v>3155</v>
      </c>
      <c r="AZ1643" s="72" t="s">
        <v>3013</v>
      </c>
      <c r="BA1643" s="50" t="s">
        <v>3014</v>
      </c>
      <c r="BC1643" s="38">
        <f>AW1643+AX1643</f>
        <v>0</v>
      </c>
      <c r="BD1643" s="38">
        <f>H1643/(100-BE1643)*100</f>
        <v>0</v>
      </c>
      <c r="BE1643" s="38">
        <v>0</v>
      </c>
      <c r="BF1643" s="38">
        <f>K1643</f>
        <v>0</v>
      </c>
      <c r="BH1643" s="80">
        <f>G1643*AO1643</f>
        <v>0</v>
      </c>
      <c r="BI1643" s="80">
        <f>G1643*AP1643</f>
        <v>0</v>
      </c>
      <c r="BJ1643" s="80">
        <f>G1643*H1643</f>
        <v>0</v>
      </c>
      <c r="BK1643" s="80"/>
      <c r="BL1643" s="38"/>
      <c r="BW1643" s="38">
        <v>21</v>
      </c>
    </row>
    <row r="1644" spans="1:75" ht="13.5" customHeight="1">
      <c r="A1644" s="78" t="s">
        <v>3182</v>
      </c>
      <c r="B1644" s="79" t="s">
        <v>95</v>
      </c>
      <c r="C1644" s="79" t="s">
        <v>2569</v>
      </c>
      <c r="D1644" s="198" t="s">
        <v>2570</v>
      </c>
      <c r="E1644" s="199"/>
      <c r="F1644" s="79" t="s">
        <v>2567</v>
      </c>
      <c r="G1644" s="80">
        <v>5</v>
      </c>
      <c r="H1644" s="81">
        <v>0</v>
      </c>
      <c r="I1644" s="80">
        <f>G1644*H1644</f>
        <v>0</v>
      </c>
      <c r="J1644" s="80">
        <v>0</v>
      </c>
      <c r="K1644" s="80">
        <f>G1644*J1644</f>
        <v>0</v>
      </c>
      <c r="L1644" s="82" t="s">
        <v>207</v>
      </c>
      <c r="Z1644" s="38">
        <f>IF(AQ1644="5",BJ1644,0)</f>
        <v>0</v>
      </c>
      <c r="AB1644" s="38">
        <f>IF(AQ1644="1",BH1644,0)</f>
        <v>0</v>
      </c>
      <c r="AC1644" s="38">
        <f>IF(AQ1644="1",BI1644,0)</f>
        <v>0</v>
      </c>
      <c r="AD1644" s="38">
        <f>IF(AQ1644="7",BH1644,0)</f>
        <v>0</v>
      </c>
      <c r="AE1644" s="38">
        <f>IF(AQ1644="7",BI1644,0)</f>
        <v>0</v>
      </c>
      <c r="AF1644" s="38">
        <f>IF(AQ1644="2",BH1644,0)</f>
        <v>0</v>
      </c>
      <c r="AG1644" s="38">
        <f>IF(AQ1644="2",BI1644,0)</f>
        <v>0</v>
      </c>
      <c r="AH1644" s="38">
        <f>IF(AQ1644="0",BJ1644,0)</f>
        <v>0</v>
      </c>
      <c r="AI1644" s="50" t="s">
        <v>95</v>
      </c>
      <c r="AJ1644" s="80">
        <f>IF(AN1644=0,I1644,0)</f>
        <v>0</v>
      </c>
      <c r="AK1644" s="80">
        <f>IF(AN1644=12,I1644,0)</f>
        <v>0</v>
      </c>
      <c r="AL1644" s="80">
        <f>IF(AN1644=21,I1644,0)</f>
        <v>0</v>
      </c>
      <c r="AN1644" s="38">
        <v>21</v>
      </c>
      <c r="AO1644" s="38">
        <f>H1644*1</f>
        <v>0</v>
      </c>
      <c r="AP1644" s="38">
        <f>H1644*(1-1)</f>
        <v>0</v>
      </c>
      <c r="AQ1644" s="83" t="s">
        <v>132</v>
      </c>
      <c r="AV1644" s="38">
        <f>AW1644+AX1644</f>
        <v>0</v>
      </c>
      <c r="AW1644" s="38">
        <f>G1644*AO1644</f>
        <v>0</v>
      </c>
      <c r="AX1644" s="38">
        <f>G1644*AP1644</f>
        <v>0</v>
      </c>
      <c r="AY1644" s="72" t="s">
        <v>3155</v>
      </c>
      <c r="AZ1644" s="72" t="s">
        <v>3013</v>
      </c>
      <c r="BA1644" s="50" t="s">
        <v>3014</v>
      </c>
      <c r="BC1644" s="38">
        <f>AW1644+AX1644</f>
        <v>0</v>
      </c>
      <c r="BD1644" s="38">
        <f>H1644/(100-BE1644)*100</f>
        <v>0</v>
      </c>
      <c r="BE1644" s="38">
        <v>0</v>
      </c>
      <c r="BF1644" s="38">
        <f>K1644</f>
        <v>0</v>
      </c>
      <c r="BH1644" s="80">
        <f>G1644*AO1644</f>
        <v>0</v>
      </c>
      <c r="BI1644" s="80">
        <f>G1644*AP1644</f>
        <v>0</v>
      </c>
      <c r="BJ1644" s="80">
        <f>G1644*H1644</f>
        <v>0</v>
      </c>
      <c r="BK1644" s="80"/>
      <c r="BL1644" s="38"/>
      <c r="BW1644" s="38">
        <v>21</v>
      </c>
    </row>
    <row r="1645" spans="1:75" ht="13.5" customHeight="1">
      <c r="A1645" s="1" t="s">
        <v>3183</v>
      </c>
      <c r="B1645" s="2" t="s">
        <v>95</v>
      </c>
      <c r="C1645" s="2" t="s">
        <v>3184</v>
      </c>
      <c r="D1645" s="108" t="s">
        <v>3185</v>
      </c>
      <c r="E1645" s="103"/>
      <c r="F1645" s="2" t="s">
        <v>199</v>
      </c>
      <c r="G1645" s="38">
        <v>5</v>
      </c>
      <c r="H1645" s="70">
        <v>0</v>
      </c>
      <c r="I1645" s="38">
        <f>G1645*H1645</f>
        <v>0</v>
      </c>
      <c r="J1645" s="38">
        <v>0</v>
      </c>
      <c r="K1645" s="38">
        <f>G1645*J1645</f>
        <v>0</v>
      </c>
      <c r="L1645" s="71" t="s">
        <v>207</v>
      </c>
      <c r="Z1645" s="38">
        <f>IF(AQ1645="5",BJ1645,0)</f>
        <v>0</v>
      </c>
      <c r="AB1645" s="38">
        <f>IF(AQ1645="1",BH1645,0)</f>
        <v>0</v>
      </c>
      <c r="AC1645" s="38">
        <f>IF(AQ1645="1",BI1645,0)</f>
        <v>0</v>
      </c>
      <c r="AD1645" s="38">
        <f>IF(AQ1645="7",BH1645,0)</f>
        <v>0</v>
      </c>
      <c r="AE1645" s="38">
        <f>IF(AQ1645="7",BI1645,0)</f>
        <v>0</v>
      </c>
      <c r="AF1645" s="38">
        <f>IF(AQ1645="2",BH1645,0)</f>
        <v>0</v>
      </c>
      <c r="AG1645" s="38">
        <f>IF(AQ1645="2",BI1645,0)</f>
        <v>0</v>
      </c>
      <c r="AH1645" s="38">
        <f>IF(AQ1645="0",BJ1645,0)</f>
        <v>0</v>
      </c>
      <c r="AI1645" s="50" t="s">
        <v>95</v>
      </c>
      <c r="AJ1645" s="38">
        <f>IF(AN1645=0,I1645,0)</f>
        <v>0</v>
      </c>
      <c r="AK1645" s="38">
        <f>IF(AN1645=12,I1645,0)</f>
        <v>0</v>
      </c>
      <c r="AL1645" s="38">
        <f>IF(AN1645=21,I1645,0)</f>
        <v>0</v>
      </c>
      <c r="AN1645" s="38">
        <v>21</v>
      </c>
      <c r="AO1645" s="38">
        <f>H1645*0</f>
        <v>0</v>
      </c>
      <c r="AP1645" s="38">
        <f>H1645*(1-0)</f>
        <v>0</v>
      </c>
      <c r="AQ1645" s="72" t="s">
        <v>143</v>
      </c>
      <c r="AV1645" s="38">
        <f>AW1645+AX1645</f>
        <v>0</v>
      </c>
      <c r="AW1645" s="38">
        <f>G1645*AO1645</f>
        <v>0</v>
      </c>
      <c r="AX1645" s="38">
        <f>G1645*AP1645</f>
        <v>0</v>
      </c>
      <c r="AY1645" s="72" t="s">
        <v>3155</v>
      </c>
      <c r="AZ1645" s="72" t="s">
        <v>3013</v>
      </c>
      <c r="BA1645" s="50" t="s">
        <v>3014</v>
      </c>
      <c r="BC1645" s="38">
        <f>AW1645+AX1645</f>
        <v>0</v>
      </c>
      <c r="BD1645" s="38">
        <f>H1645/(100-BE1645)*100</f>
        <v>0</v>
      </c>
      <c r="BE1645" s="38">
        <v>0</v>
      </c>
      <c r="BF1645" s="38">
        <f>K1645</f>
        <v>0</v>
      </c>
      <c r="BH1645" s="38">
        <f>G1645*AO1645</f>
        <v>0</v>
      </c>
      <c r="BI1645" s="38">
        <f>G1645*AP1645</f>
        <v>0</v>
      </c>
      <c r="BJ1645" s="38">
        <f>G1645*H1645</f>
        <v>0</v>
      </c>
      <c r="BK1645" s="38"/>
      <c r="BL1645" s="38"/>
      <c r="BW1645" s="38">
        <v>21</v>
      </c>
    </row>
    <row r="1646" spans="1:12" ht="13.5" customHeight="1">
      <c r="A1646" s="74"/>
      <c r="D1646" s="194" t="s">
        <v>3186</v>
      </c>
      <c r="E1646" s="195"/>
      <c r="F1646" s="195"/>
      <c r="G1646" s="195"/>
      <c r="H1646" s="196"/>
      <c r="I1646" s="195"/>
      <c r="J1646" s="195"/>
      <c r="K1646" s="195"/>
      <c r="L1646" s="197"/>
    </row>
    <row r="1647" spans="1:75" ht="27" customHeight="1">
      <c r="A1647" s="78" t="s">
        <v>3187</v>
      </c>
      <c r="B1647" s="79" t="s">
        <v>95</v>
      </c>
      <c r="C1647" s="79" t="s">
        <v>3188</v>
      </c>
      <c r="D1647" s="198" t="s">
        <v>3189</v>
      </c>
      <c r="E1647" s="199"/>
      <c r="F1647" s="79" t="s">
        <v>2567</v>
      </c>
      <c r="G1647" s="80">
        <v>5</v>
      </c>
      <c r="H1647" s="81">
        <v>0</v>
      </c>
      <c r="I1647" s="80">
        <f>G1647*H1647</f>
        <v>0</v>
      </c>
      <c r="J1647" s="80">
        <v>0</v>
      </c>
      <c r="K1647" s="80">
        <f>G1647*J1647</f>
        <v>0</v>
      </c>
      <c r="L1647" s="82" t="s">
        <v>207</v>
      </c>
      <c r="Z1647" s="38">
        <f>IF(AQ1647="5",BJ1647,0)</f>
        <v>0</v>
      </c>
      <c r="AB1647" s="38">
        <f>IF(AQ1647="1",BH1647,0)</f>
        <v>0</v>
      </c>
      <c r="AC1647" s="38">
        <f>IF(AQ1647="1",BI1647,0)</f>
        <v>0</v>
      </c>
      <c r="AD1647" s="38">
        <f>IF(AQ1647="7",BH1647,0)</f>
        <v>0</v>
      </c>
      <c r="AE1647" s="38">
        <f>IF(AQ1647="7",BI1647,0)</f>
        <v>0</v>
      </c>
      <c r="AF1647" s="38">
        <f>IF(AQ1647="2",BH1647,0)</f>
        <v>0</v>
      </c>
      <c r="AG1647" s="38">
        <f>IF(AQ1647="2",BI1647,0)</f>
        <v>0</v>
      </c>
      <c r="AH1647" s="38">
        <f>IF(AQ1647="0",BJ1647,0)</f>
        <v>0</v>
      </c>
      <c r="AI1647" s="50" t="s">
        <v>95</v>
      </c>
      <c r="AJ1647" s="80">
        <f>IF(AN1647=0,I1647,0)</f>
        <v>0</v>
      </c>
      <c r="AK1647" s="80">
        <f>IF(AN1647=12,I1647,0)</f>
        <v>0</v>
      </c>
      <c r="AL1647" s="80">
        <f>IF(AN1647=21,I1647,0)</f>
        <v>0</v>
      </c>
      <c r="AN1647" s="38">
        <v>21</v>
      </c>
      <c r="AO1647" s="38">
        <f>H1647*1</f>
        <v>0</v>
      </c>
      <c r="AP1647" s="38">
        <f>H1647*(1-1)</f>
        <v>0</v>
      </c>
      <c r="AQ1647" s="83" t="s">
        <v>132</v>
      </c>
      <c r="AV1647" s="38">
        <f>AW1647+AX1647</f>
        <v>0</v>
      </c>
      <c r="AW1647" s="38">
        <f>G1647*AO1647</f>
        <v>0</v>
      </c>
      <c r="AX1647" s="38">
        <f>G1647*AP1647</f>
        <v>0</v>
      </c>
      <c r="AY1647" s="72" t="s">
        <v>3155</v>
      </c>
      <c r="AZ1647" s="72" t="s">
        <v>3013</v>
      </c>
      <c r="BA1647" s="50" t="s">
        <v>3014</v>
      </c>
      <c r="BC1647" s="38">
        <f>AW1647+AX1647</f>
        <v>0</v>
      </c>
      <c r="BD1647" s="38">
        <f>H1647/(100-BE1647)*100</f>
        <v>0</v>
      </c>
      <c r="BE1647" s="38">
        <v>0</v>
      </c>
      <c r="BF1647" s="38">
        <f>K1647</f>
        <v>0</v>
      </c>
      <c r="BH1647" s="80">
        <f>G1647*AO1647</f>
        <v>0</v>
      </c>
      <c r="BI1647" s="80">
        <f>G1647*AP1647</f>
        <v>0</v>
      </c>
      <c r="BJ1647" s="80">
        <f>G1647*H1647</f>
        <v>0</v>
      </c>
      <c r="BK1647" s="80"/>
      <c r="BL1647" s="38"/>
      <c r="BW1647" s="38">
        <v>21</v>
      </c>
    </row>
    <row r="1648" spans="1:75" ht="13.5" customHeight="1">
      <c r="A1648" s="1" t="s">
        <v>3190</v>
      </c>
      <c r="B1648" s="2" t="s">
        <v>95</v>
      </c>
      <c r="C1648" s="2" t="s">
        <v>2817</v>
      </c>
      <c r="D1648" s="108" t="s">
        <v>2818</v>
      </c>
      <c r="E1648" s="103"/>
      <c r="F1648" s="2" t="s">
        <v>2286</v>
      </c>
      <c r="G1648" s="38">
        <v>3</v>
      </c>
      <c r="H1648" s="70">
        <v>0</v>
      </c>
      <c r="I1648" s="38">
        <f>G1648*H1648</f>
        <v>0</v>
      </c>
      <c r="J1648" s="38">
        <v>0</v>
      </c>
      <c r="K1648" s="38">
        <f>G1648*J1648</f>
        <v>0</v>
      </c>
      <c r="L1648" s="71" t="s">
        <v>207</v>
      </c>
      <c r="Z1648" s="38">
        <f>IF(AQ1648="5",BJ1648,0)</f>
        <v>0</v>
      </c>
      <c r="AB1648" s="38">
        <f>IF(AQ1648="1",BH1648,0)</f>
        <v>0</v>
      </c>
      <c r="AC1648" s="38">
        <f>IF(AQ1648="1",BI1648,0)</f>
        <v>0</v>
      </c>
      <c r="AD1648" s="38">
        <f>IF(AQ1648="7",BH1648,0)</f>
        <v>0</v>
      </c>
      <c r="AE1648" s="38">
        <f>IF(AQ1648="7",BI1648,0)</f>
        <v>0</v>
      </c>
      <c r="AF1648" s="38">
        <f>IF(AQ1648="2",BH1648,0)</f>
        <v>0</v>
      </c>
      <c r="AG1648" s="38">
        <f>IF(AQ1648="2",BI1648,0)</f>
        <v>0</v>
      </c>
      <c r="AH1648" s="38">
        <f>IF(AQ1648="0",BJ1648,0)</f>
        <v>0</v>
      </c>
      <c r="AI1648" s="50" t="s">
        <v>95</v>
      </c>
      <c r="AJ1648" s="38">
        <f>IF(AN1648=0,I1648,0)</f>
        <v>0</v>
      </c>
      <c r="AK1648" s="38">
        <f>IF(AN1648=12,I1648,0)</f>
        <v>0</v>
      </c>
      <c r="AL1648" s="38">
        <f>IF(AN1648=21,I1648,0)</f>
        <v>0</v>
      </c>
      <c r="AN1648" s="38">
        <v>21</v>
      </c>
      <c r="AO1648" s="38">
        <f>H1648*0</f>
        <v>0</v>
      </c>
      <c r="AP1648" s="38">
        <f>H1648*(1-0)</f>
        <v>0</v>
      </c>
      <c r="AQ1648" s="72" t="s">
        <v>132</v>
      </c>
      <c r="AV1648" s="38">
        <f>AW1648+AX1648</f>
        <v>0</v>
      </c>
      <c r="AW1648" s="38">
        <f>G1648*AO1648</f>
        <v>0</v>
      </c>
      <c r="AX1648" s="38">
        <f>G1648*AP1648</f>
        <v>0</v>
      </c>
      <c r="AY1648" s="72" t="s">
        <v>3155</v>
      </c>
      <c r="AZ1648" s="72" t="s">
        <v>3013</v>
      </c>
      <c r="BA1648" s="50" t="s">
        <v>3014</v>
      </c>
      <c r="BC1648" s="38">
        <f>AW1648+AX1648</f>
        <v>0</v>
      </c>
      <c r="BD1648" s="38">
        <f>H1648/(100-BE1648)*100</f>
        <v>0</v>
      </c>
      <c r="BE1648" s="38">
        <v>0</v>
      </c>
      <c r="BF1648" s="38">
        <f>K1648</f>
        <v>0</v>
      </c>
      <c r="BH1648" s="38">
        <f>G1648*AO1648</f>
        <v>0</v>
      </c>
      <c r="BI1648" s="38">
        <f>G1648*AP1648</f>
        <v>0</v>
      </c>
      <c r="BJ1648" s="38">
        <f>G1648*H1648</f>
        <v>0</v>
      </c>
      <c r="BK1648" s="38"/>
      <c r="BL1648" s="38"/>
      <c r="BW1648" s="38">
        <v>21</v>
      </c>
    </row>
    <row r="1649" spans="1:12" ht="13.5" customHeight="1">
      <c r="A1649" s="74"/>
      <c r="D1649" s="194" t="s">
        <v>2819</v>
      </c>
      <c r="E1649" s="195"/>
      <c r="F1649" s="195"/>
      <c r="G1649" s="195"/>
      <c r="H1649" s="196"/>
      <c r="I1649" s="195"/>
      <c r="J1649" s="195"/>
      <c r="K1649" s="195"/>
      <c r="L1649" s="197"/>
    </row>
    <row r="1650" spans="1:75" ht="13.5" customHeight="1">
      <c r="A1650" s="78" t="s">
        <v>3191</v>
      </c>
      <c r="B1650" s="79" t="s">
        <v>95</v>
      </c>
      <c r="C1650" s="79" t="s">
        <v>3049</v>
      </c>
      <c r="D1650" s="198" t="s">
        <v>2822</v>
      </c>
      <c r="E1650" s="199"/>
      <c r="F1650" s="79" t="s">
        <v>2823</v>
      </c>
      <c r="G1650" s="80">
        <v>1</v>
      </c>
      <c r="H1650" s="81">
        <v>0</v>
      </c>
      <c r="I1650" s="80">
        <f>G1650*H1650</f>
        <v>0</v>
      </c>
      <c r="J1650" s="80">
        <v>0</v>
      </c>
      <c r="K1650" s="80">
        <f>G1650*J1650</f>
        <v>0</v>
      </c>
      <c r="L1650" s="82" t="s">
        <v>207</v>
      </c>
      <c r="Z1650" s="38">
        <f>IF(AQ1650="5",BJ1650,0)</f>
        <v>0</v>
      </c>
      <c r="AB1650" s="38">
        <f>IF(AQ1650="1",BH1650,0)</f>
        <v>0</v>
      </c>
      <c r="AC1650" s="38">
        <f>IF(AQ1650="1",BI1650,0)</f>
        <v>0</v>
      </c>
      <c r="AD1650" s="38">
        <f>IF(AQ1650="7",BH1650,0)</f>
        <v>0</v>
      </c>
      <c r="AE1650" s="38">
        <f>IF(AQ1650="7",BI1650,0)</f>
        <v>0</v>
      </c>
      <c r="AF1650" s="38">
        <f>IF(AQ1650="2",BH1650,0)</f>
        <v>0</v>
      </c>
      <c r="AG1650" s="38">
        <f>IF(AQ1650="2",BI1650,0)</f>
        <v>0</v>
      </c>
      <c r="AH1650" s="38">
        <f>IF(AQ1650="0",BJ1650,0)</f>
        <v>0</v>
      </c>
      <c r="AI1650" s="50" t="s">
        <v>95</v>
      </c>
      <c r="AJ1650" s="80">
        <f>IF(AN1650=0,I1650,0)</f>
        <v>0</v>
      </c>
      <c r="AK1650" s="80">
        <f>IF(AN1650=12,I1650,0)</f>
        <v>0</v>
      </c>
      <c r="AL1650" s="80">
        <f>IF(AN1650=21,I1650,0)</f>
        <v>0</v>
      </c>
      <c r="AN1650" s="38">
        <v>21</v>
      </c>
      <c r="AO1650" s="38">
        <f>H1650*1</f>
        <v>0</v>
      </c>
      <c r="AP1650" s="38">
        <f>H1650*(1-1)</f>
        <v>0</v>
      </c>
      <c r="AQ1650" s="83" t="s">
        <v>132</v>
      </c>
      <c r="AV1650" s="38">
        <f>AW1650+AX1650</f>
        <v>0</v>
      </c>
      <c r="AW1650" s="38">
        <f>G1650*AO1650</f>
        <v>0</v>
      </c>
      <c r="AX1650" s="38">
        <f>G1650*AP1650</f>
        <v>0</v>
      </c>
      <c r="AY1650" s="72" t="s">
        <v>3155</v>
      </c>
      <c r="AZ1650" s="72" t="s">
        <v>3013</v>
      </c>
      <c r="BA1650" s="50" t="s">
        <v>3014</v>
      </c>
      <c r="BC1650" s="38">
        <f>AW1650+AX1650</f>
        <v>0</v>
      </c>
      <c r="BD1650" s="38">
        <f>H1650/(100-BE1650)*100</f>
        <v>0</v>
      </c>
      <c r="BE1650" s="38">
        <v>0</v>
      </c>
      <c r="BF1650" s="38">
        <f>K1650</f>
        <v>0</v>
      </c>
      <c r="BH1650" s="80">
        <f>G1650*AO1650</f>
        <v>0</v>
      </c>
      <c r="BI1650" s="80">
        <f>G1650*AP1650</f>
        <v>0</v>
      </c>
      <c r="BJ1650" s="80">
        <f>G1650*H1650</f>
        <v>0</v>
      </c>
      <c r="BK1650" s="80"/>
      <c r="BL1650" s="38"/>
      <c r="BW1650" s="38">
        <v>21</v>
      </c>
    </row>
    <row r="1651" spans="1:47" ht="15">
      <c r="A1651" s="65" t="s">
        <v>4</v>
      </c>
      <c r="B1651" s="66" t="s">
        <v>95</v>
      </c>
      <c r="C1651" s="66" t="s">
        <v>2661</v>
      </c>
      <c r="D1651" s="192" t="s">
        <v>2989</v>
      </c>
      <c r="E1651" s="193"/>
      <c r="F1651" s="67" t="s">
        <v>78</v>
      </c>
      <c r="G1651" s="67" t="s">
        <v>78</v>
      </c>
      <c r="H1651" s="68" t="s">
        <v>78</v>
      </c>
      <c r="I1651" s="44">
        <f>SUM(I1652:I1658)</f>
        <v>0</v>
      </c>
      <c r="J1651" s="50" t="s">
        <v>4</v>
      </c>
      <c r="K1651" s="44">
        <f>SUM(K1652:K1658)</f>
        <v>0</v>
      </c>
      <c r="L1651" s="69" t="s">
        <v>4</v>
      </c>
      <c r="AI1651" s="50" t="s">
        <v>95</v>
      </c>
      <c r="AS1651" s="44">
        <f>SUM(AJ1652:AJ1658)</f>
        <v>0</v>
      </c>
      <c r="AT1651" s="44">
        <f>SUM(AK1652:AK1658)</f>
        <v>0</v>
      </c>
      <c r="AU1651" s="44">
        <f>SUM(AL1652:AL1658)</f>
        <v>0</v>
      </c>
    </row>
    <row r="1652" spans="1:75" ht="27" customHeight="1">
      <c r="A1652" s="1" t="s">
        <v>3192</v>
      </c>
      <c r="B1652" s="2" t="s">
        <v>95</v>
      </c>
      <c r="C1652" s="2" t="s">
        <v>2995</v>
      </c>
      <c r="D1652" s="108" t="s">
        <v>2996</v>
      </c>
      <c r="E1652" s="103"/>
      <c r="F1652" s="2" t="s">
        <v>199</v>
      </c>
      <c r="G1652" s="38">
        <v>39</v>
      </c>
      <c r="H1652" s="70">
        <v>0</v>
      </c>
      <c r="I1652" s="38">
        <f>G1652*H1652</f>
        <v>0</v>
      </c>
      <c r="J1652" s="38">
        <v>0</v>
      </c>
      <c r="K1652" s="38">
        <f>G1652*J1652</f>
        <v>0</v>
      </c>
      <c r="L1652" s="71" t="s">
        <v>207</v>
      </c>
      <c r="Z1652" s="38">
        <f>IF(AQ1652="5",BJ1652,0)</f>
        <v>0</v>
      </c>
      <c r="AB1652" s="38">
        <f>IF(AQ1652="1",BH1652,0)</f>
        <v>0</v>
      </c>
      <c r="AC1652" s="38">
        <f>IF(AQ1652="1",BI1652,0)</f>
        <v>0</v>
      </c>
      <c r="AD1652" s="38">
        <f>IF(AQ1652="7",BH1652,0)</f>
        <v>0</v>
      </c>
      <c r="AE1652" s="38">
        <f>IF(AQ1652="7",BI1652,0)</f>
        <v>0</v>
      </c>
      <c r="AF1652" s="38">
        <f>IF(AQ1652="2",BH1652,0)</f>
        <v>0</v>
      </c>
      <c r="AG1652" s="38">
        <f>IF(AQ1652="2",BI1652,0)</f>
        <v>0</v>
      </c>
      <c r="AH1652" s="38">
        <f>IF(AQ1652="0",BJ1652,0)</f>
        <v>0</v>
      </c>
      <c r="AI1652" s="50" t="s">
        <v>95</v>
      </c>
      <c r="AJ1652" s="38">
        <f>IF(AN1652=0,I1652,0)</f>
        <v>0</v>
      </c>
      <c r="AK1652" s="38">
        <f>IF(AN1652=12,I1652,0)</f>
        <v>0</v>
      </c>
      <c r="AL1652" s="38">
        <f>IF(AN1652=21,I1652,0)</f>
        <v>0</v>
      </c>
      <c r="AN1652" s="38">
        <v>21</v>
      </c>
      <c r="AO1652" s="38">
        <f>H1652*0</f>
        <v>0</v>
      </c>
      <c r="AP1652" s="38">
        <f>H1652*(1-0)</f>
        <v>0</v>
      </c>
      <c r="AQ1652" s="72" t="s">
        <v>143</v>
      </c>
      <c r="AV1652" s="38">
        <f>AW1652+AX1652</f>
        <v>0</v>
      </c>
      <c r="AW1652" s="38">
        <f>G1652*AO1652</f>
        <v>0</v>
      </c>
      <c r="AX1652" s="38">
        <f>G1652*AP1652</f>
        <v>0</v>
      </c>
      <c r="AY1652" s="72" t="s">
        <v>2993</v>
      </c>
      <c r="AZ1652" s="72" t="s">
        <v>3013</v>
      </c>
      <c r="BA1652" s="50" t="s">
        <v>3014</v>
      </c>
      <c r="BC1652" s="38">
        <f>AW1652+AX1652</f>
        <v>0</v>
      </c>
      <c r="BD1652" s="38">
        <f>H1652/(100-BE1652)*100</f>
        <v>0</v>
      </c>
      <c r="BE1652" s="38">
        <v>0</v>
      </c>
      <c r="BF1652" s="38">
        <f>K1652</f>
        <v>0</v>
      </c>
      <c r="BH1652" s="38">
        <f>G1652*AO1652</f>
        <v>0</v>
      </c>
      <c r="BI1652" s="38">
        <f>G1652*AP1652</f>
        <v>0</v>
      </c>
      <c r="BJ1652" s="38">
        <f>G1652*H1652</f>
        <v>0</v>
      </c>
      <c r="BK1652" s="38"/>
      <c r="BL1652" s="38"/>
      <c r="BW1652" s="38">
        <v>21</v>
      </c>
    </row>
    <row r="1653" spans="1:12" ht="13.5" customHeight="1">
      <c r="A1653" s="74"/>
      <c r="D1653" s="194" t="s">
        <v>3193</v>
      </c>
      <c r="E1653" s="195"/>
      <c r="F1653" s="195"/>
      <c r="G1653" s="195"/>
      <c r="H1653" s="196"/>
      <c r="I1653" s="195"/>
      <c r="J1653" s="195"/>
      <c r="K1653" s="195"/>
      <c r="L1653" s="197"/>
    </row>
    <row r="1654" spans="1:12" ht="15">
      <c r="A1654" s="74"/>
      <c r="D1654" s="75" t="s">
        <v>191</v>
      </c>
      <c r="E1654" s="75" t="s">
        <v>3194</v>
      </c>
      <c r="G1654" s="76">
        <v>11</v>
      </c>
      <c r="L1654" s="77"/>
    </row>
    <row r="1655" spans="1:12" ht="15">
      <c r="A1655" s="74"/>
      <c r="D1655" s="75" t="s">
        <v>166</v>
      </c>
      <c r="E1655" s="75" t="s">
        <v>3195</v>
      </c>
      <c r="G1655" s="76">
        <v>6</v>
      </c>
      <c r="L1655" s="77"/>
    </row>
    <row r="1656" spans="1:12" ht="15">
      <c r="A1656" s="74"/>
      <c r="D1656" s="75" t="s">
        <v>191</v>
      </c>
      <c r="E1656" s="75" t="s">
        <v>3196</v>
      </c>
      <c r="G1656" s="76">
        <v>11</v>
      </c>
      <c r="L1656" s="77"/>
    </row>
    <row r="1657" spans="1:12" ht="15">
      <c r="A1657" s="74"/>
      <c r="D1657" s="75" t="s">
        <v>191</v>
      </c>
      <c r="E1657" s="75" t="s">
        <v>3197</v>
      </c>
      <c r="G1657" s="76">
        <v>11</v>
      </c>
      <c r="L1657" s="77"/>
    </row>
    <row r="1658" spans="1:75" ht="27" customHeight="1">
      <c r="A1658" s="1" t="s">
        <v>3198</v>
      </c>
      <c r="B1658" s="2" t="s">
        <v>95</v>
      </c>
      <c r="C1658" s="2" t="s">
        <v>2991</v>
      </c>
      <c r="D1658" s="108" t="s">
        <v>2992</v>
      </c>
      <c r="E1658" s="103"/>
      <c r="F1658" s="2" t="s">
        <v>214</v>
      </c>
      <c r="G1658" s="38">
        <v>460</v>
      </c>
      <c r="H1658" s="70">
        <v>0</v>
      </c>
      <c r="I1658" s="38">
        <f>G1658*H1658</f>
        <v>0</v>
      </c>
      <c r="J1658" s="38">
        <v>0</v>
      </c>
      <c r="K1658" s="38">
        <f>G1658*J1658</f>
        <v>0</v>
      </c>
      <c r="L1658" s="71" t="s">
        <v>207</v>
      </c>
      <c r="Z1658" s="38">
        <f>IF(AQ1658="5",BJ1658,0)</f>
        <v>0</v>
      </c>
      <c r="AB1658" s="38">
        <f>IF(AQ1658="1",BH1658,0)</f>
        <v>0</v>
      </c>
      <c r="AC1658" s="38">
        <f>IF(AQ1658="1",BI1658,0)</f>
        <v>0</v>
      </c>
      <c r="AD1658" s="38">
        <f>IF(AQ1658="7",BH1658,0)</f>
        <v>0</v>
      </c>
      <c r="AE1658" s="38">
        <f>IF(AQ1658="7",BI1658,0)</f>
        <v>0</v>
      </c>
      <c r="AF1658" s="38">
        <f>IF(AQ1658="2",BH1658,0)</f>
        <v>0</v>
      </c>
      <c r="AG1658" s="38">
        <f>IF(AQ1658="2",BI1658,0)</f>
        <v>0</v>
      </c>
      <c r="AH1658" s="38">
        <f>IF(AQ1658="0",BJ1658,0)</f>
        <v>0</v>
      </c>
      <c r="AI1658" s="50" t="s">
        <v>95</v>
      </c>
      <c r="AJ1658" s="38">
        <f>IF(AN1658=0,I1658,0)</f>
        <v>0</v>
      </c>
      <c r="AK1658" s="38">
        <f>IF(AN1658=12,I1658,0)</f>
        <v>0</v>
      </c>
      <c r="AL1658" s="38">
        <f>IF(AN1658=21,I1658,0)</f>
        <v>0</v>
      </c>
      <c r="AN1658" s="38">
        <v>21</v>
      </c>
      <c r="AO1658" s="38">
        <f>H1658*0</f>
        <v>0</v>
      </c>
      <c r="AP1658" s="38">
        <f>H1658*(1-0)</f>
        <v>0</v>
      </c>
      <c r="AQ1658" s="72" t="s">
        <v>143</v>
      </c>
      <c r="AV1658" s="38">
        <f>AW1658+AX1658</f>
        <v>0</v>
      </c>
      <c r="AW1658" s="38">
        <f>G1658*AO1658</f>
        <v>0</v>
      </c>
      <c r="AX1658" s="38">
        <f>G1658*AP1658</f>
        <v>0</v>
      </c>
      <c r="AY1658" s="72" t="s">
        <v>2993</v>
      </c>
      <c r="AZ1658" s="72" t="s">
        <v>3013</v>
      </c>
      <c r="BA1658" s="50" t="s">
        <v>3014</v>
      </c>
      <c r="BC1658" s="38">
        <f>AW1658+AX1658</f>
        <v>0</v>
      </c>
      <c r="BD1658" s="38">
        <f>H1658/(100-BE1658)*100</f>
        <v>0</v>
      </c>
      <c r="BE1658" s="38">
        <v>0</v>
      </c>
      <c r="BF1658" s="38">
        <f>K1658</f>
        <v>0</v>
      </c>
      <c r="BH1658" s="38">
        <f>G1658*AO1658</f>
        <v>0</v>
      </c>
      <c r="BI1658" s="38">
        <f>G1658*AP1658</f>
        <v>0</v>
      </c>
      <c r="BJ1658" s="38">
        <f>G1658*H1658</f>
        <v>0</v>
      </c>
      <c r="BK1658" s="38"/>
      <c r="BL1658" s="38"/>
      <c r="BW1658" s="38">
        <v>21</v>
      </c>
    </row>
    <row r="1659" spans="1:12" ht="13.5" customHeight="1">
      <c r="A1659" s="74"/>
      <c r="D1659" s="194" t="s">
        <v>3193</v>
      </c>
      <c r="E1659" s="195"/>
      <c r="F1659" s="195"/>
      <c r="G1659" s="195"/>
      <c r="H1659" s="196"/>
      <c r="I1659" s="195"/>
      <c r="J1659" s="195"/>
      <c r="K1659" s="195"/>
      <c r="L1659" s="197"/>
    </row>
    <row r="1660" spans="1:12" ht="15">
      <c r="A1660" s="74"/>
      <c r="D1660" s="75" t="s">
        <v>1246</v>
      </c>
      <c r="E1660" s="75" t="s">
        <v>3194</v>
      </c>
      <c r="G1660" s="76">
        <v>212</v>
      </c>
      <c r="L1660" s="77"/>
    </row>
    <row r="1661" spans="1:12" ht="15">
      <c r="A1661" s="74"/>
      <c r="D1661" s="75" t="s">
        <v>280</v>
      </c>
      <c r="E1661" s="75" t="s">
        <v>3195</v>
      </c>
      <c r="G1661" s="76">
        <v>25</v>
      </c>
      <c r="L1661" s="77"/>
    </row>
    <row r="1662" spans="1:12" ht="15">
      <c r="A1662" s="74"/>
      <c r="D1662" s="75" t="s">
        <v>762</v>
      </c>
      <c r="E1662" s="75" t="s">
        <v>3196</v>
      </c>
      <c r="G1662" s="76">
        <v>103</v>
      </c>
      <c r="L1662" s="77"/>
    </row>
    <row r="1663" spans="1:12" ht="15">
      <c r="A1663" s="74"/>
      <c r="D1663" s="75" t="s">
        <v>831</v>
      </c>
      <c r="E1663" s="75" t="s">
        <v>3197</v>
      </c>
      <c r="G1663" s="76">
        <v>120</v>
      </c>
      <c r="L1663" s="77"/>
    </row>
    <row r="1664" spans="1:47" ht="15">
      <c r="A1664" s="65" t="s">
        <v>4</v>
      </c>
      <c r="B1664" s="66" t="s">
        <v>95</v>
      </c>
      <c r="C1664" s="66" t="s">
        <v>696</v>
      </c>
      <c r="D1664" s="192" t="s">
        <v>1959</v>
      </c>
      <c r="E1664" s="193"/>
      <c r="F1664" s="67" t="s">
        <v>78</v>
      </c>
      <c r="G1664" s="67" t="s">
        <v>78</v>
      </c>
      <c r="H1664" s="68" t="s">
        <v>78</v>
      </c>
      <c r="I1664" s="44">
        <f>SUM(I1665:I1683)</f>
        <v>0</v>
      </c>
      <c r="J1664" s="50" t="s">
        <v>4</v>
      </c>
      <c r="K1664" s="44">
        <f>SUM(K1665:K1683)</f>
        <v>0</v>
      </c>
      <c r="L1664" s="69" t="s">
        <v>4</v>
      </c>
      <c r="AI1664" s="50" t="s">
        <v>95</v>
      </c>
      <c r="AS1664" s="44">
        <f>SUM(AJ1665:AJ1683)</f>
        <v>0</v>
      </c>
      <c r="AT1664" s="44">
        <f>SUM(AK1665:AK1683)</f>
        <v>0</v>
      </c>
      <c r="AU1664" s="44">
        <f>SUM(AL1665:AL1683)</f>
        <v>0</v>
      </c>
    </row>
    <row r="1665" spans="1:75" ht="27" customHeight="1">
      <c r="A1665" s="1" t="s">
        <v>3199</v>
      </c>
      <c r="B1665" s="2" t="s">
        <v>95</v>
      </c>
      <c r="C1665" s="2" t="s">
        <v>2998</v>
      </c>
      <c r="D1665" s="108" t="s">
        <v>2999</v>
      </c>
      <c r="E1665" s="103"/>
      <c r="F1665" s="2" t="s">
        <v>2286</v>
      </c>
      <c r="G1665" s="38">
        <v>20</v>
      </c>
      <c r="H1665" s="70">
        <v>0</v>
      </c>
      <c r="I1665" s="38">
        <f>G1665*H1665</f>
        <v>0</v>
      </c>
      <c r="J1665" s="38">
        <v>0</v>
      </c>
      <c r="K1665" s="38">
        <f>G1665*J1665</f>
        <v>0</v>
      </c>
      <c r="L1665" s="71" t="s">
        <v>207</v>
      </c>
      <c r="Z1665" s="38">
        <f>IF(AQ1665="5",BJ1665,0)</f>
        <v>0</v>
      </c>
      <c r="AB1665" s="38">
        <f>IF(AQ1665="1",BH1665,0)</f>
        <v>0</v>
      </c>
      <c r="AC1665" s="38">
        <f>IF(AQ1665="1",BI1665,0)</f>
        <v>0</v>
      </c>
      <c r="AD1665" s="38">
        <f>IF(AQ1665="7",BH1665,0)</f>
        <v>0</v>
      </c>
      <c r="AE1665" s="38">
        <f>IF(AQ1665="7",BI1665,0)</f>
        <v>0</v>
      </c>
      <c r="AF1665" s="38">
        <f>IF(AQ1665="2",BH1665,0)</f>
        <v>0</v>
      </c>
      <c r="AG1665" s="38">
        <f>IF(AQ1665="2",BI1665,0)</f>
        <v>0</v>
      </c>
      <c r="AH1665" s="38">
        <f>IF(AQ1665="0",BJ1665,0)</f>
        <v>0</v>
      </c>
      <c r="AI1665" s="50" t="s">
        <v>95</v>
      </c>
      <c r="AJ1665" s="38">
        <f>IF(AN1665=0,I1665,0)</f>
        <v>0</v>
      </c>
      <c r="AK1665" s="38">
        <f>IF(AN1665=12,I1665,0)</f>
        <v>0</v>
      </c>
      <c r="AL1665" s="38">
        <f>IF(AN1665=21,I1665,0)</f>
        <v>0</v>
      </c>
      <c r="AN1665" s="38">
        <v>21</v>
      </c>
      <c r="AO1665" s="38">
        <f>H1665*0</f>
        <v>0</v>
      </c>
      <c r="AP1665" s="38">
        <f>H1665*(1-0)</f>
        <v>0</v>
      </c>
      <c r="AQ1665" s="72" t="s">
        <v>132</v>
      </c>
      <c r="AV1665" s="38">
        <f>AW1665+AX1665</f>
        <v>0</v>
      </c>
      <c r="AW1665" s="38">
        <f>G1665*AO1665</f>
        <v>0</v>
      </c>
      <c r="AX1665" s="38">
        <f>G1665*AP1665</f>
        <v>0</v>
      </c>
      <c r="AY1665" s="72" t="s">
        <v>1964</v>
      </c>
      <c r="AZ1665" s="72" t="s">
        <v>3013</v>
      </c>
      <c r="BA1665" s="50" t="s">
        <v>3014</v>
      </c>
      <c r="BC1665" s="38">
        <f>AW1665+AX1665</f>
        <v>0</v>
      </c>
      <c r="BD1665" s="38">
        <f>H1665/(100-BE1665)*100</f>
        <v>0</v>
      </c>
      <c r="BE1665" s="38">
        <v>0</v>
      </c>
      <c r="BF1665" s="38">
        <f>K1665</f>
        <v>0</v>
      </c>
      <c r="BH1665" s="38">
        <f>G1665*AO1665</f>
        <v>0</v>
      </c>
      <c r="BI1665" s="38">
        <f>G1665*AP1665</f>
        <v>0</v>
      </c>
      <c r="BJ1665" s="38">
        <f>G1665*H1665</f>
        <v>0</v>
      </c>
      <c r="BK1665" s="38"/>
      <c r="BL1665" s="38">
        <v>90</v>
      </c>
      <c r="BW1665" s="38">
        <v>21</v>
      </c>
    </row>
    <row r="1666" spans="1:12" ht="13.5" customHeight="1">
      <c r="A1666" s="74"/>
      <c r="D1666" s="194" t="s">
        <v>3200</v>
      </c>
      <c r="E1666" s="195"/>
      <c r="F1666" s="195"/>
      <c r="G1666" s="195"/>
      <c r="H1666" s="196"/>
      <c r="I1666" s="195"/>
      <c r="J1666" s="195"/>
      <c r="K1666" s="195"/>
      <c r="L1666" s="197"/>
    </row>
    <row r="1667" spans="1:12" ht="15">
      <c r="A1667" s="74"/>
      <c r="D1667" s="75" t="s">
        <v>186</v>
      </c>
      <c r="E1667" s="75" t="s">
        <v>3194</v>
      </c>
      <c r="G1667" s="76">
        <v>10</v>
      </c>
      <c r="L1667" s="77"/>
    </row>
    <row r="1668" spans="1:12" ht="15">
      <c r="A1668" s="74"/>
      <c r="D1668" s="75" t="s">
        <v>143</v>
      </c>
      <c r="E1668" s="75" t="s">
        <v>3195</v>
      </c>
      <c r="G1668" s="76">
        <v>2</v>
      </c>
      <c r="L1668" s="77"/>
    </row>
    <row r="1669" spans="1:12" ht="15">
      <c r="A1669" s="74"/>
      <c r="D1669" s="75" t="s">
        <v>157</v>
      </c>
      <c r="E1669" s="75" t="s">
        <v>3196</v>
      </c>
      <c r="G1669" s="76">
        <v>4</v>
      </c>
      <c r="L1669" s="77"/>
    </row>
    <row r="1670" spans="1:12" ht="15">
      <c r="A1670" s="74"/>
      <c r="D1670" s="75" t="s">
        <v>157</v>
      </c>
      <c r="E1670" s="75" t="s">
        <v>3197</v>
      </c>
      <c r="G1670" s="76">
        <v>4</v>
      </c>
      <c r="L1670" s="77"/>
    </row>
    <row r="1671" spans="1:75" ht="27" customHeight="1">
      <c r="A1671" s="1" t="s">
        <v>3201</v>
      </c>
      <c r="B1671" s="2" t="s">
        <v>95</v>
      </c>
      <c r="C1671" s="2" t="s">
        <v>2998</v>
      </c>
      <c r="D1671" s="108" t="s">
        <v>2999</v>
      </c>
      <c r="E1671" s="103"/>
      <c r="F1671" s="2" t="s">
        <v>2286</v>
      </c>
      <c r="G1671" s="38">
        <v>20</v>
      </c>
      <c r="H1671" s="70">
        <v>0</v>
      </c>
      <c r="I1671" s="38">
        <f>G1671*H1671</f>
        <v>0</v>
      </c>
      <c r="J1671" s="38">
        <v>0</v>
      </c>
      <c r="K1671" s="38">
        <f>G1671*J1671</f>
        <v>0</v>
      </c>
      <c r="L1671" s="71" t="s">
        <v>207</v>
      </c>
      <c r="Z1671" s="38">
        <f>IF(AQ1671="5",BJ1671,0)</f>
        <v>0</v>
      </c>
      <c r="AB1671" s="38">
        <f>IF(AQ1671="1",BH1671,0)</f>
        <v>0</v>
      </c>
      <c r="AC1671" s="38">
        <f>IF(AQ1671="1",BI1671,0)</f>
        <v>0</v>
      </c>
      <c r="AD1671" s="38">
        <f>IF(AQ1671="7",BH1671,0)</f>
        <v>0</v>
      </c>
      <c r="AE1671" s="38">
        <f>IF(AQ1671="7",BI1671,0)</f>
        <v>0</v>
      </c>
      <c r="AF1671" s="38">
        <f>IF(AQ1671="2",BH1671,0)</f>
        <v>0</v>
      </c>
      <c r="AG1671" s="38">
        <f>IF(AQ1671="2",BI1671,0)</f>
        <v>0</v>
      </c>
      <c r="AH1671" s="38">
        <f>IF(AQ1671="0",BJ1671,0)</f>
        <v>0</v>
      </c>
      <c r="AI1671" s="50" t="s">
        <v>95</v>
      </c>
      <c r="AJ1671" s="38">
        <f>IF(AN1671=0,I1671,0)</f>
        <v>0</v>
      </c>
      <c r="AK1671" s="38">
        <f>IF(AN1671=12,I1671,0)</f>
        <v>0</v>
      </c>
      <c r="AL1671" s="38">
        <f>IF(AN1671=21,I1671,0)</f>
        <v>0</v>
      </c>
      <c r="AN1671" s="38">
        <v>21</v>
      </c>
      <c r="AO1671" s="38">
        <f>H1671*0</f>
        <v>0</v>
      </c>
      <c r="AP1671" s="38">
        <f>H1671*(1-0)</f>
        <v>0</v>
      </c>
      <c r="AQ1671" s="72" t="s">
        <v>132</v>
      </c>
      <c r="AV1671" s="38">
        <f>AW1671+AX1671</f>
        <v>0</v>
      </c>
      <c r="AW1671" s="38">
        <f>G1671*AO1671</f>
        <v>0</v>
      </c>
      <c r="AX1671" s="38">
        <f>G1671*AP1671</f>
        <v>0</v>
      </c>
      <c r="AY1671" s="72" t="s">
        <v>1964</v>
      </c>
      <c r="AZ1671" s="72" t="s">
        <v>3013</v>
      </c>
      <c r="BA1671" s="50" t="s">
        <v>3014</v>
      </c>
      <c r="BC1671" s="38">
        <f>AW1671+AX1671</f>
        <v>0</v>
      </c>
      <c r="BD1671" s="38">
        <f>H1671/(100-BE1671)*100</f>
        <v>0</v>
      </c>
      <c r="BE1671" s="38">
        <v>0</v>
      </c>
      <c r="BF1671" s="38">
        <f>K1671</f>
        <v>0</v>
      </c>
      <c r="BH1671" s="38">
        <f>G1671*AO1671</f>
        <v>0</v>
      </c>
      <c r="BI1671" s="38">
        <f>G1671*AP1671</f>
        <v>0</v>
      </c>
      <c r="BJ1671" s="38">
        <f>G1671*H1671</f>
        <v>0</v>
      </c>
      <c r="BK1671" s="38"/>
      <c r="BL1671" s="38">
        <v>90</v>
      </c>
      <c r="BW1671" s="38">
        <v>21</v>
      </c>
    </row>
    <row r="1672" spans="1:12" ht="13.5" customHeight="1">
      <c r="A1672" s="74"/>
      <c r="D1672" s="194" t="s">
        <v>3202</v>
      </c>
      <c r="E1672" s="195"/>
      <c r="F1672" s="195"/>
      <c r="G1672" s="195"/>
      <c r="H1672" s="196"/>
      <c r="I1672" s="195"/>
      <c r="J1672" s="195"/>
      <c r="K1672" s="195"/>
      <c r="L1672" s="197"/>
    </row>
    <row r="1673" spans="1:12" ht="15">
      <c r="A1673" s="74"/>
      <c r="D1673" s="75" t="s">
        <v>186</v>
      </c>
      <c r="E1673" s="75" t="s">
        <v>3194</v>
      </c>
      <c r="G1673" s="76">
        <v>10</v>
      </c>
      <c r="L1673" s="77"/>
    </row>
    <row r="1674" spans="1:12" ht="15">
      <c r="A1674" s="74"/>
      <c r="D1674" s="75" t="s">
        <v>143</v>
      </c>
      <c r="E1674" s="75" t="s">
        <v>3195</v>
      </c>
      <c r="G1674" s="76">
        <v>2</v>
      </c>
      <c r="L1674" s="77"/>
    </row>
    <row r="1675" spans="1:12" ht="15">
      <c r="A1675" s="74"/>
      <c r="D1675" s="75" t="s">
        <v>157</v>
      </c>
      <c r="E1675" s="75" t="s">
        <v>3196</v>
      </c>
      <c r="G1675" s="76">
        <v>4</v>
      </c>
      <c r="L1675" s="77"/>
    </row>
    <row r="1676" spans="1:12" ht="15">
      <c r="A1676" s="74"/>
      <c r="D1676" s="75" t="s">
        <v>157</v>
      </c>
      <c r="E1676" s="75" t="s">
        <v>3197</v>
      </c>
      <c r="G1676" s="76">
        <v>4</v>
      </c>
      <c r="L1676" s="77"/>
    </row>
    <row r="1677" spans="1:75" ht="13.5" customHeight="1">
      <c r="A1677" s="1" t="s">
        <v>3203</v>
      </c>
      <c r="B1677" s="2" t="s">
        <v>95</v>
      </c>
      <c r="C1677" s="2" t="s">
        <v>3004</v>
      </c>
      <c r="D1677" s="108" t="s">
        <v>3005</v>
      </c>
      <c r="E1677" s="103"/>
      <c r="F1677" s="2" t="s">
        <v>2286</v>
      </c>
      <c r="G1677" s="38">
        <v>20</v>
      </c>
      <c r="H1677" s="70">
        <v>0</v>
      </c>
      <c r="I1677" s="38">
        <f>G1677*H1677</f>
        <v>0</v>
      </c>
      <c r="J1677" s="38">
        <v>0</v>
      </c>
      <c r="K1677" s="38">
        <f>G1677*J1677</f>
        <v>0</v>
      </c>
      <c r="L1677" s="71" t="s">
        <v>207</v>
      </c>
      <c r="Z1677" s="38">
        <f>IF(AQ1677="5",BJ1677,0)</f>
        <v>0</v>
      </c>
      <c r="AB1677" s="38">
        <f>IF(AQ1677="1",BH1677,0)</f>
        <v>0</v>
      </c>
      <c r="AC1677" s="38">
        <f>IF(AQ1677="1",BI1677,0)</f>
        <v>0</v>
      </c>
      <c r="AD1677" s="38">
        <f>IF(AQ1677="7",BH1677,0)</f>
        <v>0</v>
      </c>
      <c r="AE1677" s="38">
        <f>IF(AQ1677="7",BI1677,0)</f>
        <v>0</v>
      </c>
      <c r="AF1677" s="38">
        <f>IF(AQ1677="2",BH1677,0)</f>
        <v>0</v>
      </c>
      <c r="AG1677" s="38">
        <f>IF(AQ1677="2",BI1677,0)</f>
        <v>0</v>
      </c>
      <c r="AH1677" s="38">
        <f>IF(AQ1677="0",BJ1677,0)</f>
        <v>0</v>
      </c>
      <c r="AI1677" s="50" t="s">
        <v>95</v>
      </c>
      <c r="AJ1677" s="38">
        <f>IF(AN1677=0,I1677,0)</f>
        <v>0</v>
      </c>
      <c r="AK1677" s="38">
        <f>IF(AN1677=12,I1677,0)</f>
        <v>0</v>
      </c>
      <c r="AL1677" s="38">
        <f>IF(AN1677=21,I1677,0)</f>
        <v>0</v>
      </c>
      <c r="AN1677" s="38">
        <v>21</v>
      </c>
      <c r="AO1677" s="38">
        <f>H1677*0</f>
        <v>0</v>
      </c>
      <c r="AP1677" s="38">
        <f>H1677*(1-0)</f>
        <v>0</v>
      </c>
      <c r="AQ1677" s="72" t="s">
        <v>132</v>
      </c>
      <c r="AV1677" s="38">
        <f>AW1677+AX1677</f>
        <v>0</v>
      </c>
      <c r="AW1677" s="38">
        <f>G1677*AO1677</f>
        <v>0</v>
      </c>
      <c r="AX1677" s="38">
        <f>G1677*AP1677</f>
        <v>0</v>
      </c>
      <c r="AY1677" s="72" t="s">
        <v>1964</v>
      </c>
      <c r="AZ1677" s="72" t="s">
        <v>3013</v>
      </c>
      <c r="BA1677" s="50" t="s">
        <v>3014</v>
      </c>
      <c r="BC1677" s="38">
        <f>AW1677+AX1677</f>
        <v>0</v>
      </c>
      <c r="BD1677" s="38">
        <f>H1677/(100-BE1677)*100</f>
        <v>0</v>
      </c>
      <c r="BE1677" s="38">
        <v>0</v>
      </c>
      <c r="BF1677" s="38">
        <f>K1677</f>
        <v>0</v>
      </c>
      <c r="BH1677" s="38">
        <f>G1677*AO1677</f>
        <v>0</v>
      </c>
      <c r="BI1677" s="38">
        <f>G1677*AP1677</f>
        <v>0</v>
      </c>
      <c r="BJ1677" s="38">
        <f>G1677*H1677</f>
        <v>0</v>
      </c>
      <c r="BK1677" s="38"/>
      <c r="BL1677" s="38">
        <v>90</v>
      </c>
      <c r="BW1677" s="38">
        <v>21</v>
      </c>
    </row>
    <row r="1678" spans="1:12" ht="13.5" customHeight="1">
      <c r="A1678" s="74"/>
      <c r="D1678" s="194" t="s">
        <v>3204</v>
      </c>
      <c r="E1678" s="195"/>
      <c r="F1678" s="195"/>
      <c r="G1678" s="195"/>
      <c r="H1678" s="196"/>
      <c r="I1678" s="195"/>
      <c r="J1678" s="195"/>
      <c r="K1678" s="195"/>
      <c r="L1678" s="197"/>
    </row>
    <row r="1679" spans="1:12" ht="15">
      <c r="A1679" s="74"/>
      <c r="D1679" s="75" t="s">
        <v>186</v>
      </c>
      <c r="E1679" s="75" t="s">
        <v>3194</v>
      </c>
      <c r="G1679" s="76">
        <v>10</v>
      </c>
      <c r="L1679" s="77"/>
    </row>
    <row r="1680" spans="1:12" ht="15">
      <c r="A1680" s="74"/>
      <c r="D1680" s="75" t="s">
        <v>143</v>
      </c>
      <c r="E1680" s="75" t="s">
        <v>3195</v>
      </c>
      <c r="G1680" s="76">
        <v>2</v>
      </c>
      <c r="L1680" s="77"/>
    </row>
    <row r="1681" spans="1:12" ht="15">
      <c r="A1681" s="74"/>
      <c r="D1681" s="75" t="s">
        <v>157</v>
      </c>
      <c r="E1681" s="75" t="s">
        <v>3196</v>
      </c>
      <c r="G1681" s="76">
        <v>4</v>
      </c>
      <c r="L1681" s="77"/>
    </row>
    <row r="1682" spans="1:12" ht="15">
      <c r="A1682" s="74"/>
      <c r="D1682" s="75" t="s">
        <v>157</v>
      </c>
      <c r="E1682" s="75" t="s">
        <v>3197</v>
      </c>
      <c r="G1682" s="76">
        <v>4</v>
      </c>
      <c r="L1682" s="77"/>
    </row>
    <row r="1683" spans="1:75" ht="13.5" customHeight="1">
      <c r="A1683" s="1" t="s">
        <v>3205</v>
      </c>
      <c r="B1683" s="2" t="s">
        <v>95</v>
      </c>
      <c r="C1683" s="2" t="s">
        <v>2289</v>
      </c>
      <c r="D1683" s="108" t="s">
        <v>3008</v>
      </c>
      <c r="E1683" s="103"/>
      <c r="F1683" s="2" t="s">
        <v>2286</v>
      </c>
      <c r="G1683" s="38">
        <v>22</v>
      </c>
      <c r="H1683" s="70">
        <v>0</v>
      </c>
      <c r="I1683" s="38">
        <f>G1683*H1683</f>
        <v>0</v>
      </c>
      <c r="J1683" s="38">
        <v>0</v>
      </c>
      <c r="K1683" s="38">
        <f>G1683*J1683</f>
        <v>0</v>
      </c>
      <c r="L1683" s="71" t="s">
        <v>207</v>
      </c>
      <c r="Z1683" s="38">
        <f>IF(AQ1683="5",BJ1683,0)</f>
        <v>0</v>
      </c>
      <c r="AB1683" s="38">
        <f>IF(AQ1683="1",BH1683,0)</f>
        <v>0</v>
      </c>
      <c r="AC1683" s="38">
        <f>IF(AQ1683="1",BI1683,0)</f>
        <v>0</v>
      </c>
      <c r="AD1683" s="38">
        <f>IF(AQ1683="7",BH1683,0)</f>
        <v>0</v>
      </c>
      <c r="AE1683" s="38">
        <f>IF(AQ1683="7",BI1683,0)</f>
        <v>0</v>
      </c>
      <c r="AF1683" s="38">
        <f>IF(AQ1683="2",BH1683,0)</f>
        <v>0</v>
      </c>
      <c r="AG1683" s="38">
        <f>IF(AQ1683="2",BI1683,0)</f>
        <v>0</v>
      </c>
      <c r="AH1683" s="38">
        <f>IF(AQ1683="0",BJ1683,0)</f>
        <v>0</v>
      </c>
      <c r="AI1683" s="50" t="s">
        <v>95</v>
      </c>
      <c r="AJ1683" s="38">
        <f>IF(AN1683=0,I1683,0)</f>
        <v>0</v>
      </c>
      <c r="AK1683" s="38">
        <f>IF(AN1683=12,I1683,0)</f>
        <v>0</v>
      </c>
      <c r="AL1683" s="38">
        <f>IF(AN1683=21,I1683,0)</f>
        <v>0</v>
      </c>
      <c r="AN1683" s="38">
        <v>21</v>
      </c>
      <c r="AO1683" s="38">
        <f>H1683*0</f>
        <v>0</v>
      </c>
      <c r="AP1683" s="38">
        <f>H1683*(1-0)</f>
        <v>0</v>
      </c>
      <c r="AQ1683" s="72" t="s">
        <v>132</v>
      </c>
      <c r="AV1683" s="38">
        <f>AW1683+AX1683</f>
        <v>0</v>
      </c>
      <c r="AW1683" s="38">
        <f>G1683*AO1683</f>
        <v>0</v>
      </c>
      <c r="AX1683" s="38">
        <f>G1683*AP1683</f>
        <v>0</v>
      </c>
      <c r="AY1683" s="72" t="s">
        <v>1964</v>
      </c>
      <c r="AZ1683" s="72" t="s">
        <v>3013</v>
      </c>
      <c r="BA1683" s="50" t="s">
        <v>3014</v>
      </c>
      <c r="BC1683" s="38">
        <f>AW1683+AX1683</f>
        <v>0</v>
      </c>
      <c r="BD1683" s="38">
        <f>H1683/(100-BE1683)*100</f>
        <v>0</v>
      </c>
      <c r="BE1683" s="38">
        <v>0</v>
      </c>
      <c r="BF1683" s="38">
        <f>K1683</f>
        <v>0</v>
      </c>
      <c r="BH1683" s="38">
        <f>G1683*AO1683</f>
        <v>0</v>
      </c>
      <c r="BI1683" s="38">
        <f>G1683*AP1683</f>
        <v>0</v>
      </c>
      <c r="BJ1683" s="38">
        <f>G1683*H1683</f>
        <v>0</v>
      </c>
      <c r="BK1683" s="38"/>
      <c r="BL1683" s="38">
        <v>90</v>
      </c>
      <c r="BW1683" s="38">
        <v>21</v>
      </c>
    </row>
    <row r="1684" spans="1:12" ht="13.5" customHeight="1">
      <c r="A1684" s="74"/>
      <c r="D1684" s="194" t="s">
        <v>3206</v>
      </c>
      <c r="E1684" s="195"/>
      <c r="F1684" s="195"/>
      <c r="G1684" s="195"/>
      <c r="H1684" s="196"/>
      <c r="I1684" s="195"/>
      <c r="J1684" s="195"/>
      <c r="K1684" s="195"/>
      <c r="L1684" s="197"/>
    </row>
    <row r="1685" spans="1:12" ht="15">
      <c r="A1685" s="74"/>
      <c r="D1685" s="75" t="s">
        <v>186</v>
      </c>
      <c r="E1685" s="75" t="s">
        <v>3194</v>
      </c>
      <c r="G1685" s="76">
        <v>10</v>
      </c>
      <c r="L1685" s="77"/>
    </row>
    <row r="1686" spans="1:12" ht="15">
      <c r="A1686" s="74"/>
      <c r="D1686" s="75" t="s">
        <v>143</v>
      </c>
      <c r="E1686" s="75" t="s">
        <v>3195</v>
      </c>
      <c r="G1686" s="76">
        <v>2</v>
      </c>
      <c r="L1686" s="77"/>
    </row>
    <row r="1687" spans="1:12" ht="15">
      <c r="A1687" s="74"/>
      <c r="D1687" s="75" t="s">
        <v>162</v>
      </c>
      <c r="E1687" s="75" t="s">
        <v>3196</v>
      </c>
      <c r="G1687" s="76">
        <v>5</v>
      </c>
      <c r="L1687" s="77"/>
    </row>
    <row r="1688" spans="1:12" ht="15">
      <c r="A1688" s="74"/>
      <c r="D1688" s="75" t="s">
        <v>162</v>
      </c>
      <c r="E1688" s="75" t="s">
        <v>3197</v>
      </c>
      <c r="G1688" s="76">
        <v>5</v>
      </c>
      <c r="L1688" s="77"/>
    </row>
    <row r="1689" spans="1:12" ht="15">
      <c r="A1689" s="65" t="s">
        <v>4</v>
      </c>
      <c r="B1689" s="66" t="s">
        <v>97</v>
      </c>
      <c r="C1689" s="66" t="s">
        <v>4</v>
      </c>
      <c r="D1689" s="192" t="s">
        <v>57</v>
      </c>
      <c r="E1689" s="193"/>
      <c r="F1689" s="67" t="s">
        <v>78</v>
      </c>
      <c r="G1689" s="67" t="s">
        <v>78</v>
      </c>
      <c r="H1689" s="68" t="s">
        <v>78</v>
      </c>
      <c r="I1689" s="44">
        <f>I1691+I1695+I1699</f>
        <v>0</v>
      </c>
      <c r="J1689" s="50" t="s">
        <v>4</v>
      </c>
      <c r="K1689" s="44">
        <f>K1691+K1695+K1699</f>
        <v>0</v>
      </c>
      <c r="L1689" s="69" t="s">
        <v>4</v>
      </c>
    </row>
    <row r="1690" spans="1:35" ht="15">
      <c r="A1690" s="65" t="s">
        <v>4</v>
      </c>
      <c r="B1690" s="66" t="s">
        <v>97</v>
      </c>
      <c r="C1690" s="66" t="s">
        <v>4</v>
      </c>
      <c r="D1690" s="192" t="s">
        <v>3207</v>
      </c>
      <c r="E1690" s="193"/>
      <c r="F1690" s="67" t="s">
        <v>78</v>
      </c>
      <c r="G1690" s="67" t="s">
        <v>78</v>
      </c>
      <c r="H1690" s="68" t="s">
        <v>78</v>
      </c>
      <c r="I1690" s="44">
        <f>I1691+I1695+I1699</f>
        <v>0</v>
      </c>
      <c r="J1690" s="50" t="s">
        <v>4</v>
      </c>
      <c r="K1690" s="44">
        <f>K1691+K1695+K1699</f>
        <v>0</v>
      </c>
      <c r="L1690" s="69" t="s">
        <v>4</v>
      </c>
      <c r="AI1690" s="50" t="s">
        <v>97</v>
      </c>
    </row>
    <row r="1691" spans="1:47" ht="15">
      <c r="A1691" s="65" t="s">
        <v>4</v>
      </c>
      <c r="B1691" s="66" t="s">
        <v>97</v>
      </c>
      <c r="C1691" s="66" t="s">
        <v>3208</v>
      </c>
      <c r="D1691" s="192" t="s">
        <v>25</v>
      </c>
      <c r="E1691" s="193"/>
      <c r="F1691" s="67" t="s">
        <v>78</v>
      </c>
      <c r="G1691" s="67" t="s">
        <v>78</v>
      </c>
      <c r="H1691" s="68" t="s">
        <v>78</v>
      </c>
      <c r="I1691" s="44">
        <f>SUM(I1692:I1692)</f>
        <v>0</v>
      </c>
      <c r="J1691" s="50" t="s">
        <v>4</v>
      </c>
      <c r="K1691" s="44">
        <f>SUM(K1692:K1692)</f>
        <v>0</v>
      </c>
      <c r="L1691" s="69" t="s">
        <v>4</v>
      </c>
      <c r="AI1691" s="50" t="s">
        <v>97</v>
      </c>
      <c r="AS1691" s="44">
        <f>SUM(AJ1692:AJ1692)</f>
        <v>0</v>
      </c>
      <c r="AT1691" s="44">
        <f>SUM(AK1692:AK1692)</f>
        <v>0</v>
      </c>
      <c r="AU1691" s="44">
        <f>SUM(AL1692:AL1692)</f>
        <v>0</v>
      </c>
    </row>
    <row r="1692" spans="1:75" ht="13.5" customHeight="1">
      <c r="A1692" s="1" t="s">
        <v>3209</v>
      </c>
      <c r="B1692" s="2" t="s">
        <v>97</v>
      </c>
      <c r="C1692" s="2" t="s">
        <v>3210</v>
      </c>
      <c r="D1692" s="108" t="s">
        <v>25</v>
      </c>
      <c r="E1692" s="103"/>
      <c r="F1692" s="2" t="s">
        <v>3211</v>
      </c>
      <c r="G1692" s="38">
        <v>1</v>
      </c>
      <c r="H1692" s="70">
        <v>0</v>
      </c>
      <c r="I1692" s="38">
        <f>G1692*H1692</f>
        <v>0</v>
      </c>
      <c r="J1692" s="38">
        <v>0</v>
      </c>
      <c r="K1692" s="38">
        <f>G1692*J1692</f>
        <v>0</v>
      </c>
      <c r="L1692" s="71" t="s">
        <v>207</v>
      </c>
      <c r="Z1692" s="38">
        <f>IF(AQ1692="5",BJ1692,0)</f>
        <v>0</v>
      </c>
      <c r="AB1692" s="38">
        <f>IF(AQ1692="1",BH1692,0)</f>
        <v>0</v>
      </c>
      <c r="AC1692" s="38">
        <f>IF(AQ1692="1",BI1692,0)</f>
        <v>0</v>
      </c>
      <c r="AD1692" s="38">
        <f>IF(AQ1692="7",BH1692,0)</f>
        <v>0</v>
      </c>
      <c r="AE1692" s="38">
        <f>IF(AQ1692="7",BI1692,0)</f>
        <v>0</v>
      </c>
      <c r="AF1692" s="38">
        <f>IF(AQ1692="2",BH1692,0)</f>
        <v>0</v>
      </c>
      <c r="AG1692" s="38">
        <f>IF(AQ1692="2",BI1692,0)</f>
        <v>0</v>
      </c>
      <c r="AH1692" s="38">
        <f>IF(AQ1692="0",BJ1692,0)</f>
        <v>0</v>
      </c>
      <c r="AI1692" s="50" t="s">
        <v>97</v>
      </c>
      <c r="AJ1692" s="38">
        <f>IF(AN1692=0,I1692,0)</f>
        <v>0</v>
      </c>
      <c r="AK1692" s="38">
        <f>IF(AN1692=12,I1692,0)</f>
        <v>0</v>
      </c>
      <c r="AL1692" s="38">
        <f>IF(AN1692=21,I1692,0)</f>
        <v>0</v>
      </c>
      <c r="AN1692" s="38">
        <v>21</v>
      </c>
      <c r="AO1692" s="38">
        <f>H1692*0</f>
        <v>0</v>
      </c>
      <c r="AP1692" s="38">
        <f>H1692*(1-0)</f>
        <v>0</v>
      </c>
      <c r="AQ1692" s="72" t="s">
        <v>747</v>
      </c>
      <c r="AV1692" s="38">
        <f>AW1692+AX1692</f>
        <v>0</v>
      </c>
      <c r="AW1692" s="38">
        <f>G1692*AO1692</f>
        <v>0</v>
      </c>
      <c r="AX1692" s="38">
        <f>G1692*AP1692</f>
        <v>0</v>
      </c>
      <c r="AY1692" s="72" t="s">
        <v>3212</v>
      </c>
      <c r="AZ1692" s="72" t="s">
        <v>3213</v>
      </c>
      <c r="BA1692" s="50" t="s">
        <v>3214</v>
      </c>
      <c r="BC1692" s="38">
        <f>AW1692+AX1692</f>
        <v>0</v>
      </c>
      <c r="BD1692" s="38">
        <f>H1692/(100-BE1692)*100</f>
        <v>0</v>
      </c>
      <c r="BE1692" s="38">
        <v>0</v>
      </c>
      <c r="BF1692" s="38">
        <f>K1692</f>
        <v>0</v>
      </c>
      <c r="BH1692" s="38">
        <f>G1692*AO1692</f>
        <v>0</v>
      </c>
      <c r="BI1692" s="38">
        <f>G1692*AP1692</f>
        <v>0</v>
      </c>
      <c r="BJ1692" s="38">
        <f>G1692*H1692</f>
        <v>0</v>
      </c>
      <c r="BK1692" s="38"/>
      <c r="BL1692" s="38"/>
      <c r="BO1692" s="38">
        <f>G1692*H1692</f>
        <v>0</v>
      </c>
      <c r="BW1692" s="38">
        <v>21</v>
      </c>
    </row>
    <row r="1693" spans="1:12" ht="13.5" customHeight="1">
      <c r="A1693" s="74"/>
      <c r="D1693" s="194" t="s">
        <v>3215</v>
      </c>
      <c r="E1693" s="195"/>
      <c r="F1693" s="195"/>
      <c r="G1693" s="195"/>
      <c r="H1693" s="196"/>
      <c r="I1693" s="195"/>
      <c r="J1693" s="195"/>
      <c r="K1693" s="195"/>
      <c r="L1693" s="197"/>
    </row>
    <row r="1694" spans="1:12" ht="15">
      <c r="A1694" s="74"/>
      <c r="D1694" s="75" t="s">
        <v>132</v>
      </c>
      <c r="E1694" s="75" t="s">
        <v>4</v>
      </c>
      <c r="G1694" s="76">
        <v>1</v>
      </c>
      <c r="L1694" s="77"/>
    </row>
    <row r="1695" spans="1:47" ht="15">
      <c r="A1695" s="65" t="s">
        <v>4</v>
      </c>
      <c r="B1695" s="66" t="s">
        <v>97</v>
      </c>
      <c r="C1695" s="66" t="s">
        <v>3216</v>
      </c>
      <c r="D1695" s="192" t="s">
        <v>32</v>
      </c>
      <c r="E1695" s="193"/>
      <c r="F1695" s="67" t="s">
        <v>78</v>
      </c>
      <c r="G1695" s="67" t="s">
        <v>78</v>
      </c>
      <c r="H1695" s="68" t="s">
        <v>78</v>
      </c>
      <c r="I1695" s="44">
        <f>SUM(I1696:I1696)</f>
        <v>0</v>
      </c>
      <c r="J1695" s="50" t="s">
        <v>4</v>
      </c>
      <c r="K1695" s="44">
        <f>SUM(K1696:K1696)</f>
        <v>0</v>
      </c>
      <c r="L1695" s="69" t="s">
        <v>4</v>
      </c>
      <c r="AI1695" s="50" t="s">
        <v>97</v>
      </c>
      <c r="AS1695" s="44">
        <f>SUM(AJ1696:AJ1696)</f>
        <v>0</v>
      </c>
      <c r="AT1695" s="44">
        <f>SUM(AK1696:AK1696)</f>
        <v>0</v>
      </c>
      <c r="AU1695" s="44">
        <f>SUM(AL1696:AL1696)</f>
        <v>0</v>
      </c>
    </row>
    <row r="1696" spans="1:75" ht="13.5" customHeight="1">
      <c r="A1696" s="1" t="s">
        <v>3217</v>
      </c>
      <c r="B1696" s="2" t="s">
        <v>97</v>
      </c>
      <c r="C1696" s="2" t="s">
        <v>3218</v>
      </c>
      <c r="D1696" s="108" t="s">
        <v>32</v>
      </c>
      <c r="E1696" s="103"/>
      <c r="F1696" s="2" t="s">
        <v>3211</v>
      </c>
      <c r="G1696" s="38">
        <v>1</v>
      </c>
      <c r="H1696" s="70">
        <v>0</v>
      </c>
      <c r="I1696" s="38">
        <f>G1696*H1696</f>
        <v>0</v>
      </c>
      <c r="J1696" s="38">
        <v>0</v>
      </c>
      <c r="K1696" s="38">
        <f>G1696*J1696</f>
        <v>0</v>
      </c>
      <c r="L1696" s="71" t="s">
        <v>207</v>
      </c>
      <c r="Z1696" s="38">
        <f>IF(AQ1696="5",BJ1696,0)</f>
        <v>0</v>
      </c>
      <c r="AB1696" s="38">
        <f>IF(AQ1696="1",BH1696,0)</f>
        <v>0</v>
      </c>
      <c r="AC1696" s="38">
        <f>IF(AQ1696="1",BI1696,0)</f>
        <v>0</v>
      </c>
      <c r="AD1696" s="38">
        <f>IF(AQ1696="7",BH1696,0)</f>
        <v>0</v>
      </c>
      <c r="AE1696" s="38">
        <f>IF(AQ1696="7",BI1696,0)</f>
        <v>0</v>
      </c>
      <c r="AF1696" s="38">
        <f>IF(AQ1696="2",BH1696,0)</f>
        <v>0</v>
      </c>
      <c r="AG1696" s="38">
        <f>IF(AQ1696="2",BI1696,0)</f>
        <v>0</v>
      </c>
      <c r="AH1696" s="38">
        <f>IF(AQ1696="0",BJ1696,0)</f>
        <v>0</v>
      </c>
      <c r="AI1696" s="50" t="s">
        <v>97</v>
      </c>
      <c r="AJ1696" s="38">
        <f>IF(AN1696=0,I1696,0)</f>
        <v>0</v>
      </c>
      <c r="AK1696" s="38">
        <f>IF(AN1696=12,I1696,0)</f>
        <v>0</v>
      </c>
      <c r="AL1696" s="38">
        <f>IF(AN1696=21,I1696,0)</f>
        <v>0</v>
      </c>
      <c r="AN1696" s="38">
        <v>21</v>
      </c>
      <c r="AO1696" s="38">
        <f>H1696*0</f>
        <v>0</v>
      </c>
      <c r="AP1696" s="38">
        <f>H1696*(1-0)</f>
        <v>0</v>
      </c>
      <c r="AQ1696" s="72" t="s">
        <v>747</v>
      </c>
      <c r="AV1696" s="38">
        <f>AW1696+AX1696</f>
        <v>0</v>
      </c>
      <c r="AW1696" s="38">
        <f>G1696*AO1696</f>
        <v>0</v>
      </c>
      <c r="AX1696" s="38">
        <f>G1696*AP1696</f>
        <v>0</v>
      </c>
      <c r="AY1696" s="72" t="s">
        <v>3219</v>
      </c>
      <c r="AZ1696" s="72" t="s">
        <v>3213</v>
      </c>
      <c r="BA1696" s="50" t="s">
        <v>3214</v>
      </c>
      <c r="BC1696" s="38">
        <f>AW1696+AX1696</f>
        <v>0</v>
      </c>
      <c r="BD1696" s="38">
        <f>H1696/(100-BE1696)*100</f>
        <v>0</v>
      </c>
      <c r="BE1696" s="38">
        <v>0</v>
      </c>
      <c r="BF1696" s="38">
        <f>K1696</f>
        <v>0</v>
      </c>
      <c r="BH1696" s="38">
        <f>G1696*AO1696</f>
        <v>0</v>
      </c>
      <c r="BI1696" s="38">
        <f>G1696*AP1696</f>
        <v>0</v>
      </c>
      <c r="BJ1696" s="38">
        <f>G1696*H1696</f>
        <v>0</v>
      </c>
      <c r="BK1696" s="38"/>
      <c r="BL1696" s="38"/>
      <c r="BS1696" s="38">
        <f>G1696*H1696</f>
        <v>0</v>
      </c>
      <c r="BW1696" s="38">
        <v>21</v>
      </c>
    </row>
    <row r="1697" spans="1:12" ht="13.5" customHeight="1">
      <c r="A1697" s="74"/>
      <c r="D1697" s="194" t="s">
        <v>3220</v>
      </c>
      <c r="E1697" s="195"/>
      <c r="F1697" s="195"/>
      <c r="G1697" s="195"/>
      <c r="H1697" s="196"/>
      <c r="I1697" s="195"/>
      <c r="J1697" s="195"/>
      <c r="K1697" s="195"/>
      <c r="L1697" s="197"/>
    </row>
    <row r="1698" spans="1:12" ht="15">
      <c r="A1698" s="74"/>
      <c r="D1698" s="75" t="s">
        <v>132</v>
      </c>
      <c r="E1698" s="75" t="s">
        <v>4</v>
      </c>
      <c r="G1698" s="76">
        <v>1</v>
      </c>
      <c r="L1698" s="77"/>
    </row>
    <row r="1699" spans="1:47" ht="15">
      <c r="A1699" s="65" t="s">
        <v>4</v>
      </c>
      <c r="B1699" s="66" t="s">
        <v>97</v>
      </c>
      <c r="C1699" s="66" t="s">
        <v>3221</v>
      </c>
      <c r="D1699" s="192" t="s">
        <v>73</v>
      </c>
      <c r="E1699" s="193"/>
      <c r="F1699" s="67" t="s">
        <v>78</v>
      </c>
      <c r="G1699" s="67" t="s">
        <v>78</v>
      </c>
      <c r="H1699" s="68" t="s">
        <v>78</v>
      </c>
      <c r="I1699" s="44">
        <f>SUM(I1700:I1704)</f>
        <v>0</v>
      </c>
      <c r="J1699" s="50" t="s">
        <v>4</v>
      </c>
      <c r="K1699" s="44">
        <f>SUM(K1700:K1704)</f>
        <v>0</v>
      </c>
      <c r="L1699" s="69" t="s">
        <v>4</v>
      </c>
      <c r="AI1699" s="50" t="s">
        <v>97</v>
      </c>
      <c r="AS1699" s="44">
        <f>SUM(AJ1700:AJ1704)</f>
        <v>0</v>
      </c>
      <c r="AT1699" s="44">
        <f>SUM(AK1700:AK1704)</f>
        <v>0</v>
      </c>
      <c r="AU1699" s="44">
        <f>SUM(AL1700:AL1704)</f>
        <v>0</v>
      </c>
    </row>
    <row r="1700" spans="1:75" ht="13.5" customHeight="1">
      <c r="A1700" s="1" t="s">
        <v>3222</v>
      </c>
      <c r="B1700" s="2" t="s">
        <v>97</v>
      </c>
      <c r="C1700" s="2" t="s">
        <v>3223</v>
      </c>
      <c r="D1700" s="108" t="s">
        <v>3224</v>
      </c>
      <c r="E1700" s="103"/>
      <c r="F1700" s="2" t="s">
        <v>3211</v>
      </c>
      <c r="G1700" s="38">
        <v>1</v>
      </c>
      <c r="H1700" s="70">
        <v>0</v>
      </c>
      <c r="I1700" s="38">
        <f>G1700*H1700</f>
        <v>0</v>
      </c>
      <c r="J1700" s="38">
        <v>0</v>
      </c>
      <c r="K1700" s="38">
        <f>G1700*J1700</f>
        <v>0</v>
      </c>
      <c r="L1700" s="71" t="s">
        <v>207</v>
      </c>
      <c r="Z1700" s="38">
        <f>IF(AQ1700="5",BJ1700,0)</f>
        <v>0</v>
      </c>
      <c r="AB1700" s="38">
        <f>IF(AQ1700="1",BH1700,0)</f>
        <v>0</v>
      </c>
      <c r="AC1700" s="38">
        <f>IF(AQ1700="1",BI1700,0)</f>
        <v>0</v>
      </c>
      <c r="AD1700" s="38">
        <f>IF(AQ1700="7",BH1700,0)</f>
        <v>0</v>
      </c>
      <c r="AE1700" s="38">
        <f>IF(AQ1700="7",BI1700,0)</f>
        <v>0</v>
      </c>
      <c r="AF1700" s="38">
        <f>IF(AQ1700="2",BH1700,0)</f>
        <v>0</v>
      </c>
      <c r="AG1700" s="38">
        <f>IF(AQ1700="2",BI1700,0)</f>
        <v>0</v>
      </c>
      <c r="AH1700" s="38">
        <f>IF(AQ1700="0",BJ1700,0)</f>
        <v>0</v>
      </c>
      <c r="AI1700" s="50" t="s">
        <v>97</v>
      </c>
      <c r="AJ1700" s="38">
        <f>IF(AN1700=0,I1700,0)</f>
        <v>0</v>
      </c>
      <c r="AK1700" s="38">
        <f>IF(AN1700=12,I1700,0)</f>
        <v>0</v>
      </c>
      <c r="AL1700" s="38">
        <f>IF(AN1700=21,I1700,0)</f>
        <v>0</v>
      </c>
      <c r="AN1700" s="38">
        <v>21</v>
      </c>
      <c r="AO1700" s="38">
        <f>H1700*0</f>
        <v>0</v>
      </c>
      <c r="AP1700" s="38">
        <f>H1700*(1-0)</f>
        <v>0</v>
      </c>
      <c r="AQ1700" s="72" t="s">
        <v>747</v>
      </c>
      <c r="AV1700" s="38">
        <f>AW1700+AX1700</f>
        <v>0</v>
      </c>
      <c r="AW1700" s="38">
        <f>G1700*AO1700</f>
        <v>0</v>
      </c>
      <c r="AX1700" s="38">
        <f>G1700*AP1700</f>
        <v>0</v>
      </c>
      <c r="AY1700" s="72" t="s">
        <v>3225</v>
      </c>
      <c r="AZ1700" s="72" t="s">
        <v>3213</v>
      </c>
      <c r="BA1700" s="50" t="s">
        <v>3214</v>
      </c>
      <c r="BC1700" s="38">
        <f>AW1700+AX1700</f>
        <v>0</v>
      </c>
      <c r="BD1700" s="38">
        <f>H1700/(100-BE1700)*100</f>
        <v>0</v>
      </c>
      <c r="BE1700" s="38">
        <v>0</v>
      </c>
      <c r="BF1700" s="38">
        <f>K1700</f>
        <v>0</v>
      </c>
      <c r="BH1700" s="38">
        <f>G1700*AO1700</f>
        <v>0</v>
      </c>
      <c r="BI1700" s="38">
        <f>G1700*AP1700</f>
        <v>0</v>
      </c>
      <c r="BJ1700" s="38">
        <f>G1700*H1700</f>
        <v>0</v>
      </c>
      <c r="BK1700" s="38"/>
      <c r="BL1700" s="38"/>
      <c r="BU1700" s="38">
        <f>G1700*H1700</f>
        <v>0</v>
      </c>
      <c r="BW1700" s="38">
        <v>21</v>
      </c>
    </row>
    <row r="1701" spans="1:12" ht="15">
      <c r="A1701" s="74"/>
      <c r="D1701" s="75" t="s">
        <v>132</v>
      </c>
      <c r="E1701" s="75" t="s">
        <v>4</v>
      </c>
      <c r="G1701" s="76">
        <v>1</v>
      </c>
      <c r="L1701" s="77"/>
    </row>
    <row r="1702" spans="1:75" ht="13.5" customHeight="1">
      <c r="A1702" s="1" t="s">
        <v>3226</v>
      </c>
      <c r="B1702" s="2" t="s">
        <v>97</v>
      </c>
      <c r="C1702" s="2" t="s">
        <v>3227</v>
      </c>
      <c r="D1702" s="108" t="s">
        <v>3228</v>
      </c>
      <c r="E1702" s="103"/>
      <c r="F1702" s="2" t="s">
        <v>3211</v>
      </c>
      <c r="G1702" s="38">
        <v>1</v>
      </c>
      <c r="H1702" s="70">
        <v>0</v>
      </c>
      <c r="I1702" s="38">
        <f>G1702*H1702</f>
        <v>0</v>
      </c>
      <c r="J1702" s="38">
        <v>0</v>
      </c>
      <c r="K1702" s="38">
        <f>G1702*J1702</f>
        <v>0</v>
      </c>
      <c r="L1702" s="71" t="s">
        <v>207</v>
      </c>
      <c r="Z1702" s="38">
        <f>IF(AQ1702="5",BJ1702,0)</f>
        <v>0</v>
      </c>
      <c r="AB1702" s="38">
        <f>IF(AQ1702="1",BH1702,0)</f>
        <v>0</v>
      </c>
      <c r="AC1702" s="38">
        <f>IF(AQ1702="1",BI1702,0)</f>
        <v>0</v>
      </c>
      <c r="AD1702" s="38">
        <f>IF(AQ1702="7",BH1702,0)</f>
        <v>0</v>
      </c>
      <c r="AE1702" s="38">
        <f>IF(AQ1702="7",BI1702,0)</f>
        <v>0</v>
      </c>
      <c r="AF1702" s="38">
        <f>IF(AQ1702="2",BH1702,0)</f>
        <v>0</v>
      </c>
      <c r="AG1702" s="38">
        <f>IF(AQ1702="2",BI1702,0)</f>
        <v>0</v>
      </c>
      <c r="AH1702" s="38">
        <f>IF(AQ1702="0",BJ1702,0)</f>
        <v>0</v>
      </c>
      <c r="AI1702" s="50" t="s">
        <v>97</v>
      </c>
      <c r="AJ1702" s="38">
        <f>IF(AN1702=0,I1702,0)</f>
        <v>0</v>
      </c>
      <c r="AK1702" s="38">
        <f>IF(AN1702=12,I1702,0)</f>
        <v>0</v>
      </c>
      <c r="AL1702" s="38">
        <f>IF(AN1702=21,I1702,0)</f>
        <v>0</v>
      </c>
      <c r="AN1702" s="38">
        <v>21</v>
      </c>
      <c r="AO1702" s="38">
        <f>H1702*0</f>
        <v>0</v>
      </c>
      <c r="AP1702" s="38">
        <f>H1702*(1-0)</f>
        <v>0</v>
      </c>
      <c r="AQ1702" s="72" t="s">
        <v>747</v>
      </c>
      <c r="AV1702" s="38">
        <f>AW1702+AX1702</f>
        <v>0</v>
      </c>
      <c r="AW1702" s="38">
        <f>G1702*AO1702</f>
        <v>0</v>
      </c>
      <c r="AX1702" s="38">
        <f>G1702*AP1702</f>
        <v>0</v>
      </c>
      <c r="AY1702" s="72" t="s">
        <v>3225</v>
      </c>
      <c r="AZ1702" s="72" t="s">
        <v>3213</v>
      </c>
      <c r="BA1702" s="50" t="s">
        <v>3214</v>
      </c>
      <c r="BC1702" s="38">
        <f>AW1702+AX1702</f>
        <v>0</v>
      </c>
      <c r="BD1702" s="38">
        <f>H1702/(100-BE1702)*100</f>
        <v>0</v>
      </c>
      <c r="BE1702" s="38">
        <v>0</v>
      </c>
      <c r="BF1702" s="38">
        <f>K1702</f>
        <v>0</v>
      </c>
      <c r="BH1702" s="38">
        <f>G1702*AO1702</f>
        <v>0</v>
      </c>
      <c r="BI1702" s="38">
        <f>G1702*AP1702</f>
        <v>0</v>
      </c>
      <c r="BJ1702" s="38">
        <f>G1702*H1702</f>
        <v>0</v>
      </c>
      <c r="BK1702" s="38"/>
      <c r="BL1702" s="38"/>
      <c r="BU1702" s="38">
        <f>G1702*H1702</f>
        <v>0</v>
      </c>
      <c r="BW1702" s="38">
        <v>21</v>
      </c>
    </row>
    <row r="1703" spans="1:12" ht="15">
      <c r="A1703" s="74"/>
      <c r="D1703" s="75" t="s">
        <v>132</v>
      </c>
      <c r="E1703" s="75" t="s">
        <v>4</v>
      </c>
      <c r="G1703" s="76">
        <v>1</v>
      </c>
      <c r="L1703" s="77"/>
    </row>
    <row r="1704" spans="1:75" ht="13.5" customHeight="1">
      <c r="A1704" s="1" t="s">
        <v>3229</v>
      </c>
      <c r="B1704" s="2" t="s">
        <v>97</v>
      </c>
      <c r="C1704" s="2" t="s">
        <v>3230</v>
      </c>
      <c r="D1704" s="108" t="s">
        <v>3231</v>
      </c>
      <c r="E1704" s="103"/>
      <c r="F1704" s="2" t="s">
        <v>3211</v>
      </c>
      <c r="G1704" s="38">
        <v>1</v>
      </c>
      <c r="H1704" s="70">
        <v>0</v>
      </c>
      <c r="I1704" s="38">
        <f>G1704*H1704</f>
        <v>0</v>
      </c>
      <c r="J1704" s="38">
        <v>0</v>
      </c>
      <c r="K1704" s="38">
        <f>G1704*J1704</f>
        <v>0</v>
      </c>
      <c r="L1704" s="71" t="s">
        <v>207</v>
      </c>
      <c r="Z1704" s="38">
        <f>IF(AQ1704="5",BJ1704,0)</f>
        <v>0</v>
      </c>
      <c r="AB1704" s="38">
        <f>IF(AQ1704="1",BH1704,0)</f>
        <v>0</v>
      </c>
      <c r="AC1704" s="38">
        <f>IF(AQ1704="1",BI1704,0)</f>
        <v>0</v>
      </c>
      <c r="AD1704" s="38">
        <f>IF(AQ1704="7",BH1704,0)</f>
        <v>0</v>
      </c>
      <c r="AE1704" s="38">
        <f>IF(AQ1704="7",BI1704,0)</f>
        <v>0</v>
      </c>
      <c r="AF1704" s="38">
        <f>IF(AQ1704="2",BH1704,0)</f>
        <v>0</v>
      </c>
      <c r="AG1704" s="38">
        <f>IF(AQ1704="2",BI1704,0)</f>
        <v>0</v>
      </c>
      <c r="AH1704" s="38">
        <f>IF(AQ1704="0",BJ1704,0)</f>
        <v>0</v>
      </c>
      <c r="AI1704" s="50" t="s">
        <v>97</v>
      </c>
      <c r="AJ1704" s="38">
        <f>IF(AN1704=0,I1704,0)</f>
        <v>0</v>
      </c>
      <c r="AK1704" s="38">
        <f>IF(AN1704=12,I1704,0)</f>
        <v>0</v>
      </c>
      <c r="AL1704" s="38">
        <f>IF(AN1704=21,I1704,0)</f>
        <v>0</v>
      </c>
      <c r="AN1704" s="38">
        <v>21</v>
      </c>
      <c r="AO1704" s="38">
        <f>H1704*0</f>
        <v>0</v>
      </c>
      <c r="AP1704" s="38">
        <f>H1704*(1-0)</f>
        <v>0</v>
      </c>
      <c r="AQ1704" s="72" t="s">
        <v>747</v>
      </c>
      <c r="AV1704" s="38">
        <f>AW1704+AX1704</f>
        <v>0</v>
      </c>
      <c r="AW1704" s="38">
        <f>G1704*AO1704</f>
        <v>0</v>
      </c>
      <c r="AX1704" s="38">
        <f>G1704*AP1704</f>
        <v>0</v>
      </c>
      <c r="AY1704" s="72" t="s">
        <v>3225</v>
      </c>
      <c r="AZ1704" s="72" t="s">
        <v>3213</v>
      </c>
      <c r="BA1704" s="50" t="s">
        <v>3214</v>
      </c>
      <c r="BC1704" s="38">
        <f>AW1704+AX1704</f>
        <v>0</v>
      </c>
      <c r="BD1704" s="38">
        <f>H1704/(100-BE1704)*100</f>
        <v>0</v>
      </c>
      <c r="BE1704" s="38">
        <v>0</v>
      </c>
      <c r="BF1704" s="38">
        <f>K1704</f>
        <v>0</v>
      </c>
      <c r="BH1704" s="38">
        <f>G1704*AO1704</f>
        <v>0</v>
      </c>
      <c r="BI1704" s="38">
        <f>G1704*AP1704</f>
        <v>0</v>
      </c>
      <c r="BJ1704" s="38">
        <f>G1704*H1704</f>
        <v>0</v>
      </c>
      <c r="BK1704" s="38"/>
      <c r="BL1704" s="38"/>
      <c r="BU1704" s="38">
        <f>G1704*H1704</f>
        <v>0</v>
      </c>
      <c r="BW1704" s="38">
        <v>21</v>
      </c>
    </row>
    <row r="1705" spans="1:12" ht="15">
      <c r="A1705" s="84"/>
      <c r="B1705" s="85"/>
      <c r="C1705" s="85"/>
      <c r="D1705" s="86" t="s">
        <v>132</v>
      </c>
      <c r="E1705" s="86" t="s">
        <v>4</v>
      </c>
      <c r="F1705" s="85"/>
      <c r="G1705" s="87">
        <v>1</v>
      </c>
      <c r="H1705" s="88"/>
      <c r="I1705" s="85"/>
      <c r="J1705" s="85"/>
      <c r="K1705" s="85"/>
      <c r="L1705" s="89"/>
    </row>
    <row r="1706" ht="15">
      <c r="I1706" s="42">
        <f>ROUND(I13+I19+I23+I40+I47+I95+I135+I162+I192+I196+I212+I236+I298+I303+I357+I383+I419+I429+I486+I501+I543+I634+I689+I755+I763+I789+I829+I846+I881+I909+I919+I929+I937+I943+I960+I1031+I1099+I1102+I1108+I1120+I1135+I1139+I1141+I1146+I1152+I1169+I1194+I1198+I1216+I1219+I1224+I1229+I1232+I1238+I1243+I1254+I1264+I1273+I1286+I1289+I1295+I1330+I1334+I1431+I1525+I1528+I1542+I1577+I1607+I1626+I1651+I1664+I1691+I1695+I1699,0)</f>
        <v>0</v>
      </c>
    </row>
    <row r="1707" ht="15">
      <c r="A1707" s="43" t="s">
        <v>56</v>
      </c>
    </row>
    <row r="1708" spans="1:12" ht="12.75" customHeight="1">
      <c r="A1708" s="108" t="s">
        <v>4</v>
      </c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</row>
  </sheetData>
  <sheetProtection password="F483" sheet="1" objects="1" scenarios="1"/>
  <mergeCells count="1134">
    <mergeCell ref="D1702:E1702"/>
    <mergeCell ref="D1704:E1704"/>
    <mergeCell ref="A1708:L1708"/>
    <mergeCell ref="D1695:E1695"/>
    <mergeCell ref="D1696:E1696"/>
    <mergeCell ref="D1697:L1697"/>
    <mergeCell ref="D1699:E1699"/>
    <mergeCell ref="D1700:E1700"/>
    <mergeCell ref="D1689:E1689"/>
    <mergeCell ref="D1690:E1690"/>
    <mergeCell ref="D1691:E1691"/>
    <mergeCell ref="D1692:E1692"/>
    <mergeCell ref="D1693:L1693"/>
    <mergeCell ref="D1672:L1672"/>
    <mergeCell ref="D1677:E1677"/>
    <mergeCell ref="D1678:L1678"/>
    <mergeCell ref="D1683:E1683"/>
    <mergeCell ref="D1684:L1684"/>
    <mergeCell ref="D1659:L1659"/>
    <mergeCell ref="D1664:E1664"/>
    <mergeCell ref="D1665:E1665"/>
    <mergeCell ref="D1666:L1666"/>
    <mergeCell ref="D1671:E1671"/>
    <mergeCell ref="D1650:E1650"/>
    <mergeCell ref="D1651:E1651"/>
    <mergeCell ref="D1652:E1652"/>
    <mergeCell ref="D1653:L1653"/>
    <mergeCell ref="D1658:E1658"/>
    <mergeCell ref="D1645:E1645"/>
    <mergeCell ref="D1646:L1646"/>
    <mergeCell ref="D1647:E1647"/>
    <mergeCell ref="D1648:E1648"/>
    <mergeCell ref="D1649:L1649"/>
    <mergeCell ref="D1640:E1640"/>
    <mergeCell ref="D1641:L1641"/>
    <mergeCell ref="D1642:E1642"/>
    <mergeCell ref="D1643:E1643"/>
    <mergeCell ref="D1644:E1644"/>
    <mergeCell ref="D1635:E1635"/>
    <mergeCell ref="D1636:E1636"/>
    <mergeCell ref="D1637:L1637"/>
    <mergeCell ref="D1638:E1638"/>
    <mergeCell ref="D1639:E1639"/>
    <mergeCell ref="D1630:E1630"/>
    <mergeCell ref="D1631:E1631"/>
    <mergeCell ref="D1632:E1632"/>
    <mergeCell ref="D1633:E1633"/>
    <mergeCell ref="D1634:E1634"/>
    <mergeCell ref="D1625:E1625"/>
    <mergeCell ref="D1626:E1626"/>
    <mergeCell ref="D1627:E1627"/>
    <mergeCell ref="D1628:E1628"/>
    <mergeCell ref="D1629:E1629"/>
    <mergeCell ref="D1620:E1620"/>
    <mergeCell ref="D1621:E1621"/>
    <mergeCell ref="D1622:E1622"/>
    <mergeCell ref="D1623:E1623"/>
    <mergeCell ref="D1624:L1624"/>
    <mergeCell ref="D1615:E1615"/>
    <mergeCell ref="D1616:E1616"/>
    <mergeCell ref="D1617:E1617"/>
    <mergeCell ref="D1618:E1618"/>
    <mergeCell ref="D1619:E1619"/>
    <mergeCell ref="D1610:E1610"/>
    <mergeCell ref="D1611:E1611"/>
    <mergeCell ref="D1612:L1612"/>
    <mergeCell ref="D1613:E1613"/>
    <mergeCell ref="D1614:E1614"/>
    <mergeCell ref="D1605:L1605"/>
    <mergeCell ref="D1606:E1606"/>
    <mergeCell ref="D1607:E1607"/>
    <mergeCell ref="D1608:E1608"/>
    <mergeCell ref="D1609:E1609"/>
    <mergeCell ref="D1600:E1600"/>
    <mergeCell ref="D1601:E1601"/>
    <mergeCell ref="D1602:L1602"/>
    <mergeCell ref="D1603:E1603"/>
    <mergeCell ref="D1604:E1604"/>
    <mergeCell ref="D1595:E1595"/>
    <mergeCell ref="D1596:L1596"/>
    <mergeCell ref="D1597:E1597"/>
    <mergeCell ref="D1598:E1598"/>
    <mergeCell ref="D1599:L1599"/>
    <mergeCell ref="D1590:E1590"/>
    <mergeCell ref="D1591:E1591"/>
    <mergeCell ref="D1592:E1592"/>
    <mergeCell ref="D1593:E1593"/>
    <mergeCell ref="D1594:E1594"/>
    <mergeCell ref="D1585:E1585"/>
    <mergeCell ref="D1586:E1586"/>
    <mergeCell ref="D1587:E1587"/>
    <mergeCell ref="D1588:E1588"/>
    <mergeCell ref="D1589:E1589"/>
    <mergeCell ref="D1580:L1580"/>
    <mergeCell ref="D1581:E1581"/>
    <mergeCell ref="D1582:E1582"/>
    <mergeCell ref="D1583:E1583"/>
    <mergeCell ref="D1584:E1584"/>
    <mergeCell ref="D1575:E1575"/>
    <mergeCell ref="D1576:E1576"/>
    <mergeCell ref="D1577:E1577"/>
    <mergeCell ref="D1578:E1578"/>
    <mergeCell ref="D1579:E1579"/>
    <mergeCell ref="D1570:E1570"/>
    <mergeCell ref="D1571:E1571"/>
    <mergeCell ref="D1572:E1572"/>
    <mergeCell ref="D1573:E1573"/>
    <mergeCell ref="D1574:E1574"/>
    <mergeCell ref="D1565:E1565"/>
    <mergeCell ref="D1566:E1566"/>
    <mergeCell ref="D1567:L1567"/>
    <mergeCell ref="D1568:E1568"/>
    <mergeCell ref="D1569:E1569"/>
    <mergeCell ref="D1560:E1560"/>
    <mergeCell ref="D1561:L1561"/>
    <mergeCell ref="D1562:E1562"/>
    <mergeCell ref="D1563:E1563"/>
    <mergeCell ref="D1564:L1564"/>
    <mergeCell ref="D1555:E1555"/>
    <mergeCell ref="D1556:E1556"/>
    <mergeCell ref="D1557:E1557"/>
    <mergeCell ref="D1558:E1558"/>
    <mergeCell ref="D1559:E1559"/>
    <mergeCell ref="D1550:E1550"/>
    <mergeCell ref="D1551:E1551"/>
    <mergeCell ref="D1552:E1552"/>
    <mergeCell ref="D1553:E1553"/>
    <mergeCell ref="D1554:E1554"/>
    <mergeCell ref="D1545:E1545"/>
    <mergeCell ref="D1546:L1546"/>
    <mergeCell ref="D1547:E1547"/>
    <mergeCell ref="D1548:L1548"/>
    <mergeCell ref="D1549:E1549"/>
    <mergeCell ref="D1540:L1540"/>
    <mergeCell ref="D1541:E1541"/>
    <mergeCell ref="D1542:E1542"/>
    <mergeCell ref="D1543:E1543"/>
    <mergeCell ref="D1544:E1544"/>
    <mergeCell ref="D1535:E1535"/>
    <mergeCell ref="D1536:L1536"/>
    <mergeCell ref="D1537:E1537"/>
    <mergeCell ref="D1538:L1538"/>
    <mergeCell ref="D1539:E1539"/>
    <mergeCell ref="D1530:L1530"/>
    <mergeCell ref="D1531:E1531"/>
    <mergeCell ref="D1532:L1532"/>
    <mergeCell ref="D1533:E1533"/>
    <mergeCell ref="D1534:L1534"/>
    <mergeCell ref="D1525:E1525"/>
    <mergeCell ref="D1526:E1526"/>
    <mergeCell ref="D1527:E1527"/>
    <mergeCell ref="D1528:E1528"/>
    <mergeCell ref="D1529:E1529"/>
    <mergeCell ref="D1520:E1520"/>
    <mergeCell ref="D1521:E1521"/>
    <mergeCell ref="D1522:E1522"/>
    <mergeCell ref="D1523:E1523"/>
    <mergeCell ref="D1524:E1524"/>
    <mergeCell ref="D1515:E1515"/>
    <mergeCell ref="D1516:E1516"/>
    <mergeCell ref="D1517:E1517"/>
    <mergeCell ref="D1518:E1518"/>
    <mergeCell ref="D1519:E1519"/>
    <mergeCell ref="D1510:E1510"/>
    <mergeCell ref="D1511:E1511"/>
    <mergeCell ref="D1512:E1512"/>
    <mergeCell ref="D1513:E1513"/>
    <mergeCell ref="D1514:E1514"/>
    <mergeCell ref="D1505:E1505"/>
    <mergeCell ref="D1506:E1506"/>
    <mergeCell ref="D1507:E1507"/>
    <mergeCell ref="D1508:E1508"/>
    <mergeCell ref="D1509:L1509"/>
    <mergeCell ref="D1500:E1500"/>
    <mergeCell ref="D1501:E1501"/>
    <mergeCell ref="D1502:E1502"/>
    <mergeCell ref="D1503:E1503"/>
    <mergeCell ref="D1504:E1504"/>
    <mergeCell ref="D1495:E1495"/>
    <mergeCell ref="D1496:E1496"/>
    <mergeCell ref="D1497:E1497"/>
    <mergeCell ref="D1498:E1498"/>
    <mergeCell ref="D1499:E1499"/>
    <mergeCell ref="D1490:E1490"/>
    <mergeCell ref="D1491:E1491"/>
    <mergeCell ref="D1492:E1492"/>
    <mergeCell ref="D1493:E1493"/>
    <mergeCell ref="D1494:E1494"/>
    <mergeCell ref="D1485:E1485"/>
    <mergeCell ref="D1486:E1486"/>
    <mergeCell ref="D1487:E1487"/>
    <mergeCell ref="D1488:E1488"/>
    <mergeCell ref="D1489:E1489"/>
    <mergeCell ref="D1480:L1480"/>
    <mergeCell ref="D1481:E1481"/>
    <mergeCell ref="D1482:E1482"/>
    <mergeCell ref="D1483:E1483"/>
    <mergeCell ref="D1484:E1484"/>
    <mergeCell ref="D1475:E1475"/>
    <mergeCell ref="D1476:E1476"/>
    <mergeCell ref="D1477:E1477"/>
    <mergeCell ref="D1478:E1478"/>
    <mergeCell ref="D1479:E1479"/>
    <mergeCell ref="D1470:E1470"/>
    <mergeCell ref="D1471:L1471"/>
    <mergeCell ref="D1472:E1472"/>
    <mergeCell ref="D1473:E1473"/>
    <mergeCell ref="D1474:E1474"/>
    <mergeCell ref="D1465:E1465"/>
    <mergeCell ref="D1466:E1466"/>
    <mergeCell ref="D1467:E1467"/>
    <mergeCell ref="D1468:E1468"/>
    <mergeCell ref="D1469:E1469"/>
    <mergeCell ref="D1460:E1460"/>
    <mergeCell ref="D1461:E1461"/>
    <mergeCell ref="D1462:E1462"/>
    <mergeCell ref="D1463:E1463"/>
    <mergeCell ref="D1464:E1464"/>
    <mergeCell ref="D1455:E1455"/>
    <mergeCell ref="D1456:E1456"/>
    <mergeCell ref="D1457:E1457"/>
    <mergeCell ref="D1458:E1458"/>
    <mergeCell ref="D1459:E1459"/>
    <mergeCell ref="D1450:L1450"/>
    <mergeCell ref="D1451:E1451"/>
    <mergeCell ref="D1452:E1452"/>
    <mergeCell ref="D1453:E1453"/>
    <mergeCell ref="D1454:E1454"/>
    <mergeCell ref="D1445:E1445"/>
    <mergeCell ref="D1446:E1446"/>
    <mergeCell ref="D1447:E1447"/>
    <mergeCell ref="D1448:E1448"/>
    <mergeCell ref="D1449:E1449"/>
    <mergeCell ref="D1440:E1440"/>
    <mergeCell ref="D1441:E1441"/>
    <mergeCell ref="D1442:L1442"/>
    <mergeCell ref="D1443:E1443"/>
    <mergeCell ref="D1444:E1444"/>
    <mergeCell ref="D1435:E1435"/>
    <mergeCell ref="D1436:E1436"/>
    <mergeCell ref="D1437:E1437"/>
    <mergeCell ref="D1438:E1438"/>
    <mergeCell ref="D1439:E1439"/>
    <mergeCell ref="D1430:E1430"/>
    <mergeCell ref="D1431:E1431"/>
    <mergeCell ref="D1432:E1432"/>
    <mergeCell ref="D1433:L1433"/>
    <mergeCell ref="D1434:E1434"/>
    <mergeCell ref="D1425:E1425"/>
    <mergeCell ref="D1426:E1426"/>
    <mergeCell ref="D1427:E1427"/>
    <mergeCell ref="D1428:E1428"/>
    <mergeCell ref="D1429:L1429"/>
    <mergeCell ref="D1420:E1420"/>
    <mergeCell ref="D1421:E1421"/>
    <mergeCell ref="D1422:E1422"/>
    <mergeCell ref="D1423:E1423"/>
    <mergeCell ref="D1424:E1424"/>
    <mergeCell ref="D1415:E1415"/>
    <mergeCell ref="D1416:E1416"/>
    <mergeCell ref="D1417:E1417"/>
    <mergeCell ref="D1418:E1418"/>
    <mergeCell ref="D1419:E1419"/>
    <mergeCell ref="D1410:E1410"/>
    <mergeCell ref="D1411:E1411"/>
    <mergeCell ref="D1412:E1412"/>
    <mergeCell ref="D1413:E1413"/>
    <mergeCell ref="D1414:E1414"/>
    <mergeCell ref="D1405:E1405"/>
    <mergeCell ref="D1406:E1406"/>
    <mergeCell ref="D1407:E1407"/>
    <mergeCell ref="D1408:E1408"/>
    <mergeCell ref="D1409:E1409"/>
    <mergeCell ref="D1400:E1400"/>
    <mergeCell ref="D1401:E1401"/>
    <mergeCell ref="D1402:E1402"/>
    <mergeCell ref="D1403:E1403"/>
    <mergeCell ref="D1404:E1404"/>
    <mergeCell ref="D1395:E1395"/>
    <mergeCell ref="D1396:E1396"/>
    <mergeCell ref="D1397:E1397"/>
    <mergeCell ref="D1398:E1398"/>
    <mergeCell ref="D1399:E1399"/>
    <mergeCell ref="D1390:E1390"/>
    <mergeCell ref="D1391:E1391"/>
    <mergeCell ref="D1392:E1392"/>
    <mergeCell ref="D1393:E1393"/>
    <mergeCell ref="D1394:E1394"/>
    <mergeCell ref="D1385:E1385"/>
    <mergeCell ref="D1386:E1386"/>
    <mergeCell ref="D1387:E1387"/>
    <mergeCell ref="D1388:E1388"/>
    <mergeCell ref="D1389:E1389"/>
    <mergeCell ref="D1380:E1380"/>
    <mergeCell ref="D1381:E1381"/>
    <mergeCell ref="D1382:E1382"/>
    <mergeCell ref="D1383:E1383"/>
    <mergeCell ref="D1384:E1384"/>
    <mergeCell ref="D1375:E1375"/>
    <mergeCell ref="D1376:E1376"/>
    <mergeCell ref="D1377:E1377"/>
    <mergeCell ref="D1378:E1378"/>
    <mergeCell ref="D1379:E1379"/>
    <mergeCell ref="D1370:E1370"/>
    <mergeCell ref="D1371:E1371"/>
    <mergeCell ref="D1372:E1372"/>
    <mergeCell ref="D1373:E1373"/>
    <mergeCell ref="D1374:E1374"/>
    <mergeCell ref="D1365:E1365"/>
    <mergeCell ref="D1366:E1366"/>
    <mergeCell ref="D1367:E1367"/>
    <mergeCell ref="D1368:E1368"/>
    <mergeCell ref="D1369:E1369"/>
    <mergeCell ref="D1360:E1360"/>
    <mergeCell ref="D1361:E1361"/>
    <mergeCell ref="D1362:E1362"/>
    <mergeCell ref="D1363:E1363"/>
    <mergeCell ref="D1364:E1364"/>
    <mergeCell ref="D1355:E1355"/>
    <mergeCell ref="D1356:E1356"/>
    <mergeCell ref="D1357:E1357"/>
    <mergeCell ref="D1358:E1358"/>
    <mergeCell ref="D1359:E1359"/>
    <mergeCell ref="D1350:E1350"/>
    <mergeCell ref="D1351:E1351"/>
    <mergeCell ref="D1352:E1352"/>
    <mergeCell ref="D1353:E1353"/>
    <mergeCell ref="D1354:E1354"/>
    <mergeCell ref="D1345:E1345"/>
    <mergeCell ref="D1346:E1346"/>
    <mergeCell ref="D1347:E1347"/>
    <mergeCell ref="D1348:E1348"/>
    <mergeCell ref="D1349:E1349"/>
    <mergeCell ref="D1340:E1340"/>
    <mergeCell ref="D1341:E1341"/>
    <mergeCell ref="D1342:E1342"/>
    <mergeCell ref="D1343:E1343"/>
    <mergeCell ref="D1344:E1344"/>
    <mergeCell ref="D1335:E1335"/>
    <mergeCell ref="D1336:E1336"/>
    <mergeCell ref="D1337:E1337"/>
    <mergeCell ref="D1338:E1338"/>
    <mergeCell ref="D1339:E1339"/>
    <mergeCell ref="D1330:E1330"/>
    <mergeCell ref="D1331:E1331"/>
    <mergeCell ref="D1332:E1332"/>
    <mergeCell ref="D1333:E1333"/>
    <mergeCell ref="D1334:E1334"/>
    <mergeCell ref="D1325:E1325"/>
    <mergeCell ref="D1326:E1326"/>
    <mergeCell ref="D1327:E1327"/>
    <mergeCell ref="D1328:E1328"/>
    <mergeCell ref="D1329:E1329"/>
    <mergeCell ref="D1320:E1320"/>
    <mergeCell ref="D1321:E1321"/>
    <mergeCell ref="D1322:E1322"/>
    <mergeCell ref="D1323:E1323"/>
    <mergeCell ref="D1324:E1324"/>
    <mergeCell ref="D1315:E1315"/>
    <mergeCell ref="D1316:E1316"/>
    <mergeCell ref="D1317:E1317"/>
    <mergeCell ref="D1318:E1318"/>
    <mergeCell ref="D1319:E1319"/>
    <mergeCell ref="D1310:E1310"/>
    <mergeCell ref="D1311:E1311"/>
    <mergeCell ref="D1312:E1312"/>
    <mergeCell ref="D1313:E1313"/>
    <mergeCell ref="D1314:E1314"/>
    <mergeCell ref="D1305:E1305"/>
    <mergeCell ref="D1306:E1306"/>
    <mergeCell ref="D1307:E1307"/>
    <mergeCell ref="D1308:E1308"/>
    <mergeCell ref="D1309:E1309"/>
    <mergeCell ref="D1300:E1300"/>
    <mergeCell ref="D1301:E1301"/>
    <mergeCell ref="D1302:E1302"/>
    <mergeCell ref="D1303:E1303"/>
    <mergeCell ref="D1304:E1304"/>
    <mergeCell ref="D1295:E1295"/>
    <mergeCell ref="D1296:E1296"/>
    <mergeCell ref="D1297:E1297"/>
    <mergeCell ref="D1298:E1298"/>
    <mergeCell ref="D1299:E1299"/>
    <mergeCell ref="D1290:E1290"/>
    <mergeCell ref="D1291:E1291"/>
    <mergeCell ref="D1292:E1292"/>
    <mergeCell ref="D1293:E1293"/>
    <mergeCell ref="D1294:E1294"/>
    <mergeCell ref="D1285:E1285"/>
    <mergeCell ref="D1286:E1286"/>
    <mergeCell ref="D1287:E1287"/>
    <mergeCell ref="D1288:E1288"/>
    <mergeCell ref="D1289:E1289"/>
    <mergeCell ref="D1280:E1280"/>
    <mergeCell ref="D1281:E1281"/>
    <mergeCell ref="D1282:E1282"/>
    <mergeCell ref="D1283:E1283"/>
    <mergeCell ref="D1284:E1284"/>
    <mergeCell ref="D1275:E1275"/>
    <mergeCell ref="D1276:E1276"/>
    <mergeCell ref="D1277:E1277"/>
    <mergeCell ref="D1278:E1278"/>
    <mergeCell ref="D1279:E1279"/>
    <mergeCell ref="D1270:E1270"/>
    <mergeCell ref="D1271:E1271"/>
    <mergeCell ref="D1272:E1272"/>
    <mergeCell ref="D1273:E1273"/>
    <mergeCell ref="D1274:E1274"/>
    <mergeCell ref="D1265:E1265"/>
    <mergeCell ref="D1266:E1266"/>
    <mergeCell ref="D1267:E1267"/>
    <mergeCell ref="D1268:E1268"/>
    <mergeCell ref="D1269:E1269"/>
    <mergeCell ref="D1260:E1260"/>
    <mergeCell ref="D1261:E1261"/>
    <mergeCell ref="D1262:E1262"/>
    <mergeCell ref="D1263:E1263"/>
    <mergeCell ref="D1264:E1264"/>
    <mergeCell ref="D1255:E1255"/>
    <mergeCell ref="D1256:E1256"/>
    <mergeCell ref="D1257:E1257"/>
    <mergeCell ref="D1258:E1258"/>
    <mergeCell ref="D1259:E1259"/>
    <mergeCell ref="D1250:E1250"/>
    <mergeCell ref="D1251:E1251"/>
    <mergeCell ref="D1252:E1252"/>
    <mergeCell ref="D1253:E1253"/>
    <mergeCell ref="D1254:E1254"/>
    <mergeCell ref="D1245:E1245"/>
    <mergeCell ref="D1246:E1246"/>
    <mergeCell ref="D1247:E1247"/>
    <mergeCell ref="D1248:E1248"/>
    <mergeCell ref="D1249:E1249"/>
    <mergeCell ref="D1240:E1240"/>
    <mergeCell ref="D1241:E1241"/>
    <mergeCell ref="D1242:E1242"/>
    <mergeCell ref="D1243:E1243"/>
    <mergeCell ref="D1244:E1244"/>
    <mergeCell ref="D1235:E1235"/>
    <mergeCell ref="D1236:E1236"/>
    <mergeCell ref="D1237:E1237"/>
    <mergeCell ref="D1238:E1238"/>
    <mergeCell ref="D1239:E1239"/>
    <mergeCell ref="D1230:E1230"/>
    <mergeCell ref="D1231:E1231"/>
    <mergeCell ref="D1232:E1232"/>
    <mergeCell ref="D1233:E1233"/>
    <mergeCell ref="D1234:E1234"/>
    <mergeCell ref="D1225:E1225"/>
    <mergeCell ref="D1226:E1226"/>
    <mergeCell ref="D1227:E1227"/>
    <mergeCell ref="D1228:E1228"/>
    <mergeCell ref="D1229:E1229"/>
    <mergeCell ref="D1220:E1220"/>
    <mergeCell ref="D1221:E1221"/>
    <mergeCell ref="D1222:E1222"/>
    <mergeCell ref="D1223:E1223"/>
    <mergeCell ref="D1224:E1224"/>
    <mergeCell ref="D1215:E1215"/>
    <mergeCell ref="D1216:E1216"/>
    <mergeCell ref="D1217:E1217"/>
    <mergeCell ref="D1218:E1218"/>
    <mergeCell ref="D1219:E1219"/>
    <mergeCell ref="D1210:E1210"/>
    <mergeCell ref="D1211:E1211"/>
    <mergeCell ref="D1212:E1212"/>
    <mergeCell ref="D1213:E1213"/>
    <mergeCell ref="D1214:E1214"/>
    <mergeCell ref="D1205:E1205"/>
    <mergeCell ref="D1206:E1206"/>
    <mergeCell ref="D1207:E1207"/>
    <mergeCell ref="D1208:E1208"/>
    <mergeCell ref="D1209:E1209"/>
    <mergeCell ref="D1200:E1200"/>
    <mergeCell ref="D1201:E1201"/>
    <mergeCell ref="D1202:E1202"/>
    <mergeCell ref="D1203:E1203"/>
    <mergeCell ref="D1204:E1204"/>
    <mergeCell ref="D1195:E1195"/>
    <mergeCell ref="D1196:E1196"/>
    <mergeCell ref="D1197:E1197"/>
    <mergeCell ref="D1198:E1198"/>
    <mergeCell ref="D1199:E1199"/>
    <mergeCell ref="D1190:E1190"/>
    <mergeCell ref="D1191:E1191"/>
    <mergeCell ref="D1192:E1192"/>
    <mergeCell ref="D1193:E1193"/>
    <mergeCell ref="D1194:E1194"/>
    <mergeCell ref="D1185:E1185"/>
    <mergeCell ref="D1186:E1186"/>
    <mergeCell ref="D1187:E1187"/>
    <mergeCell ref="D1188:E1188"/>
    <mergeCell ref="D1189:E1189"/>
    <mergeCell ref="D1180:E1180"/>
    <mergeCell ref="D1181:E1181"/>
    <mergeCell ref="D1182:E1182"/>
    <mergeCell ref="D1183:E1183"/>
    <mergeCell ref="D1184:E1184"/>
    <mergeCell ref="D1175:E1175"/>
    <mergeCell ref="D1176:E1176"/>
    <mergeCell ref="D1177:E1177"/>
    <mergeCell ref="D1178:E1178"/>
    <mergeCell ref="D1179:E1179"/>
    <mergeCell ref="D1170:E1170"/>
    <mergeCell ref="D1171:E1171"/>
    <mergeCell ref="D1172:E1172"/>
    <mergeCell ref="D1173:E1173"/>
    <mergeCell ref="D1174:E1174"/>
    <mergeCell ref="D1165:E1165"/>
    <mergeCell ref="D1166:E1166"/>
    <mergeCell ref="D1167:E1167"/>
    <mergeCell ref="D1168:E1168"/>
    <mergeCell ref="D1169:E1169"/>
    <mergeCell ref="D1160:E1160"/>
    <mergeCell ref="D1161:E1161"/>
    <mergeCell ref="D1162:E1162"/>
    <mergeCell ref="D1163:E1163"/>
    <mergeCell ref="D1164:E1164"/>
    <mergeCell ref="D1155:L1155"/>
    <mergeCell ref="D1156:E1156"/>
    <mergeCell ref="D1157:E1157"/>
    <mergeCell ref="D1158:E1158"/>
    <mergeCell ref="D1159:E1159"/>
    <mergeCell ref="D1150:E1150"/>
    <mergeCell ref="D1151:E1151"/>
    <mergeCell ref="D1152:E1152"/>
    <mergeCell ref="D1153:E1153"/>
    <mergeCell ref="D1154:E1154"/>
    <mergeCell ref="D1145:E1145"/>
    <mergeCell ref="D1146:E1146"/>
    <mergeCell ref="D1147:E1147"/>
    <mergeCell ref="D1148:E1148"/>
    <mergeCell ref="D1149:E1149"/>
    <mergeCell ref="D1140:E1140"/>
    <mergeCell ref="D1141:E1141"/>
    <mergeCell ref="D1142:E1142"/>
    <mergeCell ref="D1143:E1143"/>
    <mergeCell ref="D1144:E1144"/>
    <mergeCell ref="D1135:E1135"/>
    <mergeCell ref="D1136:E1136"/>
    <mergeCell ref="D1137:E1137"/>
    <mergeCell ref="D1138:E1138"/>
    <mergeCell ref="D1139:E1139"/>
    <mergeCell ref="D1126:E1126"/>
    <mergeCell ref="D1128:E1128"/>
    <mergeCell ref="D1130:E1130"/>
    <mergeCell ref="D1132:E1132"/>
    <mergeCell ref="D1134:E1134"/>
    <mergeCell ref="D1117:E1117"/>
    <mergeCell ref="D1118:L1118"/>
    <mergeCell ref="D1120:E1120"/>
    <mergeCell ref="D1121:E1121"/>
    <mergeCell ref="D1122:L1122"/>
    <mergeCell ref="D1109:E1109"/>
    <mergeCell ref="D1110:L1110"/>
    <mergeCell ref="D1112:E1112"/>
    <mergeCell ref="D1114:E1114"/>
    <mergeCell ref="D1115:L1115"/>
    <mergeCell ref="D1102:E1102"/>
    <mergeCell ref="D1103:E1103"/>
    <mergeCell ref="D1105:E1105"/>
    <mergeCell ref="D1106:L1106"/>
    <mergeCell ref="D1108:E1108"/>
    <mergeCell ref="D1094:E1094"/>
    <mergeCell ref="D1096:E1096"/>
    <mergeCell ref="D1097:L1097"/>
    <mergeCell ref="D1099:E1099"/>
    <mergeCell ref="D1100:E1100"/>
    <mergeCell ref="D1085:L1085"/>
    <mergeCell ref="D1087:E1087"/>
    <mergeCell ref="D1089:E1089"/>
    <mergeCell ref="D1091:E1091"/>
    <mergeCell ref="D1092:L1092"/>
    <mergeCell ref="D1078:E1078"/>
    <mergeCell ref="D1079:L1079"/>
    <mergeCell ref="D1081:E1081"/>
    <mergeCell ref="D1082:L1082"/>
    <mergeCell ref="D1084:E1084"/>
    <mergeCell ref="D1065:E1065"/>
    <mergeCell ref="D1067:E1067"/>
    <mergeCell ref="D1071:E1071"/>
    <mergeCell ref="D1075:E1075"/>
    <mergeCell ref="D1076:L1076"/>
    <mergeCell ref="D1048:L1048"/>
    <mergeCell ref="D1050:E1050"/>
    <mergeCell ref="D1054:E1054"/>
    <mergeCell ref="D1059:E1059"/>
    <mergeCell ref="D1062:E1062"/>
    <mergeCell ref="D1034:E1034"/>
    <mergeCell ref="D1037:E1037"/>
    <mergeCell ref="D1039:E1039"/>
    <mergeCell ref="D1045:E1045"/>
    <mergeCell ref="D1047:E1047"/>
    <mergeCell ref="D1024:L1024"/>
    <mergeCell ref="D1028:E1028"/>
    <mergeCell ref="D1029:L1029"/>
    <mergeCell ref="D1031:E1031"/>
    <mergeCell ref="D1032:E1032"/>
    <mergeCell ref="D1015:E1015"/>
    <mergeCell ref="D1018:E1018"/>
    <mergeCell ref="D1020:E1020"/>
    <mergeCell ref="D1021:L1021"/>
    <mergeCell ref="D1023:E1023"/>
    <mergeCell ref="D1005:E1005"/>
    <mergeCell ref="D1007:E1007"/>
    <mergeCell ref="D1009:E1009"/>
    <mergeCell ref="D1010:L1010"/>
    <mergeCell ref="D1012:E1012"/>
    <mergeCell ref="D993:L993"/>
    <mergeCell ref="D995:E995"/>
    <mergeCell ref="D997:E997"/>
    <mergeCell ref="D999:E999"/>
    <mergeCell ref="D1003:E1003"/>
    <mergeCell ref="D980:E980"/>
    <mergeCell ref="D982:E982"/>
    <mergeCell ref="D983:L983"/>
    <mergeCell ref="D990:E990"/>
    <mergeCell ref="D992:E992"/>
    <mergeCell ref="D970:E970"/>
    <mergeCell ref="D972:E972"/>
    <mergeCell ref="D974:E974"/>
    <mergeCell ref="D976:E976"/>
    <mergeCell ref="D978:E978"/>
    <mergeCell ref="D958:L958"/>
    <mergeCell ref="D960:E960"/>
    <mergeCell ref="D961:E961"/>
    <mergeCell ref="D963:E963"/>
    <mergeCell ref="D965:E965"/>
    <mergeCell ref="D950:E950"/>
    <mergeCell ref="D952:E952"/>
    <mergeCell ref="D953:L953"/>
    <mergeCell ref="D955:E955"/>
    <mergeCell ref="D957:E957"/>
    <mergeCell ref="D938:E938"/>
    <mergeCell ref="D941:E941"/>
    <mergeCell ref="D943:E943"/>
    <mergeCell ref="D944:E944"/>
    <mergeCell ref="D948:E948"/>
    <mergeCell ref="D930:E930"/>
    <mergeCell ref="D932:E932"/>
    <mergeCell ref="D934:E934"/>
    <mergeCell ref="D935:L935"/>
    <mergeCell ref="D937:E937"/>
    <mergeCell ref="D923:E923"/>
    <mergeCell ref="D924:L924"/>
    <mergeCell ref="D926:E926"/>
    <mergeCell ref="D927:L927"/>
    <mergeCell ref="D929:E929"/>
    <mergeCell ref="D916:E916"/>
    <mergeCell ref="D917:L917"/>
    <mergeCell ref="D919:E919"/>
    <mergeCell ref="D920:E920"/>
    <mergeCell ref="D921:L921"/>
    <mergeCell ref="D909:E909"/>
    <mergeCell ref="D910:E910"/>
    <mergeCell ref="D911:L911"/>
    <mergeCell ref="D913:E913"/>
    <mergeCell ref="D914:L914"/>
    <mergeCell ref="D901:L901"/>
    <mergeCell ref="D903:E903"/>
    <mergeCell ref="D904:L904"/>
    <mergeCell ref="D906:E906"/>
    <mergeCell ref="D907:L907"/>
    <mergeCell ref="D894:E894"/>
    <mergeCell ref="D895:L895"/>
    <mergeCell ref="D897:E897"/>
    <mergeCell ref="D898:L898"/>
    <mergeCell ref="D900:E900"/>
    <mergeCell ref="D885:E885"/>
    <mergeCell ref="D887:E887"/>
    <mergeCell ref="D889:E889"/>
    <mergeCell ref="D891:E891"/>
    <mergeCell ref="D892:L892"/>
    <mergeCell ref="D878:E878"/>
    <mergeCell ref="D879:L879"/>
    <mergeCell ref="D881:E881"/>
    <mergeCell ref="D882:E882"/>
    <mergeCell ref="D883:L883"/>
    <mergeCell ref="D847:E847"/>
    <mergeCell ref="D864:E864"/>
    <mergeCell ref="D866:E866"/>
    <mergeCell ref="D875:E875"/>
    <mergeCell ref="D876:L876"/>
    <mergeCell ref="D839:E839"/>
    <mergeCell ref="D840:L840"/>
    <mergeCell ref="D843:E843"/>
    <mergeCell ref="D844:L844"/>
    <mergeCell ref="D846:E846"/>
    <mergeCell ref="D829:E829"/>
    <mergeCell ref="D830:E830"/>
    <mergeCell ref="D831:L831"/>
    <mergeCell ref="D836:E836"/>
    <mergeCell ref="D837:L837"/>
    <mergeCell ref="D821:E821"/>
    <mergeCell ref="D822:L822"/>
    <mergeCell ref="D824:E824"/>
    <mergeCell ref="D825:L825"/>
    <mergeCell ref="D827:E827"/>
    <mergeCell ref="D808:E808"/>
    <mergeCell ref="D811:E811"/>
    <mergeCell ref="D815:E815"/>
    <mergeCell ref="D818:E818"/>
    <mergeCell ref="D819:L819"/>
    <mergeCell ref="D798:L798"/>
    <mergeCell ref="D800:E800"/>
    <mergeCell ref="D802:E802"/>
    <mergeCell ref="D805:E805"/>
    <mergeCell ref="D806:L806"/>
    <mergeCell ref="D787:E787"/>
    <mergeCell ref="D789:E789"/>
    <mergeCell ref="D790:E790"/>
    <mergeCell ref="D794:E794"/>
    <mergeCell ref="D797:E797"/>
    <mergeCell ref="D771:E771"/>
    <mergeCell ref="D775:E775"/>
    <mergeCell ref="D779:E779"/>
    <mergeCell ref="D780:L780"/>
    <mergeCell ref="D783:E783"/>
    <mergeCell ref="D759:E759"/>
    <mergeCell ref="D760:L760"/>
    <mergeCell ref="D763:E763"/>
    <mergeCell ref="D764:E764"/>
    <mergeCell ref="D765:L765"/>
    <mergeCell ref="D747:E747"/>
    <mergeCell ref="D750:E750"/>
    <mergeCell ref="D753:E753"/>
    <mergeCell ref="D755:E755"/>
    <mergeCell ref="D756:E756"/>
    <mergeCell ref="D735:E735"/>
    <mergeCell ref="D737:E737"/>
    <mergeCell ref="D739:E739"/>
    <mergeCell ref="D742:E742"/>
    <mergeCell ref="D745:E745"/>
    <mergeCell ref="D723:E723"/>
    <mergeCell ref="D724:L724"/>
    <mergeCell ref="D729:E729"/>
    <mergeCell ref="D730:L730"/>
    <mergeCell ref="D733:E733"/>
    <mergeCell ref="D704:E704"/>
    <mergeCell ref="D706:E706"/>
    <mergeCell ref="D710:E710"/>
    <mergeCell ref="D711:L711"/>
    <mergeCell ref="D717:E717"/>
    <mergeCell ref="D690:E690"/>
    <mergeCell ref="D691:L691"/>
    <mergeCell ref="D696:E696"/>
    <mergeCell ref="D701:E701"/>
    <mergeCell ref="D702:L702"/>
    <mergeCell ref="D682:L682"/>
    <mergeCell ref="D684:E684"/>
    <mergeCell ref="D685:L685"/>
    <mergeCell ref="D687:E687"/>
    <mergeCell ref="D689:E689"/>
    <mergeCell ref="D675:E675"/>
    <mergeCell ref="D676:L676"/>
    <mergeCell ref="D678:E678"/>
    <mergeCell ref="D679:L679"/>
    <mergeCell ref="D681:E681"/>
    <mergeCell ref="D665:E665"/>
    <mergeCell ref="D669:E669"/>
    <mergeCell ref="D670:L670"/>
    <mergeCell ref="D672:E672"/>
    <mergeCell ref="D673:L673"/>
    <mergeCell ref="D655:L655"/>
    <mergeCell ref="D657:E657"/>
    <mergeCell ref="D658:L658"/>
    <mergeCell ref="D660:E660"/>
    <mergeCell ref="D661:L661"/>
    <mergeCell ref="D648:E648"/>
    <mergeCell ref="D649:L649"/>
    <mergeCell ref="D651:E651"/>
    <mergeCell ref="D652:L652"/>
    <mergeCell ref="D654:E654"/>
    <mergeCell ref="D640:L640"/>
    <mergeCell ref="D642:E642"/>
    <mergeCell ref="D643:L643"/>
    <mergeCell ref="D645:E645"/>
    <mergeCell ref="D646:L646"/>
    <mergeCell ref="D632:E632"/>
    <mergeCell ref="D634:E634"/>
    <mergeCell ref="D635:E635"/>
    <mergeCell ref="D637:E637"/>
    <mergeCell ref="D639:E639"/>
    <mergeCell ref="D624:L624"/>
    <mergeCell ref="D626:E626"/>
    <mergeCell ref="D627:L627"/>
    <mergeCell ref="D629:E629"/>
    <mergeCell ref="D630:L630"/>
    <mergeCell ref="D615:E615"/>
    <mergeCell ref="D617:E617"/>
    <mergeCell ref="D620:E620"/>
    <mergeCell ref="D621:L621"/>
    <mergeCell ref="D623:E623"/>
    <mergeCell ref="D607:L607"/>
    <mergeCell ref="D609:E609"/>
    <mergeCell ref="D610:L610"/>
    <mergeCell ref="D612:E612"/>
    <mergeCell ref="D613:L613"/>
    <mergeCell ref="D600:E600"/>
    <mergeCell ref="D601:L601"/>
    <mergeCell ref="D603:E603"/>
    <mergeCell ref="D604:L604"/>
    <mergeCell ref="D606:E606"/>
    <mergeCell ref="D592:L592"/>
    <mergeCell ref="D594:E594"/>
    <mergeCell ref="D595:L595"/>
    <mergeCell ref="D597:E597"/>
    <mergeCell ref="D598:L598"/>
    <mergeCell ref="D585:E585"/>
    <mergeCell ref="D586:L586"/>
    <mergeCell ref="D588:E588"/>
    <mergeCell ref="D589:L589"/>
    <mergeCell ref="D591:E591"/>
    <mergeCell ref="D577:L577"/>
    <mergeCell ref="D579:E579"/>
    <mergeCell ref="D580:L580"/>
    <mergeCell ref="D582:E582"/>
    <mergeCell ref="D583:L583"/>
    <mergeCell ref="D570:E570"/>
    <mergeCell ref="D571:L571"/>
    <mergeCell ref="D573:E573"/>
    <mergeCell ref="D574:L574"/>
    <mergeCell ref="D576:E576"/>
    <mergeCell ref="D562:L562"/>
    <mergeCell ref="D564:E564"/>
    <mergeCell ref="D565:L565"/>
    <mergeCell ref="D567:E567"/>
    <mergeCell ref="D568:L568"/>
    <mergeCell ref="D555:E555"/>
    <mergeCell ref="D556:L556"/>
    <mergeCell ref="D558:E558"/>
    <mergeCell ref="D559:L559"/>
    <mergeCell ref="D561:E561"/>
    <mergeCell ref="D547:L547"/>
    <mergeCell ref="D549:E549"/>
    <mergeCell ref="D550:L550"/>
    <mergeCell ref="D552:E552"/>
    <mergeCell ref="D553:L553"/>
    <mergeCell ref="D539:L539"/>
    <mergeCell ref="D541:E541"/>
    <mergeCell ref="D543:E543"/>
    <mergeCell ref="D544:E544"/>
    <mergeCell ref="D546:E546"/>
    <mergeCell ref="D532:E532"/>
    <mergeCell ref="D533:L533"/>
    <mergeCell ref="D535:E535"/>
    <mergeCell ref="D536:L536"/>
    <mergeCell ref="D538:E538"/>
    <mergeCell ref="D524:L524"/>
    <mergeCell ref="D526:E526"/>
    <mergeCell ref="D527:L527"/>
    <mergeCell ref="D529:E529"/>
    <mergeCell ref="D530:L530"/>
    <mergeCell ref="D517:E517"/>
    <mergeCell ref="D518:L518"/>
    <mergeCell ref="D520:E520"/>
    <mergeCell ref="D521:L521"/>
    <mergeCell ref="D523:E523"/>
    <mergeCell ref="D509:L509"/>
    <mergeCell ref="D511:E511"/>
    <mergeCell ref="D512:L512"/>
    <mergeCell ref="D514:E514"/>
    <mergeCell ref="D515:L515"/>
    <mergeCell ref="D501:E501"/>
    <mergeCell ref="D502:E502"/>
    <mergeCell ref="D505:E505"/>
    <mergeCell ref="D506:L506"/>
    <mergeCell ref="D508:E508"/>
    <mergeCell ref="D490:E490"/>
    <mergeCell ref="D493:E493"/>
    <mergeCell ref="D494:L494"/>
    <mergeCell ref="D496:E496"/>
    <mergeCell ref="D499:E499"/>
    <mergeCell ref="D479:E479"/>
    <mergeCell ref="D482:E482"/>
    <mergeCell ref="D484:E484"/>
    <mergeCell ref="D486:E486"/>
    <mergeCell ref="D487:E487"/>
    <mergeCell ref="D466:E466"/>
    <mergeCell ref="D470:E470"/>
    <mergeCell ref="D473:E473"/>
    <mergeCell ref="D476:E476"/>
    <mergeCell ref="D477:L477"/>
    <mergeCell ref="D454:E454"/>
    <mergeCell ref="D458:E458"/>
    <mergeCell ref="D461:E461"/>
    <mergeCell ref="D462:L462"/>
    <mergeCell ref="D464:E464"/>
    <mergeCell ref="D441:L441"/>
    <mergeCell ref="D443:E443"/>
    <mergeCell ref="D445:E445"/>
    <mergeCell ref="D448:E448"/>
    <mergeCell ref="D449:L449"/>
    <mergeCell ref="D433:E433"/>
    <mergeCell ref="D435:E435"/>
    <mergeCell ref="D437:E437"/>
    <mergeCell ref="D438:L438"/>
    <mergeCell ref="D440:E440"/>
    <mergeCell ref="D424:E424"/>
    <mergeCell ref="D427:E427"/>
    <mergeCell ref="D429:E429"/>
    <mergeCell ref="D430:E430"/>
    <mergeCell ref="D431:L431"/>
    <mergeCell ref="D413:E413"/>
    <mergeCell ref="D417:E417"/>
    <mergeCell ref="D419:E419"/>
    <mergeCell ref="D420:E420"/>
    <mergeCell ref="D421:L421"/>
    <mergeCell ref="D405:E405"/>
    <mergeCell ref="D407:E407"/>
    <mergeCell ref="D408:L408"/>
    <mergeCell ref="D410:E410"/>
    <mergeCell ref="D411:L411"/>
    <mergeCell ref="D395:E395"/>
    <mergeCell ref="D398:E398"/>
    <mergeCell ref="D399:L399"/>
    <mergeCell ref="D401:E401"/>
    <mergeCell ref="D402:L402"/>
    <mergeCell ref="D387:E387"/>
    <mergeCell ref="D388:L388"/>
    <mergeCell ref="D390:E390"/>
    <mergeCell ref="D392:E392"/>
    <mergeCell ref="D393:L393"/>
    <mergeCell ref="D379:E379"/>
    <mergeCell ref="D381:E381"/>
    <mergeCell ref="D383:E383"/>
    <mergeCell ref="D384:E384"/>
    <mergeCell ref="D385:L385"/>
    <mergeCell ref="D369:E369"/>
    <mergeCell ref="D371:E371"/>
    <mergeCell ref="D373:E373"/>
    <mergeCell ref="D375:E375"/>
    <mergeCell ref="D377:E377"/>
    <mergeCell ref="D358:E358"/>
    <mergeCell ref="D360:E360"/>
    <mergeCell ref="D362:E362"/>
    <mergeCell ref="D365:E365"/>
    <mergeCell ref="D367:E367"/>
    <mergeCell ref="D349:E349"/>
    <mergeCell ref="D350:L350"/>
    <mergeCell ref="D353:E353"/>
    <mergeCell ref="D354:L354"/>
    <mergeCell ref="D357:E357"/>
    <mergeCell ref="D337:E337"/>
    <mergeCell ref="D339:E339"/>
    <mergeCell ref="D341:E341"/>
    <mergeCell ref="D343:E343"/>
    <mergeCell ref="D346:E346"/>
    <mergeCell ref="D324:L324"/>
    <mergeCell ref="D326:E326"/>
    <mergeCell ref="D327:L327"/>
    <mergeCell ref="D329:E329"/>
    <mergeCell ref="D331:E331"/>
    <mergeCell ref="D316:L316"/>
    <mergeCell ref="D318:E318"/>
    <mergeCell ref="D320:E320"/>
    <mergeCell ref="D321:L321"/>
    <mergeCell ref="D323:E323"/>
    <mergeCell ref="D309:E309"/>
    <mergeCell ref="D310:L310"/>
    <mergeCell ref="D312:E312"/>
    <mergeCell ref="D313:L313"/>
    <mergeCell ref="D315:E315"/>
    <mergeCell ref="D299:E299"/>
    <mergeCell ref="D301:E301"/>
    <mergeCell ref="D303:E303"/>
    <mergeCell ref="D304:E304"/>
    <mergeCell ref="D305:L305"/>
    <mergeCell ref="D291:E291"/>
    <mergeCell ref="D292:L292"/>
    <mergeCell ref="D294:E294"/>
    <mergeCell ref="D295:L295"/>
    <mergeCell ref="D298:E298"/>
    <mergeCell ref="D280:L280"/>
    <mergeCell ref="D285:E285"/>
    <mergeCell ref="D286:L286"/>
    <mergeCell ref="D288:E288"/>
    <mergeCell ref="D289:L289"/>
    <mergeCell ref="D255:E255"/>
    <mergeCell ref="D262:E262"/>
    <mergeCell ref="D273:E273"/>
    <mergeCell ref="D275:E275"/>
    <mergeCell ref="D279:E279"/>
    <mergeCell ref="D237:E237"/>
    <mergeCell ref="D242:E242"/>
    <mergeCell ref="D245:E245"/>
    <mergeCell ref="D247:E247"/>
    <mergeCell ref="D251:E251"/>
    <mergeCell ref="D225:L225"/>
    <mergeCell ref="D227:E227"/>
    <mergeCell ref="D228:L228"/>
    <mergeCell ref="D233:E233"/>
    <mergeCell ref="D236:E236"/>
    <mergeCell ref="D212:E212"/>
    <mergeCell ref="D213:E213"/>
    <mergeCell ref="D221:E221"/>
    <mergeCell ref="D222:L222"/>
    <mergeCell ref="D224:E224"/>
    <mergeCell ref="D202:E202"/>
    <mergeCell ref="D205:E205"/>
    <mergeCell ref="D207:E207"/>
    <mergeCell ref="D208:L208"/>
    <mergeCell ref="D210:E210"/>
    <mergeCell ref="D194:L194"/>
    <mergeCell ref="D196:E196"/>
    <mergeCell ref="D197:E197"/>
    <mergeCell ref="D199:E199"/>
    <mergeCell ref="D200:L200"/>
    <mergeCell ref="D186:E186"/>
    <mergeCell ref="D188:E188"/>
    <mergeCell ref="D190:E190"/>
    <mergeCell ref="D192:E192"/>
    <mergeCell ref="D193:E193"/>
    <mergeCell ref="D175:E175"/>
    <mergeCell ref="D176:L176"/>
    <mergeCell ref="D178:E178"/>
    <mergeCell ref="D181:E181"/>
    <mergeCell ref="D184:E184"/>
    <mergeCell ref="D163:E163"/>
    <mergeCell ref="D167:E167"/>
    <mergeCell ref="D168:L168"/>
    <mergeCell ref="D170:E170"/>
    <mergeCell ref="D171:L171"/>
    <mergeCell ref="D156:E156"/>
    <mergeCell ref="D157:L157"/>
    <mergeCell ref="D159:E159"/>
    <mergeCell ref="D160:L160"/>
    <mergeCell ref="D162:E162"/>
    <mergeCell ref="D146:E146"/>
    <mergeCell ref="D147:L147"/>
    <mergeCell ref="D149:E149"/>
    <mergeCell ref="D150:L150"/>
    <mergeCell ref="D152:E152"/>
    <mergeCell ref="D136:E136"/>
    <mergeCell ref="D138:E138"/>
    <mergeCell ref="D140:E140"/>
    <mergeCell ref="D142:E142"/>
    <mergeCell ref="D144:E144"/>
    <mergeCell ref="D129:E129"/>
    <mergeCell ref="D130:L130"/>
    <mergeCell ref="D132:E132"/>
    <mergeCell ref="D133:L133"/>
    <mergeCell ref="D135:E135"/>
    <mergeCell ref="D120:L120"/>
    <mergeCell ref="D122:E122"/>
    <mergeCell ref="D123:L123"/>
    <mergeCell ref="D125:E125"/>
    <mergeCell ref="D127:E127"/>
    <mergeCell ref="D109:E109"/>
    <mergeCell ref="D112:E112"/>
    <mergeCell ref="D116:E116"/>
    <mergeCell ref="D117:L117"/>
    <mergeCell ref="D119:E119"/>
    <mergeCell ref="D95:E95"/>
    <mergeCell ref="D96:E96"/>
    <mergeCell ref="D98:E98"/>
    <mergeCell ref="D103:E103"/>
    <mergeCell ref="D106:E106"/>
    <mergeCell ref="D87:E87"/>
    <mergeCell ref="D88:L88"/>
    <mergeCell ref="D90:E90"/>
    <mergeCell ref="D91:L91"/>
    <mergeCell ref="D93:E93"/>
    <mergeCell ref="D79:L79"/>
    <mergeCell ref="D81:E81"/>
    <mergeCell ref="D82:L82"/>
    <mergeCell ref="D84:E84"/>
    <mergeCell ref="D85:L85"/>
    <mergeCell ref="D65:E65"/>
    <mergeCell ref="D69:E69"/>
    <mergeCell ref="D71:E71"/>
    <mergeCell ref="D75:E75"/>
    <mergeCell ref="D78:E78"/>
    <mergeCell ref="D54:E54"/>
    <mergeCell ref="D56:E56"/>
    <mergeCell ref="D57:L57"/>
    <mergeCell ref="D61:E61"/>
    <mergeCell ref="D62:L62"/>
    <mergeCell ref="D47:E47"/>
    <mergeCell ref="D48:E48"/>
    <mergeCell ref="D49:L49"/>
    <mergeCell ref="D51:E51"/>
    <mergeCell ref="D52:L52"/>
    <mergeCell ref="D38:L38"/>
    <mergeCell ref="D40:E40"/>
    <mergeCell ref="D41:E41"/>
    <mergeCell ref="D43:E43"/>
    <mergeCell ref="D45:E45"/>
    <mergeCell ref="D30:E30"/>
    <mergeCell ref="D31:L31"/>
    <mergeCell ref="D33:E33"/>
    <mergeCell ref="D34:L34"/>
    <mergeCell ref="D37:E37"/>
    <mergeCell ref="D23:E23"/>
    <mergeCell ref="D24:E24"/>
    <mergeCell ref="D25:L25"/>
    <mergeCell ref="D27:E27"/>
    <mergeCell ref="D28:L28"/>
    <mergeCell ref="D15:L15"/>
    <mergeCell ref="D17:E17"/>
    <mergeCell ref="D19:E19"/>
    <mergeCell ref="D20:E20"/>
    <mergeCell ref="D21:L21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pane ySplit="11" topLeftCell="A12" activePane="bottomLeft" state="frozen"/>
      <selection pane="bottomLeft" activeCell="K13" sqref="K13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07" t="s">
        <v>76</v>
      </c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 customHeight="1">
      <c r="A3" s="102"/>
      <c r="B3" s="103"/>
      <c r="C3" s="103"/>
      <c r="D3" s="111"/>
      <c r="E3" s="111"/>
      <c r="F3" s="111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8" t="s">
        <v>9</v>
      </c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8" t="s">
        <v>10</v>
      </c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8" t="s">
        <v>77</v>
      </c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84</v>
      </c>
      <c r="B12" s="34" t="s">
        <v>4</v>
      </c>
      <c r="C12" s="178" t="s">
        <v>85</v>
      </c>
      <c r="D12" s="178"/>
      <c r="E12" s="178"/>
      <c r="F12" s="178"/>
      <c r="G12" s="178"/>
      <c r="H12" s="178"/>
      <c r="I12" s="178"/>
      <c r="J12" s="178"/>
      <c r="K12" s="35">
        <f>'Stavební rozpočet'!I12</f>
        <v>0</v>
      </c>
      <c r="L12" s="36">
        <f>'Stavební rozpočet'!K12</f>
        <v>391.1040132</v>
      </c>
      <c r="M12" s="37" t="s">
        <v>86</v>
      </c>
      <c r="N12" s="38">
        <f aca="true" t="shared" si="0" ref="N12:N52">IF(M12="F",0,K12)</f>
        <v>0</v>
      </c>
      <c r="O12" s="2" t="s">
        <v>84</v>
      </c>
      <c r="P12" s="38">
        <f aca="true" t="shared" si="1" ref="P12:P52">IF(M12="T",0,K12)</f>
        <v>0</v>
      </c>
    </row>
    <row r="13" spans="1:16" ht="15">
      <c r="A13" s="1" t="s">
        <v>84</v>
      </c>
      <c r="B13" s="2" t="s">
        <v>130</v>
      </c>
      <c r="C13" s="103" t="s">
        <v>131</v>
      </c>
      <c r="D13" s="103"/>
      <c r="E13" s="103"/>
      <c r="F13" s="103"/>
      <c r="G13" s="103"/>
      <c r="H13" s="103"/>
      <c r="I13" s="103"/>
      <c r="J13" s="103"/>
      <c r="K13" s="38">
        <f>'Stavební rozpočet'!I13</f>
        <v>0</v>
      </c>
      <c r="L13" s="39">
        <f>'Stavební rozpočet'!K13</f>
        <v>0</v>
      </c>
      <c r="M13" s="37" t="s">
        <v>828</v>
      </c>
      <c r="N13" s="38">
        <f t="shared" si="0"/>
        <v>0</v>
      </c>
      <c r="O13" s="2" t="s">
        <v>84</v>
      </c>
      <c r="P13" s="38">
        <f t="shared" si="1"/>
        <v>0</v>
      </c>
    </row>
    <row r="14" spans="1:16" ht="15">
      <c r="A14" s="1" t="s">
        <v>84</v>
      </c>
      <c r="B14" s="2" t="s">
        <v>147</v>
      </c>
      <c r="C14" s="103" t="s">
        <v>148</v>
      </c>
      <c r="D14" s="103"/>
      <c r="E14" s="103"/>
      <c r="F14" s="103"/>
      <c r="G14" s="103"/>
      <c r="H14" s="103"/>
      <c r="I14" s="103"/>
      <c r="J14" s="103"/>
      <c r="K14" s="38">
        <f>'Stavební rozpočet'!I19</f>
        <v>0</v>
      </c>
      <c r="L14" s="39">
        <f>'Stavební rozpočet'!K19</f>
        <v>0</v>
      </c>
      <c r="M14" s="37" t="s">
        <v>828</v>
      </c>
      <c r="N14" s="38">
        <f t="shared" si="0"/>
        <v>0</v>
      </c>
      <c r="O14" s="2" t="s">
        <v>84</v>
      </c>
      <c r="P14" s="38">
        <f t="shared" si="1"/>
        <v>0</v>
      </c>
    </row>
    <row r="15" spans="1:16" ht="15">
      <c r="A15" s="1" t="s">
        <v>84</v>
      </c>
      <c r="B15" s="2" t="s">
        <v>155</v>
      </c>
      <c r="C15" s="103" t="s">
        <v>156</v>
      </c>
      <c r="D15" s="103"/>
      <c r="E15" s="103"/>
      <c r="F15" s="103"/>
      <c r="G15" s="103"/>
      <c r="H15" s="103"/>
      <c r="I15" s="103"/>
      <c r="J15" s="103"/>
      <c r="K15" s="38">
        <f>'Stavební rozpočet'!I23</f>
        <v>0</v>
      </c>
      <c r="L15" s="39">
        <f>'Stavební rozpočet'!K23</f>
        <v>0</v>
      </c>
      <c r="M15" s="37" t="s">
        <v>828</v>
      </c>
      <c r="N15" s="38">
        <f t="shared" si="0"/>
        <v>0</v>
      </c>
      <c r="O15" s="2" t="s">
        <v>84</v>
      </c>
      <c r="P15" s="38">
        <f t="shared" si="1"/>
        <v>0</v>
      </c>
    </row>
    <row r="16" spans="1:16" ht="15">
      <c r="A16" s="1" t="s">
        <v>84</v>
      </c>
      <c r="B16" s="2" t="s">
        <v>178</v>
      </c>
      <c r="C16" s="103" t="s">
        <v>179</v>
      </c>
      <c r="D16" s="103"/>
      <c r="E16" s="103"/>
      <c r="F16" s="103"/>
      <c r="G16" s="103"/>
      <c r="H16" s="103"/>
      <c r="I16" s="103"/>
      <c r="J16" s="103"/>
      <c r="K16" s="38">
        <f>'Stavební rozpočet'!I40</f>
        <v>0</v>
      </c>
      <c r="L16" s="39">
        <f>'Stavební rozpočet'!K40</f>
        <v>1.78</v>
      </c>
      <c r="M16" s="37" t="s">
        <v>828</v>
      </c>
      <c r="N16" s="38">
        <f t="shared" si="0"/>
        <v>0</v>
      </c>
      <c r="O16" s="2" t="s">
        <v>84</v>
      </c>
      <c r="P16" s="38">
        <f t="shared" si="1"/>
        <v>0</v>
      </c>
    </row>
    <row r="17" spans="1:16" ht="15">
      <c r="A17" s="1" t="s">
        <v>84</v>
      </c>
      <c r="B17" s="2" t="s">
        <v>195</v>
      </c>
      <c r="C17" s="103" t="s">
        <v>196</v>
      </c>
      <c r="D17" s="103"/>
      <c r="E17" s="103"/>
      <c r="F17" s="103"/>
      <c r="G17" s="103"/>
      <c r="H17" s="103"/>
      <c r="I17" s="103"/>
      <c r="J17" s="103"/>
      <c r="K17" s="38">
        <f>'Stavební rozpočet'!I47</f>
        <v>0</v>
      </c>
      <c r="L17" s="39">
        <f>'Stavební rozpočet'!K47</f>
        <v>26.659773299999998</v>
      </c>
      <c r="M17" s="37" t="s">
        <v>828</v>
      </c>
      <c r="N17" s="38">
        <f t="shared" si="0"/>
        <v>0</v>
      </c>
      <c r="O17" s="2" t="s">
        <v>84</v>
      </c>
      <c r="P17" s="38">
        <f t="shared" si="1"/>
        <v>0</v>
      </c>
    </row>
    <row r="18" spans="1:16" ht="15">
      <c r="A18" s="1" t="s">
        <v>84</v>
      </c>
      <c r="B18" s="2" t="s">
        <v>289</v>
      </c>
      <c r="C18" s="103" t="s">
        <v>290</v>
      </c>
      <c r="D18" s="103"/>
      <c r="E18" s="103"/>
      <c r="F18" s="103"/>
      <c r="G18" s="103"/>
      <c r="H18" s="103"/>
      <c r="I18" s="103"/>
      <c r="J18" s="103"/>
      <c r="K18" s="38">
        <f>'Stavební rozpočet'!I95</f>
        <v>0</v>
      </c>
      <c r="L18" s="39">
        <f>'Stavební rozpočet'!K95</f>
        <v>15.099456200000002</v>
      </c>
      <c r="M18" s="37" t="s">
        <v>828</v>
      </c>
      <c r="N18" s="38">
        <f t="shared" si="0"/>
        <v>0</v>
      </c>
      <c r="O18" s="2" t="s">
        <v>84</v>
      </c>
      <c r="P18" s="38">
        <f t="shared" si="1"/>
        <v>0</v>
      </c>
    </row>
    <row r="19" spans="1:16" ht="15">
      <c r="A19" s="1" t="s">
        <v>84</v>
      </c>
      <c r="B19" s="2" t="s">
        <v>360</v>
      </c>
      <c r="C19" s="103" t="s">
        <v>361</v>
      </c>
      <c r="D19" s="103"/>
      <c r="E19" s="103"/>
      <c r="F19" s="103"/>
      <c r="G19" s="103"/>
      <c r="H19" s="103"/>
      <c r="I19" s="103"/>
      <c r="J19" s="103"/>
      <c r="K19" s="38">
        <f>'Stavební rozpočet'!I135</f>
        <v>0</v>
      </c>
      <c r="L19" s="39">
        <f>'Stavební rozpočet'!K135</f>
        <v>4.1486827</v>
      </c>
      <c r="M19" s="37" t="s">
        <v>828</v>
      </c>
      <c r="N19" s="38">
        <f t="shared" si="0"/>
        <v>0</v>
      </c>
      <c r="O19" s="2" t="s">
        <v>84</v>
      </c>
      <c r="P19" s="38">
        <f t="shared" si="1"/>
        <v>0</v>
      </c>
    </row>
    <row r="20" spans="1:16" ht="15">
      <c r="A20" s="1" t="s">
        <v>84</v>
      </c>
      <c r="B20" s="2" t="s">
        <v>375</v>
      </c>
      <c r="C20" s="103" t="s">
        <v>411</v>
      </c>
      <c r="D20" s="103"/>
      <c r="E20" s="103"/>
      <c r="F20" s="103"/>
      <c r="G20" s="103"/>
      <c r="H20" s="103"/>
      <c r="I20" s="103"/>
      <c r="J20" s="103"/>
      <c r="K20" s="38">
        <f>'Stavební rozpočet'!I162</f>
        <v>0</v>
      </c>
      <c r="L20" s="39">
        <f>'Stavební rozpočet'!K162</f>
        <v>12.2152187</v>
      </c>
      <c r="M20" s="37" t="s">
        <v>828</v>
      </c>
      <c r="N20" s="38">
        <f t="shared" si="0"/>
        <v>0</v>
      </c>
      <c r="O20" s="2" t="s">
        <v>84</v>
      </c>
      <c r="P20" s="38">
        <f t="shared" si="1"/>
        <v>0</v>
      </c>
    </row>
    <row r="21" spans="1:16" ht="15">
      <c r="A21" s="1" t="s">
        <v>84</v>
      </c>
      <c r="B21" s="2" t="s">
        <v>455</v>
      </c>
      <c r="C21" s="103" t="s">
        <v>472</v>
      </c>
      <c r="D21" s="103"/>
      <c r="E21" s="103"/>
      <c r="F21" s="103"/>
      <c r="G21" s="103"/>
      <c r="H21" s="103"/>
      <c r="I21" s="103"/>
      <c r="J21" s="103"/>
      <c r="K21" s="38">
        <f>'Stavební rozpočet'!I192</f>
        <v>0</v>
      </c>
      <c r="L21" s="39">
        <f>'Stavební rozpočet'!K192</f>
        <v>1.069425</v>
      </c>
      <c r="M21" s="37" t="s">
        <v>828</v>
      </c>
      <c r="N21" s="38">
        <f t="shared" si="0"/>
        <v>0</v>
      </c>
      <c r="O21" s="2" t="s">
        <v>84</v>
      </c>
      <c r="P21" s="38">
        <f t="shared" si="1"/>
        <v>0</v>
      </c>
    </row>
    <row r="22" spans="1:16" ht="15">
      <c r="A22" s="1" t="s">
        <v>84</v>
      </c>
      <c r="B22" s="2" t="s">
        <v>468</v>
      </c>
      <c r="C22" s="103" t="s">
        <v>480</v>
      </c>
      <c r="D22" s="103"/>
      <c r="E22" s="103"/>
      <c r="F22" s="103"/>
      <c r="G22" s="103"/>
      <c r="H22" s="103"/>
      <c r="I22" s="103"/>
      <c r="J22" s="103"/>
      <c r="K22" s="38">
        <f>'Stavební rozpočet'!I196</f>
        <v>0</v>
      </c>
      <c r="L22" s="39">
        <f>'Stavební rozpočet'!K196</f>
        <v>0.5749625</v>
      </c>
      <c r="M22" s="37" t="s">
        <v>828</v>
      </c>
      <c r="N22" s="38">
        <f t="shared" si="0"/>
        <v>0</v>
      </c>
      <c r="O22" s="2" t="s">
        <v>84</v>
      </c>
      <c r="P22" s="38">
        <f t="shared" si="1"/>
        <v>0</v>
      </c>
    </row>
    <row r="23" spans="1:16" ht="15">
      <c r="A23" s="1" t="s">
        <v>84</v>
      </c>
      <c r="B23" s="2" t="s">
        <v>473</v>
      </c>
      <c r="C23" s="103" t="s">
        <v>506</v>
      </c>
      <c r="D23" s="103"/>
      <c r="E23" s="103"/>
      <c r="F23" s="103"/>
      <c r="G23" s="103"/>
      <c r="H23" s="103"/>
      <c r="I23" s="103"/>
      <c r="J23" s="103"/>
      <c r="K23" s="38">
        <f>'Stavební rozpočet'!I212</f>
        <v>0</v>
      </c>
      <c r="L23" s="39">
        <f>'Stavební rozpočet'!K212</f>
        <v>33.119127</v>
      </c>
      <c r="M23" s="37" t="s">
        <v>828</v>
      </c>
      <c r="N23" s="38">
        <f t="shared" si="0"/>
        <v>0</v>
      </c>
      <c r="O23" s="2" t="s">
        <v>84</v>
      </c>
      <c r="P23" s="38">
        <f t="shared" si="1"/>
        <v>0</v>
      </c>
    </row>
    <row r="24" spans="1:16" ht="15">
      <c r="A24" s="1" t="s">
        <v>84</v>
      </c>
      <c r="B24" s="2" t="s">
        <v>481</v>
      </c>
      <c r="C24" s="103" t="s">
        <v>552</v>
      </c>
      <c r="D24" s="103"/>
      <c r="E24" s="103"/>
      <c r="F24" s="103"/>
      <c r="G24" s="103"/>
      <c r="H24" s="103"/>
      <c r="I24" s="103"/>
      <c r="J24" s="103"/>
      <c r="K24" s="38">
        <f>'Stavební rozpočet'!I236</f>
        <v>0</v>
      </c>
      <c r="L24" s="39">
        <f>'Stavební rozpočet'!K236</f>
        <v>27.627441900000004</v>
      </c>
      <c r="M24" s="37" t="s">
        <v>828</v>
      </c>
      <c r="N24" s="38">
        <f t="shared" si="0"/>
        <v>0</v>
      </c>
      <c r="O24" s="2" t="s">
        <v>84</v>
      </c>
      <c r="P24" s="38">
        <f t="shared" si="1"/>
        <v>0</v>
      </c>
    </row>
    <row r="25" spans="1:16" ht="15">
      <c r="A25" s="1" t="s">
        <v>84</v>
      </c>
      <c r="B25" s="2" t="s">
        <v>486</v>
      </c>
      <c r="C25" s="103" t="s">
        <v>669</v>
      </c>
      <c r="D25" s="103"/>
      <c r="E25" s="103"/>
      <c r="F25" s="103"/>
      <c r="G25" s="103"/>
      <c r="H25" s="103"/>
      <c r="I25" s="103"/>
      <c r="J25" s="103"/>
      <c r="K25" s="38">
        <f>'Stavební rozpočet'!I298</f>
        <v>0</v>
      </c>
      <c r="L25" s="39">
        <f>'Stavební rozpočet'!K298</f>
        <v>0.43543119999999996</v>
      </c>
      <c r="M25" s="37" t="s">
        <v>828</v>
      </c>
      <c r="N25" s="38">
        <f t="shared" si="0"/>
        <v>0</v>
      </c>
      <c r="O25" s="2" t="s">
        <v>84</v>
      </c>
      <c r="P25" s="38">
        <f t="shared" si="1"/>
        <v>0</v>
      </c>
    </row>
    <row r="26" spans="1:16" ht="15">
      <c r="A26" s="1" t="s">
        <v>84</v>
      </c>
      <c r="B26" s="2" t="s">
        <v>491</v>
      </c>
      <c r="C26" s="103" t="s">
        <v>679</v>
      </c>
      <c r="D26" s="103"/>
      <c r="E26" s="103"/>
      <c r="F26" s="103"/>
      <c r="G26" s="103"/>
      <c r="H26" s="103"/>
      <c r="I26" s="103"/>
      <c r="J26" s="103"/>
      <c r="K26" s="38">
        <f>'Stavební rozpočet'!I303</f>
        <v>0</v>
      </c>
      <c r="L26" s="39">
        <f>'Stavební rozpočet'!K303</f>
        <v>76.95165060000001</v>
      </c>
      <c r="M26" s="37" t="s">
        <v>828</v>
      </c>
      <c r="N26" s="38">
        <f t="shared" si="0"/>
        <v>0</v>
      </c>
      <c r="O26" s="2" t="s">
        <v>84</v>
      </c>
      <c r="P26" s="38">
        <f t="shared" si="1"/>
        <v>0</v>
      </c>
    </row>
    <row r="27" spans="1:16" ht="15">
      <c r="A27" s="1" t="s">
        <v>84</v>
      </c>
      <c r="B27" s="2" t="s">
        <v>496</v>
      </c>
      <c r="C27" s="103" t="s">
        <v>771</v>
      </c>
      <c r="D27" s="103"/>
      <c r="E27" s="103"/>
      <c r="F27" s="103"/>
      <c r="G27" s="103"/>
      <c r="H27" s="103"/>
      <c r="I27" s="103"/>
      <c r="J27" s="103"/>
      <c r="K27" s="38">
        <f>'Stavební rozpočet'!I357</f>
        <v>0</v>
      </c>
      <c r="L27" s="39">
        <f>'Stavební rozpočet'!K357</f>
        <v>0.8914199999999999</v>
      </c>
      <c r="M27" s="37" t="s">
        <v>828</v>
      </c>
      <c r="N27" s="38">
        <f t="shared" si="0"/>
        <v>0</v>
      </c>
      <c r="O27" s="2" t="s">
        <v>84</v>
      </c>
      <c r="P27" s="38">
        <f t="shared" si="1"/>
        <v>0</v>
      </c>
    </row>
    <row r="28" spans="1:16" ht="15">
      <c r="A28" s="1" t="s">
        <v>84</v>
      </c>
      <c r="B28" s="2" t="s">
        <v>811</v>
      </c>
      <c r="C28" s="103" t="s">
        <v>812</v>
      </c>
      <c r="D28" s="103"/>
      <c r="E28" s="103"/>
      <c r="F28" s="103"/>
      <c r="G28" s="103"/>
      <c r="H28" s="103"/>
      <c r="I28" s="103"/>
      <c r="J28" s="103"/>
      <c r="K28" s="38">
        <f>'Stavební rozpočet'!I383</f>
        <v>0</v>
      </c>
      <c r="L28" s="39">
        <f>'Stavební rozpočet'!K383</f>
        <v>2.6630818</v>
      </c>
      <c r="M28" s="37" t="s">
        <v>828</v>
      </c>
      <c r="N28" s="38">
        <f t="shared" si="0"/>
        <v>0</v>
      </c>
      <c r="O28" s="2" t="s">
        <v>84</v>
      </c>
      <c r="P28" s="38">
        <f t="shared" si="1"/>
        <v>0</v>
      </c>
    </row>
    <row r="29" spans="1:16" ht="15">
      <c r="A29" s="1" t="s">
        <v>84</v>
      </c>
      <c r="B29" s="2" t="s">
        <v>869</v>
      </c>
      <c r="C29" s="103" t="s">
        <v>870</v>
      </c>
      <c r="D29" s="103"/>
      <c r="E29" s="103"/>
      <c r="F29" s="103"/>
      <c r="G29" s="103"/>
      <c r="H29" s="103"/>
      <c r="I29" s="103"/>
      <c r="J29" s="103"/>
      <c r="K29" s="38">
        <f>'Stavební rozpočet'!I419</f>
        <v>0</v>
      </c>
      <c r="L29" s="39">
        <f>'Stavební rozpočet'!K419</f>
        <v>0.057981500000000005</v>
      </c>
      <c r="M29" s="37" t="s">
        <v>828</v>
      </c>
      <c r="N29" s="38">
        <f t="shared" si="0"/>
        <v>0</v>
      </c>
      <c r="O29" s="2" t="s">
        <v>84</v>
      </c>
      <c r="P29" s="38">
        <f t="shared" si="1"/>
        <v>0</v>
      </c>
    </row>
    <row r="30" spans="1:16" ht="15">
      <c r="A30" s="1" t="s">
        <v>84</v>
      </c>
      <c r="B30" s="2" t="s">
        <v>890</v>
      </c>
      <c r="C30" s="103" t="s">
        <v>891</v>
      </c>
      <c r="D30" s="103"/>
      <c r="E30" s="103"/>
      <c r="F30" s="103"/>
      <c r="G30" s="103"/>
      <c r="H30" s="103"/>
      <c r="I30" s="103"/>
      <c r="J30" s="103"/>
      <c r="K30" s="38">
        <f>'Stavební rozpočet'!I429</f>
        <v>0</v>
      </c>
      <c r="L30" s="39">
        <f>'Stavební rozpočet'!K429</f>
        <v>13.031569000000001</v>
      </c>
      <c r="M30" s="37" t="s">
        <v>828</v>
      </c>
      <c r="N30" s="38">
        <f t="shared" si="0"/>
        <v>0</v>
      </c>
      <c r="O30" s="2" t="s">
        <v>84</v>
      </c>
      <c r="P30" s="38">
        <f t="shared" si="1"/>
        <v>0</v>
      </c>
    </row>
    <row r="31" spans="1:16" ht="15">
      <c r="A31" s="1" t="s">
        <v>84</v>
      </c>
      <c r="B31" s="2" t="s">
        <v>984</v>
      </c>
      <c r="C31" s="103" t="s">
        <v>985</v>
      </c>
      <c r="D31" s="103"/>
      <c r="E31" s="103"/>
      <c r="F31" s="103"/>
      <c r="G31" s="103"/>
      <c r="H31" s="103"/>
      <c r="I31" s="103"/>
      <c r="J31" s="103"/>
      <c r="K31" s="38">
        <f>'Stavební rozpočet'!I486</f>
        <v>0</v>
      </c>
      <c r="L31" s="39">
        <f>'Stavební rozpočet'!K486</f>
        <v>0.9775365</v>
      </c>
      <c r="M31" s="37" t="s">
        <v>828</v>
      </c>
      <c r="N31" s="38">
        <f t="shared" si="0"/>
        <v>0</v>
      </c>
      <c r="O31" s="2" t="s">
        <v>84</v>
      </c>
      <c r="P31" s="38">
        <f t="shared" si="1"/>
        <v>0</v>
      </c>
    </row>
    <row r="32" spans="1:16" ht="15">
      <c r="A32" s="1" t="s">
        <v>84</v>
      </c>
      <c r="B32" s="2" t="s">
        <v>1014</v>
      </c>
      <c r="C32" s="103" t="s">
        <v>1015</v>
      </c>
      <c r="D32" s="103"/>
      <c r="E32" s="103"/>
      <c r="F32" s="103"/>
      <c r="G32" s="103"/>
      <c r="H32" s="103"/>
      <c r="I32" s="103"/>
      <c r="J32" s="103"/>
      <c r="K32" s="38">
        <f>'Stavební rozpočet'!I501</f>
        <v>0</v>
      </c>
      <c r="L32" s="39">
        <f>'Stavební rozpočet'!K501</f>
        <v>0.123746</v>
      </c>
      <c r="M32" s="37" t="s">
        <v>828</v>
      </c>
      <c r="N32" s="38">
        <f t="shared" si="0"/>
        <v>0</v>
      </c>
      <c r="O32" s="2" t="s">
        <v>84</v>
      </c>
      <c r="P32" s="38">
        <f t="shared" si="1"/>
        <v>0</v>
      </c>
    </row>
    <row r="33" spans="1:16" ht="15">
      <c r="A33" s="1" t="s">
        <v>84</v>
      </c>
      <c r="B33" s="2" t="s">
        <v>1082</v>
      </c>
      <c r="C33" s="103" t="s">
        <v>1083</v>
      </c>
      <c r="D33" s="103"/>
      <c r="E33" s="103"/>
      <c r="F33" s="103"/>
      <c r="G33" s="103"/>
      <c r="H33" s="103"/>
      <c r="I33" s="103"/>
      <c r="J33" s="103"/>
      <c r="K33" s="38">
        <f>'Stavební rozpočet'!I543</f>
        <v>0</v>
      </c>
      <c r="L33" s="39">
        <f>'Stavební rozpočet'!K543</f>
        <v>1.4167790000000002</v>
      </c>
      <c r="M33" s="37" t="s">
        <v>828</v>
      </c>
      <c r="N33" s="38">
        <f t="shared" si="0"/>
        <v>0</v>
      </c>
      <c r="O33" s="2" t="s">
        <v>84</v>
      </c>
      <c r="P33" s="38">
        <f t="shared" si="1"/>
        <v>0</v>
      </c>
    </row>
    <row r="34" spans="1:16" ht="15">
      <c r="A34" s="1" t="s">
        <v>84</v>
      </c>
      <c r="B34" s="2" t="s">
        <v>1194</v>
      </c>
      <c r="C34" s="103" t="s">
        <v>1195</v>
      </c>
      <c r="D34" s="103"/>
      <c r="E34" s="103"/>
      <c r="F34" s="103"/>
      <c r="G34" s="103"/>
      <c r="H34" s="103"/>
      <c r="I34" s="103"/>
      <c r="J34" s="103"/>
      <c r="K34" s="38">
        <f>'Stavební rozpočet'!I634</f>
        <v>0</v>
      </c>
      <c r="L34" s="39">
        <f>'Stavební rozpočet'!K634</f>
        <v>0.6346464</v>
      </c>
      <c r="M34" s="37" t="s">
        <v>828</v>
      </c>
      <c r="N34" s="38">
        <f t="shared" si="0"/>
        <v>0</v>
      </c>
      <c r="O34" s="2" t="s">
        <v>84</v>
      </c>
      <c r="P34" s="38">
        <f t="shared" si="1"/>
        <v>0</v>
      </c>
    </row>
    <row r="35" spans="1:16" ht="15">
      <c r="A35" s="1" t="s">
        <v>84</v>
      </c>
      <c r="B35" s="2" t="s">
        <v>1272</v>
      </c>
      <c r="C35" s="103" t="s">
        <v>1273</v>
      </c>
      <c r="D35" s="103"/>
      <c r="E35" s="103"/>
      <c r="F35" s="103"/>
      <c r="G35" s="103"/>
      <c r="H35" s="103"/>
      <c r="I35" s="103"/>
      <c r="J35" s="103"/>
      <c r="K35" s="38">
        <f>'Stavební rozpočet'!I689</f>
        <v>0</v>
      </c>
      <c r="L35" s="39">
        <f>'Stavební rozpočet'!K689</f>
        <v>10.576795799999998</v>
      </c>
      <c r="M35" s="37" t="s">
        <v>828</v>
      </c>
      <c r="N35" s="38">
        <f t="shared" si="0"/>
        <v>0</v>
      </c>
      <c r="O35" s="2" t="s">
        <v>84</v>
      </c>
      <c r="P35" s="38">
        <f t="shared" si="1"/>
        <v>0</v>
      </c>
    </row>
    <row r="36" spans="1:16" ht="15">
      <c r="A36" s="1" t="s">
        <v>84</v>
      </c>
      <c r="B36" s="2" t="s">
        <v>1387</v>
      </c>
      <c r="C36" s="103" t="s">
        <v>1388</v>
      </c>
      <c r="D36" s="103"/>
      <c r="E36" s="103"/>
      <c r="F36" s="103"/>
      <c r="G36" s="103"/>
      <c r="H36" s="103"/>
      <c r="I36" s="103"/>
      <c r="J36" s="103"/>
      <c r="K36" s="38">
        <f>'Stavební rozpočet'!I755</f>
        <v>0</v>
      </c>
      <c r="L36" s="39">
        <f>'Stavební rozpočet'!K755</f>
        <v>2.9032</v>
      </c>
      <c r="M36" s="37" t="s">
        <v>828</v>
      </c>
      <c r="N36" s="38">
        <f t="shared" si="0"/>
        <v>0</v>
      </c>
      <c r="O36" s="2" t="s">
        <v>84</v>
      </c>
      <c r="P36" s="38">
        <f t="shared" si="1"/>
        <v>0</v>
      </c>
    </row>
    <row r="37" spans="1:16" ht="15">
      <c r="A37" s="1" t="s">
        <v>84</v>
      </c>
      <c r="B37" s="2" t="s">
        <v>1397</v>
      </c>
      <c r="C37" s="103" t="s">
        <v>1398</v>
      </c>
      <c r="D37" s="103"/>
      <c r="E37" s="103"/>
      <c r="F37" s="103"/>
      <c r="G37" s="103"/>
      <c r="H37" s="103"/>
      <c r="I37" s="103"/>
      <c r="J37" s="103"/>
      <c r="K37" s="38">
        <f>'Stavební rozpočet'!I763</f>
        <v>0</v>
      </c>
      <c r="L37" s="39">
        <f>'Stavební rozpočet'!K763</f>
        <v>1.2713954</v>
      </c>
      <c r="M37" s="37" t="s">
        <v>828</v>
      </c>
      <c r="N37" s="38">
        <f t="shared" si="0"/>
        <v>0</v>
      </c>
      <c r="O37" s="2" t="s">
        <v>84</v>
      </c>
      <c r="P37" s="38">
        <f t="shared" si="1"/>
        <v>0</v>
      </c>
    </row>
    <row r="38" spans="1:16" ht="15">
      <c r="A38" s="1" t="s">
        <v>84</v>
      </c>
      <c r="B38" s="2" t="s">
        <v>1437</v>
      </c>
      <c r="C38" s="103" t="s">
        <v>1438</v>
      </c>
      <c r="D38" s="103"/>
      <c r="E38" s="103"/>
      <c r="F38" s="103"/>
      <c r="G38" s="103"/>
      <c r="H38" s="103"/>
      <c r="I38" s="103"/>
      <c r="J38" s="103"/>
      <c r="K38" s="38">
        <f>'Stavební rozpočet'!I789</f>
        <v>0</v>
      </c>
      <c r="L38" s="39">
        <f>'Stavební rozpočet'!K789</f>
        <v>7.390169199999999</v>
      </c>
      <c r="M38" s="37" t="s">
        <v>828</v>
      </c>
      <c r="N38" s="38">
        <f t="shared" si="0"/>
        <v>0</v>
      </c>
      <c r="O38" s="2" t="s">
        <v>84</v>
      </c>
      <c r="P38" s="38">
        <f t="shared" si="1"/>
        <v>0</v>
      </c>
    </row>
    <row r="39" spans="1:16" ht="15">
      <c r="A39" s="1" t="s">
        <v>84</v>
      </c>
      <c r="B39" s="2" t="s">
        <v>1504</v>
      </c>
      <c r="C39" s="103" t="s">
        <v>1505</v>
      </c>
      <c r="D39" s="103"/>
      <c r="E39" s="103"/>
      <c r="F39" s="103"/>
      <c r="G39" s="103"/>
      <c r="H39" s="103"/>
      <c r="I39" s="103"/>
      <c r="J39" s="103"/>
      <c r="K39" s="38">
        <f>'Stavební rozpočet'!I829</f>
        <v>0</v>
      </c>
      <c r="L39" s="39">
        <f>'Stavební rozpočet'!K829</f>
        <v>0.054904999999999995</v>
      </c>
      <c r="M39" s="37" t="s">
        <v>828</v>
      </c>
      <c r="N39" s="38">
        <f t="shared" si="0"/>
        <v>0</v>
      </c>
      <c r="O39" s="2" t="s">
        <v>84</v>
      </c>
      <c r="P39" s="38">
        <f t="shared" si="1"/>
        <v>0</v>
      </c>
    </row>
    <row r="40" spans="1:16" ht="15">
      <c r="A40" s="1" t="s">
        <v>84</v>
      </c>
      <c r="B40" s="2" t="s">
        <v>1535</v>
      </c>
      <c r="C40" s="103" t="s">
        <v>1536</v>
      </c>
      <c r="D40" s="103"/>
      <c r="E40" s="103"/>
      <c r="F40" s="103"/>
      <c r="G40" s="103"/>
      <c r="H40" s="103"/>
      <c r="I40" s="103"/>
      <c r="J40" s="103"/>
      <c r="K40" s="38">
        <f>'Stavební rozpočet'!I846</f>
        <v>0</v>
      </c>
      <c r="L40" s="39">
        <f>'Stavební rozpočet'!K846</f>
        <v>0.4325177</v>
      </c>
      <c r="M40" s="37" t="s">
        <v>828</v>
      </c>
      <c r="N40" s="38">
        <f t="shared" si="0"/>
        <v>0</v>
      </c>
      <c r="O40" s="2" t="s">
        <v>84</v>
      </c>
      <c r="P40" s="38">
        <f t="shared" si="1"/>
        <v>0</v>
      </c>
    </row>
    <row r="41" spans="1:16" ht="15">
      <c r="A41" s="1" t="s">
        <v>84</v>
      </c>
      <c r="B41" s="2" t="s">
        <v>625</v>
      </c>
      <c r="C41" s="103" t="s">
        <v>1589</v>
      </c>
      <c r="D41" s="103"/>
      <c r="E41" s="103"/>
      <c r="F41" s="103"/>
      <c r="G41" s="103"/>
      <c r="H41" s="103"/>
      <c r="I41" s="103"/>
      <c r="J41" s="103"/>
      <c r="K41" s="38">
        <f>'Stavební rozpočet'!I881</f>
        <v>0</v>
      </c>
      <c r="L41" s="39">
        <f>'Stavební rozpočet'!K881</f>
        <v>3.3514</v>
      </c>
      <c r="M41" s="37" t="s">
        <v>828</v>
      </c>
      <c r="N41" s="38">
        <f t="shared" si="0"/>
        <v>0</v>
      </c>
      <c r="O41" s="2" t="s">
        <v>84</v>
      </c>
      <c r="P41" s="38">
        <f t="shared" si="1"/>
        <v>0</v>
      </c>
    </row>
    <row r="42" spans="1:16" ht="15">
      <c r="A42" s="1" t="s">
        <v>84</v>
      </c>
      <c r="B42" s="2" t="s">
        <v>675</v>
      </c>
      <c r="C42" s="103" t="s">
        <v>1622</v>
      </c>
      <c r="D42" s="103"/>
      <c r="E42" s="103"/>
      <c r="F42" s="103"/>
      <c r="G42" s="103"/>
      <c r="H42" s="103"/>
      <c r="I42" s="103"/>
      <c r="J42" s="103"/>
      <c r="K42" s="38">
        <f>'Stavební rozpočet'!I909</f>
        <v>0</v>
      </c>
      <c r="L42" s="39">
        <f>'Stavební rozpočet'!K909</f>
        <v>27.340966999999996</v>
      </c>
      <c r="M42" s="37" t="s">
        <v>828</v>
      </c>
      <c r="N42" s="38">
        <f t="shared" si="0"/>
        <v>0</v>
      </c>
      <c r="O42" s="2" t="s">
        <v>84</v>
      </c>
      <c r="P42" s="38">
        <f t="shared" si="1"/>
        <v>0</v>
      </c>
    </row>
    <row r="43" spans="1:16" ht="15">
      <c r="A43" s="1" t="s">
        <v>84</v>
      </c>
      <c r="B43" s="2" t="s">
        <v>691</v>
      </c>
      <c r="C43" s="103" t="s">
        <v>1639</v>
      </c>
      <c r="D43" s="103"/>
      <c r="E43" s="103"/>
      <c r="F43" s="103"/>
      <c r="G43" s="103"/>
      <c r="H43" s="103"/>
      <c r="I43" s="103"/>
      <c r="J43" s="103"/>
      <c r="K43" s="38">
        <f>'Stavební rozpočet'!I919</f>
        <v>0</v>
      </c>
      <c r="L43" s="39">
        <f>'Stavební rozpočet'!K919</f>
        <v>0.37196999999999997</v>
      </c>
      <c r="M43" s="37" t="s">
        <v>828</v>
      </c>
      <c r="N43" s="38">
        <f t="shared" si="0"/>
        <v>0</v>
      </c>
      <c r="O43" s="2" t="s">
        <v>84</v>
      </c>
      <c r="P43" s="38">
        <f t="shared" si="1"/>
        <v>0</v>
      </c>
    </row>
    <row r="44" spans="1:16" ht="15">
      <c r="A44" s="1" t="s">
        <v>84</v>
      </c>
      <c r="B44" s="2" t="s">
        <v>701</v>
      </c>
      <c r="C44" s="103" t="s">
        <v>1652</v>
      </c>
      <c r="D44" s="103"/>
      <c r="E44" s="103"/>
      <c r="F44" s="103"/>
      <c r="G44" s="103"/>
      <c r="H44" s="103"/>
      <c r="I44" s="103"/>
      <c r="J44" s="103"/>
      <c r="K44" s="38">
        <f>'Stavební rozpočet'!I929</f>
        <v>0</v>
      </c>
      <c r="L44" s="39">
        <f>'Stavební rozpočet'!K929</f>
        <v>1.295633</v>
      </c>
      <c r="M44" s="37" t="s">
        <v>828</v>
      </c>
      <c r="N44" s="38">
        <f t="shared" si="0"/>
        <v>0</v>
      </c>
      <c r="O44" s="2" t="s">
        <v>84</v>
      </c>
      <c r="P44" s="38">
        <f t="shared" si="1"/>
        <v>0</v>
      </c>
    </row>
    <row r="45" spans="1:16" ht="15">
      <c r="A45" s="1" t="s">
        <v>84</v>
      </c>
      <c r="B45" s="2" t="s">
        <v>715</v>
      </c>
      <c r="C45" s="103" t="s">
        <v>1667</v>
      </c>
      <c r="D45" s="103"/>
      <c r="E45" s="103"/>
      <c r="F45" s="103"/>
      <c r="G45" s="103"/>
      <c r="H45" s="103"/>
      <c r="I45" s="103"/>
      <c r="J45" s="103"/>
      <c r="K45" s="38">
        <f>'Stavební rozpočet'!I937</f>
        <v>0</v>
      </c>
      <c r="L45" s="39">
        <f>'Stavební rozpočet'!K937</f>
        <v>0.7938</v>
      </c>
      <c r="M45" s="37" t="s">
        <v>828</v>
      </c>
      <c r="N45" s="38">
        <f t="shared" si="0"/>
        <v>0</v>
      </c>
      <c r="O45" s="2" t="s">
        <v>84</v>
      </c>
      <c r="P45" s="38">
        <f t="shared" si="1"/>
        <v>0</v>
      </c>
    </row>
    <row r="46" spans="1:16" ht="15">
      <c r="A46" s="1" t="s">
        <v>84</v>
      </c>
      <c r="B46" s="2" t="s">
        <v>720</v>
      </c>
      <c r="C46" s="103" t="s">
        <v>1675</v>
      </c>
      <c r="D46" s="103"/>
      <c r="E46" s="103"/>
      <c r="F46" s="103"/>
      <c r="G46" s="103"/>
      <c r="H46" s="103"/>
      <c r="I46" s="103"/>
      <c r="J46" s="103"/>
      <c r="K46" s="38">
        <f>'Stavební rozpočet'!I943</f>
        <v>0</v>
      </c>
      <c r="L46" s="39">
        <f>'Stavební rozpočet'!K943</f>
        <v>0.16435480000000002</v>
      </c>
      <c r="M46" s="37" t="s">
        <v>828</v>
      </c>
      <c r="N46" s="38">
        <f t="shared" si="0"/>
        <v>0</v>
      </c>
      <c r="O46" s="2" t="s">
        <v>84</v>
      </c>
      <c r="P46" s="38">
        <f t="shared" si="1"/>
        <v>0</v>
      </c>
    </row>
    <row r="47" spans="1:16" ht="15">
      <c r="A47" s="1" t="s">
        <v>84</v>
      </c>
      <c r="B47" s="2" t="s">
        <v>725</v>
      </c>
      <c r="C47" s="103" t="s">
        <v>1703</v>
      </c>
      <c r="D47" s="103"/>
      <c r="E47" s="103"/>
      <c r="F47" s="103"/>
      <c r="G47" s="103"/>
      <c r="H47" s="103"/>
      <c r="I47" s="103"/>
      <c r="J47" s="103"/>
      <c r="K47" s="38">
        <f>'Stavební rozpočet'!I960</f>
        <v>0</v>
      </c>
      <c r="L47" s="39">
        <f>'Stavební rozpočet'!K960</f>
        <v>78.81726359999999</v>
      </c>
      <c r="M47" s="37" t="s">
        <v>828</v>
      </c>
      <c r="N47" s="38">
        <f t="shared" si="0"/>
        <v>0</v>
      </c>
      <c r="O47" s="2" t="s">
        <v>84</v>
      </c>
      <c r="P47" s="38">
        <f t="shared" si="1"/>
        <v>0</v>
      </c>
    </row>
    <row r="48" spans="1:16" ht="15">
      <c r="A48" s="1" t="s">
        <v>84</v>
      </c>
      <c r="B48" s="2" t="s">
        <v>729</v>
      </c>
      <c r="C48" s="103" t="s">
        <v>1827</v>
      </c>
      <c r="D48" s="103"/>
      <c r="E48" s="103"/>
      <c r="F48" s="103"/>
      <c r="G48" s="103"/>
      <c r="H48" s="103"/>
      <c r="I48" s="103"/>
      <c r="J48" s="103"/>
      <c r="K48" s="38">
        <f>'Stavební rozpočet'!I1031</f>
        <v>0</v>
      </c>
      <c r="L48" s="39">
        <f>'Stavební rozpočet'!K1031</f>
        <v>34.3617124</v>
      </c>
      <c r="M48" s="37" t="s">
        <v>828</v>
      </c>
      <c r="N48" s="38">
        <f t="shared" si="0"/>
        <v>0</v>
      </c>
      <c r="O48" s="2" t="s">
        <v>84</v>
      </c>
      <c r="P48" s="38">
        <f t="shared" si="1"/>
        <v>0</v>
      </c>
    </row>
    <row r="49" spans="1:16" ht="15">
      <c r="A49" s="1" t="s">
        <v>84</v>
      </c>
      <c r="B49" s="2" t="s">
        <v>1941</v>
      </c>
      <c r="C49" s="103" t="s">
        <v>1942</v>
      </c>
      <c r="D49" s="103"/>
      <c r="E49" s="103"/>
      <c r="F49" s="103"/>
      <c r="G49" s="103"/>
      <c r="H49" s="103"/>
      <c r="I49" s="103"/>
      <c r="J49" s="103"/>
      <c r="K49" s="38">
        <f>'Stavební rozpočet'!I1099</f>
        <v>0</v>
      </c>
      <c r="L49" s="39">
        <f>'Stavební rozpočet'!K1099</f>
        <v>0</v>
      </c>
      <c r="M49" s="37" t="s">
        <v>828</v>
      </c>
      <c r="N49" s="38">
        <f t="shared" si="0"/>
        <v>0</v>
      </c>
      <c r="O49" s="2" t="s">
        <v>84</v>
      </c>
      <c r="P49" s="38">
        <f t="shared" si="1"/>
        <v>0</v>
      </c>
    </row>
    <row r="50" spans="1:16" ht="15">
      <c r="A50" s="1" t="s">
        <v>84</v>
      </c>
      <c r="B50" s="2" t="s">
        <v>1948</v>
      </c>
      <c r="C50" s="103" t="s">
        <v>1949</v>
      </c>
      <c r="D50" s="103"/>
      <c r="E50" s="103"/>
      <c r="F50" s="103"/>
      <c r="G50" s="103"/>
      <c r="H50" s="103"/>
      <c r="I50" s="103"/>
      <c r="J50" s="103"/>
      <c r="K50" s="38">
        <f>'Stavební rozpočet'!I1102</f>
        <v>0</v>
      </c>
      <c r="L50" s="39">
        <f>'Stavební rozpočet'!K1102</f>
        <v>0</v>
      </c>
      <c r="M50" s="37" t="s">
        <v>828</v>
      </c>
      <c r="N50" s="38">
        <f t="shared" si="0"/>
        <v>0</v>
      </c>
      <c r="O50" s="2" t="s">
        <v>84</v>
      </c>
      <c r="P50" s="38">
        <f t="shared" si="1"/>
        <v>0</v>
      </c>
    </row>
    <row r="51" spans="1:16" ht="15">
      <c r="A51" s="1" t="s">
        <v>84</v>
      </c>
      <c r="B51" s="2" t="s">
        <v>696</v>
      </c>
      <c r="C51" s="103" t="s">
        <v>1959</v>
      </c>
      <c r="D51" s="103"/>
      <c r="E51" s="103"/>
      <c r="F51" s="103"/>
      <c r="G51" s="103"/>
      <c r="H51" s="103"/>
      <c r="I51" s="103"/>
      <c r="J51" s="103"/>
      <c r="K51" s="38">
        <f>'Stavební rozpočet'!I1108</f>
        <v>0</v>
      </c>
      <c r="L51" s="39">
        <f>'Stavební rozpočet'!K1108</f>
        <v>2.5</v>
      </c>
      <c r="M51" s="37" t="s">
        <v>828</v>
      </c>
      <c r="N51" s="38">
        <f t="shared" si="0"/>
        <v>0</v>
      </c>
      <c r="O51" s="2" t="s">
        <v>84</v>
      </c>
      <c r="P51" s="38">
        <f t="shared" si="1"/>
        <v>0</v>
      </c>
    </row>
    <row r="52" spans="1:16" ht="15">
      <c r="A52" s="3" t="s">
        <v>84</v>
      </c>
      <c r="B52" s="4" t="s">
        <v>1976</v>
      </c>
      <c r="C52" s="106" t="s">
        <v>1977</v>
      </c>
      <c r="D52" s="106"/>
      <c r="E52" s="106"/>
      <c r="F52" s="106"/>
      <c r="G52" s="106"/>
      <c r="H52" s="106"/>
      <c r="I52" s="106"/>
      <c r="J52" s="106"/>
      <c r="K52" s="40">
        <f>'Stavební rozpočet'!I1120</f>
        <v>0</v>
      </c>
      <c r="L52" s="41">
        <f>'Stavební rozpočet'!K1120</f>
        <v>0</v>
      </c>
      <c r="M52" s="37" t="s">
        <v>828</v>
      </c>
      <c r="N52" s="38">
        <f t="shared" si="0"/>
        <v>0</v>
      </c>
      <c r="O52" s="2" t="s">
        <v>84</v>
      </c>
      <c r="P52" s="38">
        <f t="shared" si="1"/>
        <v>0</v>
      </c>
    </row>
    <row r="53" spans="9:11" ht="15">
      <c r="I53" s="179" t="s">
        <v>98</v>
      </c>
      <c r="J53" s="179"/>
      <c r="K53" s="42">
        <f>ROUND(SUM(N12:N52),0)</f>
        <v>0</v>
      </c>
    </row>
    <row r="54" ht="15">
      <c r="A54" s="43" t="s">
        <v>56</v>
      </c>
    </row>
    <row r="55" spans="1:12" ht="12.75" customHeight="1">
      <c r="A55" s="108" t="s">
        <v>4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</sheetData>
  <sheetProtection password="F483" sheet="1" objects="1" scenarios="1"/>
  <mergeCells count="70">
    <mergeCell ref="C51:J51"/>
    <mergeCell ref="C52:J52"/>
    <mergeCell ref="I53:J53"/>
    <mergeCell ref="A55:L55"/>
    <mergeCell ref="C46:J46"/>
    <mergeCell ref="C47:J47"/>
    <mergeCell ref="C48:J48"/>
    <mergeCell ref="C49:J49"/>
    <mergeCell ref="C50:J50"/>
    <mergeCell ref="C41:J41"/>
    <mergeCell ref="C42:J42"/>
    <mergeCell ref="C43:J43"/>
    <mergeCell ref="C44:J44"/>
    <mergeCell ref="C45:J45"/>
    <mergeCell ref="C36:J36"/>
    <mergeCell ref="C37:J37"/>
    <mergeCell ref="C38:J38"/>
    <mergeCell ref="C39:J39"/>
    <mergeCell ref="C40:J40"/>
    <mergeCell ref="C31:J31"/>
    <mergeCell ref="C32:J32"/>
    <mergeCell ref="C33:J33"/>
    <mergeCell ref="C34:J34"/>
    <mergeCell ref="C35:J35"/>
    <mergeCell ref="C26:J26"/>
    <mergeCell ref="C27:J27"/>
    <mergeCell ref="C28:J28"/>
    <mergeCell ref="C29:J29"/>
    <mergeCell ref="C30:J30"/>
    <mergeCell ref="C21:J21"/>
    <mergeCell ref="C22:J22"/>
    <mergeCell ref="C23:J23"/>
    <mergeCell ref="C24:J24"/>
    <mergeCell ref="C25:J25"/>
    <mergeCell ref="C16:J16"/>
    <mergeCell ref="C17:J17"/>
    <mergeCell ref="C18:J18"/>
    <mergeCell ref="C19:J19"/>
    <mergeCell ref="C20:J20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pane ySplit="11" topLeftCell="A12" activePane="bottomLeft" state="frozen"/>
      <selection pane="bottomLeft" activeCell="A2" sqref="A2:C3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07" t="s">
        <v>76</v>
      </c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 customHeight="1">
      <c r="A3" s="102"/>
      <c r="B3" s="103"/>
      <c r="C3" s="103"/>
      <c r="D3" s="111"/>
      <c r="E3" s="111"/>
      <c r="F3" s="111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8" t="s">
        <v>9</v>
      </c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8" t="s">
        <v>10</v>
      </c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8" t="s">
        <v>77</v>
      </c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87</v>
      </c>
      <c r="B12" s="34" t="s">
        <v>4</v>
      </c>
      <c r="C12" s="178" t="s">
        <v>88</v>
      </c>
      <c r="D12" s="178"/>
      <c r="E12" s="178"/>
      <c r="F12" s="178"/>
      <c r="G12" s="178"/>
      <c r="H12" s="178"/>
      <c r="I12" s="178"/>
      <c r="J12" s="178"/>
      <c r="K12" s="35">
        <f>'Stavební rozpočet'!I1134</f>
        <v>0</v>
      </c>
      <c r="L12" s="36">
        <f>'Stavební rozpočet'!K1134</f>
        <v>0</v>
      </c>
      <c r="M12" s="37" t="s">
        <v>86</v>
      </c>
      <c r="N12" s="38">
        <f aca="true" t="shared" si="0" ref="N12:N25">IF(M12="F",0,K12)</f>
        <v>0</v>
      </c>
      <c r="O12" s="2" t="s">
        <v>87</v>
      </c>
      <c r="P12" s="38">
        <f aca="true" t="shared" si="1" ref="P12:P25">IF(M12="T",0,K12)</f>
        <v>0</v>
      </c>
    </row>
    <row r="13" spans="1:16" ht="15">
      <c r="A13" s="1" t="s">
        <v>87</v>
      </c>
      <c r="B13" s="2" t="s">
        <v>147</v>
      </c>
      <c r="C13" s="103" t="s">
        <v>148</v>
      </c>
      <c r="D13" s="103"/>
      <c r="E13" s="103"/>
      <c r="F13" s="103"/>
      <c r="G13" s="103"/>
      <c r="H13" s="103"/>
      <c r="I13" s="103"/>
      <c r="J13" s="103"/>
      <c r="K13" s="38">
        <f>'Stavební rozpočet'!I1135</f>
        <v>0</v>
      </c>
      <c r="L13" s="39">
        <f>'Stavební rozpočet'!K1135</f>
        <v>0</v>
      </c>
      <c r="M13" s="37" t="s">
        <v>828</v>
      </c>
      <c r="N13" s="38">
        <f t="shared" si="0"/>
        <v>0</v>
      </c>
      <c r="O13" s="2" t="s">
        <v>87</v>
      </c>
      <c r="P13" s="38">
        <f t="shared" si="1"/>
        <v>0</v>
      </c>
    </row>
    <row r="14" spans="1:16" ht="15">
      <c r="A14" s="1" t="s">
        <v>87</v>
      </c>
      <c r="B14" s="2" t="s">
        <v>155</v>
      </c>
      <c r="C14" s="103" t="s">
        <v>156</v>
      </c>
      <c r="D14" s="103"/>
      <c r="E14" s="103"/>
      <c r="F14" s="103"/>
      <c r="G14" s="103"/>
      <c r="H14" s="103"/>
      <c r="I14" s="103"/>
      <c r="J14" s="103"/>
      <c r="K14" s="38">
        <f>'Stavební rozpočet'!I1139</f>
        <v>0</v>
      </c>
      <c r="L14" s="39">
        <f>'Stavební rozpočet'!K1139</f>
        <v>0</v>
      </c>
      <c r="M14" s="37" t="s">
        <v>828</v>
      </c>
      <c r="N14" s="38">
        <f t="shared" si="0"/>
        <v>0</v>
      </c>
      <c r="O14" s="2" t="s">
        <v>87</v>
      </c>
      <c r="P14" s="38">
        <f t="shared" si="1"/>
        <v>0</v>
      </c>
    </row>
    <row r="15" spans="1:16" ht="15">
      <c r="A15" s="1" t="s">
        <v>87</v>
      </c>
      <c r="B15" s="2" t="s">
        <v>178</v>
      </c>
      <c r="C15" s="103" t="s">
        <v>179</v>
      </c>
      <c r="D15" s="103"/>
      <c r="E15" s="103"/>
      <c r="F15" s="103"/>
      <c r="G15" s="103"/>
      <c r="H15" s="103"/>
      <c r="I15" s="103"/>
      <c r="J15" s="103"/>
      <c r="K15" s="38">
        <f>'Stavební rozpočet'!I1141</f>
        <v>0</v>
      </c>
      <c r="L15" s="39">
        <f>'Stavební rozpočet'!K1141</f>
        <v>0</v>
      </c>
      <c r="M15" s="37" t="s">
        <v>828</v>
      </c>
      <c r="N15" s="38">
        <f t="shared" si="0"/>
        <v>0</v>
      </c>
      <c r="O15" s="2" t="s">
        <v>87</v>
      </c>
      <c r="P15" s="38">
        <f t="shared" si="1"/>
        <v>0</v>
      </c>
    </row>
    <row r="16" spans="1:16" ht="15">
      <c r="A16" s="1" t="s">
        <v>87</v>
      </c>
      <c r="B16" s="2" t="s">
        <v>890</v>
      </c>
      <c r="C16" s="103" t="s">
        <v>891</v>
      </c>
      <c r="D16" s="103"/>
      <c r="E16" s="103"/>
      <c r="F16" s="103"/>
      <c r="G16" s="103"/>
      <c r="H16" s="103"/>
      <c r="I16" s="103"/>
      <c r="J16" s="103"/>
      <c r="K16" s="38">
        <f>'Stavební rozpočet'!I1146</f>
        <v>0</v>
      </c>
      <c r="L16" s="39">
        <f>'Stavební rozpočet'!K1146</f>
        <v>0</v>
      </c>
      <c r="M16" s="37" t="s">
        <v>828</v>
      </c>
      <c r="N16" s="38">
        <f t="shared" si="0"/>
        <v>0</v>
      </c>
      <c r="O16" s="2" t="s">
        <v>87</v>
      </c>
      <c r="P16" s="38">
        <f t="shared" si="1"/>
        <v>0</v>
      </c>
    </row>
    <row r="17" spans="1:16" ht="15">
      <c r="A17" s="1" t="s">
        <v>87</v>
      </c>
      <c r="B17" s="2" t="s">
        <v>2044</v>
      </c>
      <c r="C17" s="103" t="s">
        <v>2045</v>
      </c>
      <c r="D17" s="103"/>
      <c r="E17" s="103"/>
      <c r="F17" s="103"/>
      <c r="G17" s="103"/>
      <c r="H17" s="103"/>
      <c r="I17" s="103"/>
      <c r="J17" s="103"/>
      <c r="K17" s="38">
        <f>'Stavební rozpočet'!I1152</f>
        <v>0</v>
      </c>
      <c r="L17" s="39">
        <f>'Stavební rozpočet'!K1152</f>
        <v>0</v>
      </c>
      <c r="M17" s="37" t="s">
        <v>828</v>
      </c>
      <c r="N17" s="38">
        <f t="shared" si="0"/>
        <v>0</v>
      </c>
      <c r="O17" s="2" t="s">
        <v>87</v>
      </c>
      <c r="P17" s="38">
        <f t="shared" si="1"/>
        <v>0</v>
      </c>
    </row>
    <row r="18" spans="1:16" ht="15">
      <c r="A18" s="1" t="s">
        <v>87</v>
      </c>
      <c r="B18" s="2" t="s">
        <v>2094</v>
      </c>
      <c r="C18" s="103" t="s">
        <v>2095</v>
      </c>
      <c r="D18" s="103"/>
      <c r="E18" s="103"/>
      <c r="F18" s="103"/>
      <c r="G18" s="103"/>
      <c r="H18" s="103"/>
      <c r="I18" s="103"/>
      <c r="J18" s="103"/>
      <c r="K18" s="38">
        <f>'Stavební rozpočet'!I1169</f>
        <v>0</v>
      </c>
      <c r="L18" s="39">
        <f>'Stavební rozpočet'!K1169</f>
        <v>0</v>
      </c>
      <c r="M18" s="37" t="s">
        <v>828</v>
      </c>
      <c r="N18" s="38">
        <f t="shared" si="0"/>
        <v>0</v>
      </c>
      <c r="O18" s="2" t="s">
        <v>87</v>
      </c>
      <c r="P18" s="38">
        <f t="shared" si="1"/>
        <v>0</v>
      </c>
    </row>
    <row r="19" spans="1:16" ht="15">
      <c r="A19" s="1" t="s">
        <v>87</v>
      </c>
      <c r="B19" s="2" t="s">
        <v>2170</v>
      </c>
      <c r="C19" s="103" t="s">
        <v>2171</v>
      </c>
      <c r="D19" s="103"/>
      <c r="E19" s="103"/>
      <c r="F19" s="103"/>
      <c r="G19" s="103"/>
      <c r="H19" s="103"/>
      <c r="I19" s="103"/>
      <c r="J19" s="103"/>
      <c r="K19" s="38">
        <f>'Stavební rozpočet'!I1194</f>
        <v>0</v>
      </c>
      <c r="L19" s="39">
        <f>'Stavební rozpočet'!K1194</f>
        <v>0</v>
      </c>
      <c r="M19" s="37" t="s">
        <v>828</v>
      </c>
      <c r="N19" s="38">
        <f t="shared" si="0"/>
        <v>0</v>
      </c>
      <c r="O19" s="2" t="s">
        <v>87</v>
      </c>
      <c r="P19" s="38">
        <f t="shared" si="1"/>
        <v>0</v>
      </c>
    </row>
    <row r="20" spans="1:16" ht="15">
      <c r="A20" s="1" t="s">
        <v>87</v>
      </c>
      <c r="B20" s="2" t="s">
        <v>2182</v>
      </c>
      <c r="C20" s="103" t="s">
        <v>2183</v>
      </c>
      <c r="D20" s="103"/>
      <c r="E20" s="103"/>
      <c r="F20" s="103"/>
      <c r="G20" s="103"/>
      <c r="H20" s="103"/>
      <c r="I20" s="103"/>
      <c r="J20" s="103"/>
      <c r="K20" s="38">
        <f>'Stavební rozpočet'!I1198</f>
        <v>0</v>
      </c>
      <c r="L20" s="39">
        <f>'Stavební rozpočet'!K1198</f>
        <v>0</v>
      </c>
      <c r="M20" s="37" t="s">
        <v>828</v>
      </c>
      <c r="N20" s="38">
        <f t="shared" si="0"/>
        <v>0</v>
      </c>
      <c r="O20" s="2" t="s">
        <v>87</v>
      </c>
      <c r="P20" s="38">
        <f t="shared" si="1"/>
        <v>0</v>
      </c>
    </row>
    <row r="21" spans="1:16" ht="15">
      <c r="A21" s="1" t="s">
        <v>87</v>
      </c>
      <c r="B21" s="2" t="s">
        <v>2236</v>
      </c>
      <c r="C21" s="103" t="s">
        <v>2237</v>
      </c>
      <c r="D21" s="103"/>
      <c r="E21" s="103"/>
      <c r="F21" s="103"/>
      <c r="G21" s="103"/>
      <c r="H21" s="103"/>
      <c r="I21" s="103"/>
      <c r="J21" s="103"/>
      <c r="K21" s="38">
        <f>'Stavební rozpočet'!I1216</f>
        <v>0</v>
      </c>
      <c r="L21" s="39">
        <f>'Stavební rozpočet'!K1216</f>
        <v>0</v>
      </c>
      <c r="M21" s="37" t="s">
        <v>828</v>
      </c>
      <c r="N21" s="38">
        <f t="shared" si="0"/>
        <v>0</v>
      </c>
      <c r="O21" s="2" t="s">
        <v>87</v>
      </c>
      <c r="P21" s="38">
        <f t="shared" si="1"/>
        <v>0</v>
      </c>
    </row>
    <row r="22" spans="1:16" ht="15">
      <c r="A22" s="1" t="s">
        <v>87</v>
      </c>
      <c r="B22" s="2" t="s">
        <v>1504</v>
      </c>
      <c r="C22" s="103" t="s">
        <v>1505</v>
      </c>
      <c r="D22" s="103"/>
      <c r="E22" s="103"/>
      <c r="F22" s="103"/>
      <c r="G22" s="103"/>
      <c r="H22" s="103"/>
      <c r="I22" s="103"/>
      <c r="J22" s="103"/>
      <c r="K22" s="38">
        <f>'Stavební rozpočet'!I1219</f>
        <v>0</v>
      </c>
      <c r="L22" s="39">
        <f>'Stavební rozpočet'!K1219</f>
        <v>0</v>
      </c>
      <c r="M22" s="37" t="s">
        <v>828</v>
      </c>
      <c r="N22" s="38">
        <f t="shared" si="0"/>
        <v>0</v>
      </c>
      <c r="O22" s="2" t="s">
        <v>87</v>
      </c>
      <c r="P22" s="38">
        <f t="shared" si="1"/>
        <v>0</v>
      </c>
    </row>
    <row r="23" spans="1:16" ht="15">
      <c r="A23" s="1" t="s">
        <v>87</v>
      </c>
      <c r="B23" s="2" t="s">
        <v>691</v>
      </c>
      <c r="C23" s="103" t="s">
        <v>1639</v>
      </c>
      <c r="D23" s="103"/>
      <c r="E23" s="103"/>
      <c r="F23" s="103"/>
      <c r="G23" s="103"/>
      <c r="H23" s="103"/>
      <c r="I23" s="103"/>
      <c r="J23" s="103"/>
      <c r="K23" s="38">
        <f>'Stavební rozpočet'!I1224</f>
        <v>0</v>
      </c>
      <c r="L23" s="39">
        <f>'Stavební rozpočet'!K1224</f>
        <v>0</v>
      </c>
      <c r="M23" s="37" t="s">
        <v>828</v>
      </c>
      <c r="N23" s="38">
        <f t="shared" si="0"/>
        <v>0</v>
      </c>
      <c r="O23" s="2" t="s">
        <v>87</v>
      </c>
      <c r="P23" s="38">
        <f t="shared" si="1"/>
        <v>0</v>
      </c>
    </row>
    <row r="24" spans="1:16" ht="15">
      <c r="A24" s="1" t="s">
        <v>87</v>
      </c>
      <c r="B24" s="2" t="s">
        <v>2271</v>
      </c>
      <c r="C24" s="103" t="s">
        <v>2272</v>
      </c>
      <c r="D24" s="103"/>
      <c r="E24" s="103"/>
      <c r="F24" s="103"/>
      <c r="G24" s="103"/>
      <c r="H24" s="103"/>
      <c r="I24" s="103"/>
      <c r="J24" s="103"/>
      <c r="K24" s="38">
        <f>'Stavební rozpočet'!I1229</f>
        <v>0</v>
      </c>
      <c r="L24" s="39">
        <f>'Stavební rozpočet'!K1229</f>
        <v>0</v>
      </c>
      <c r="M24" s="37" t="s">
        <v>828</v>
      </c>
      <c r="N24" s="38">
        <f t="shared" si="0"/>
        <v>0</v>
      </c>
      <c r="O24" s="2" t="s">
        <v>87</v>
      </c>
      <c r="P24" s="38">
        <f t="shared" si="1"/>
        <v>0</v>
      </c>
    </row>
    <row r="25" spans="1:16" ht="15">
      <c r="A25" s="3" t="s">
        <v>87</v>
      </c>
      <c r="B25" s="4" t="s">
        <v>2281</v>
      </c>
      <c r="C25" s="106" t="s">
        <v>2282</v>
      </c>
      <c r="D25" s="106"/>
      <c r="E25" s="106"/>
      <c r="F25" s="106"/>
      <c r="G25" s="106"/>
      <c r="H25" s="106"/>
      <c r="I25" s="106"/>
      <c r="J25" s="106"/>
      <c r="K25" s="40">
        <f>'Stavební rozpočet'!I1232</f>
        <v>0</v>
      </c>
      <c r="L25" s="41">
        <f>'Stavební rozpočet'!K1232</f>
        <v>0</v>
      </c>
      <c r="M25" s="37" t="s">
        <v>828</v>
      </c>
      <c r="N25" s="38">
        <f t="shared" si="0"/>
        <v>0</v>
      </c>
      <c r="O25" s="2" t="s">
        <v>87</v>
      </c>
      <c r="P25" s="38">
        <f t="shared" si="1"/>
        <v>0</v>
      </c>
    </row>
    <row r="26" spans="9:11" ht="15">
      <c r="I26" s="179" t="s">
        <v>98</v>
      </c>
      <c r="J26" s="179"/>
      <c r="K26" s="42">
        <f>ROUND(SUM(N12:N25),0)</f>
        <v>0</v>
      </c>
    </row>
    <row r="27" ht="15">
      <c r="A27" s="43" t="s">
        <v>56</v>
      </c>
    </row>
    <row r="28" spans="1:12" ht="12.75" customHeight="1">
      <c r="A28" s="108" t="s">
        <v>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</sheetData>
  <sheetProtection password="F483" sheet="1" objects="1" scenarios="1"/>
  <mergeCells count="43">
    <mergeCell ref="I26:J26"/>
    <mergeCell ref="A28:L28"/>
    <mergeCell ref="C21:J21"/>
    <mergeCell ref="C22:J22"/>
    <mergeCell ref="C23:J23"/>
    <mergeCell ref="C24:J24"/>
    <mergeCell ref="C25:J25"/>
    <mergeCell ref="C16:J16"/>
    <mergeCell ref="C17:J17"/>
    <mergeCell ref="C18:J18"/>
    <mergeCell ref="C19:J19"/>
    <mergeCell ref="C20:J20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A1">
      <pane ySplit="11" topLeftCell="A12" activePane="bottomLeft" state="frozen"/>
      <selection pane="bottomLeft" activeCell="K12" sqref="K12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07" t="s">
        <v>76</v>
      </c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 customHeight="1">
      <c r="A3" s="102"/>
      <c r="B3" s="103"/>
      <c r="C3" s="103"/>
      <c r="D3" s="111"/>
      <c r="E3" s="111"/>
      <c r="F3" s="111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8" t="s">
        <v>9</v>
      </c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8" t="s">
        <v>10</v>
      </c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8" t="s">
        <v>77</v>
      </c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89</v>
      </c>
      <c r="B12" s="34" t="s">
        <v>4</v>
      </c>
      <c r="C12" s="178" t="s">
        <v>90</v>
      </c>
      <c r="D12" s="178"/>
      <c r="E12" s="178"/>
      <c r="F12" s="178"/>
      <c r="G12" s="178"/>
      <c r="H12" s="178"/>
      <c r="I12" s="178"/>
      <c r="J12" s="178"/>
      <c r="K12" s="35">
        <f>'Stavební rozpočet'!I1237</f>
        <v>0</v>
      </c>
      <c r="L12" s="36">
        <f>'Stavební rozpočet'!K1237</f>
        <v>0</v>
      </c>
      <c r="M12" s="37" t="s">
        <v>86</v>
      </c>
      <c r="N12" s="38">
        <f aca="true" t="shared" si="0" ref="N12:N19">IF(M12="F",0,K12)</f>
        <v>0</v>
      </c>
      <c r="O12" s="2" t="s">
        <v>89</v>
      </c>
      <c r="P12" s="38">
        <f aca="true" t="shared" si="1" ref="P12:P19">IF(M12="T",0,K12)</f>
        <v>0</v>
      </c>
    </row>
    <row r="13" spans="1:16" ht="15">
      <c r="A13" s="1" t="s">
        <v>89</v>
      </c>
      <c r="B13" s="2" t="s">
        <v>890</v>
      </c>
      <c r="C13" s="103" t="s">
        <v>891</v>
      </c>
      <c r="D13" s="103"/>
      <c r="E13" s="103"/>
      <c r="F13" s="103"/>
      <c r="G13" s="103"/>
      <c r="H13" s="103"/>
      <c r="I13" s="103"/>
      <c r="J13" s="103"/>
      <c r="K13" s="38">
        <f>'Stavební rozpočet'!I1238</f>
        <v>0</v>
      </c>
      <c r="L13" s="39">
        <f>'Stavební rozpočet'!K1238</f>
        <v>0</v>
      </c>
      <c r="M13" s="37" t="s">
        <v>828</v>
      </c>
      <c r="N13" s="38">
        <f t="shared" si="0"/>
        <v>0</v>
      </c>
      <c r="O13" s="2" t="s">
        <v>89</v>
      </c>
      <c r="P13" s="38">
        <f t="shared" si="1"/>
        <v>0</v>
      </c>
    </row>
    <row r="14" spans="1:16" ht="15">
      <c r="A14" s="1" t="s">
        <v>89</v>
      </c>
      <c r="B14" s="2" t="s">
        <v>2311</v>
      </c>
      <c r="C14" s="103" t="s">
        <v>2312</v>
      </c>
      <c r="D14" s="103"/>
      <c r="E14" s="103"/>
      <c r="F14" s="103"/>
      <c r="G14" s="103"/>
      <c r="H14" s="103"/>
      <c r="I14" s="103"/>
      <c r="J14" s="103"/>
      <c r="K14" s="38">
        <f>'Stavební rozpočet'!I1243</f>
        <v>0</v>
      </c>
      <c r="L14" s="39">
        <f>'Stavební rozpočet'!K1243</f>
        <v>0</v>
      </c>
      <c r="M14" s="37" t="s">
        <v>828</v>
      </c>
      <c r="N14" s="38">
        <f t="shared" si="0"/>
        <v>0</v>
      </c>
      <c r="O14" s="2" t="s">
        <v>89</v>
      </c>
      <c r="P14" s="38">
        <f t="shared" si="1"/>
        <v>0</v>
      </c>
    </row>
    <row r="15" spans="1:16" ht="15">
      <c r="A15" s="1" t="s">
        <v>89</v>
      </c>
      <c r="B15" s="2" t="s">
        <v>2345</v>
      </c>
      <c r="C15" s="103" t="s">
        <v>2346</v>
      </c>
      <c r="D15" s="103"/>
      <c r="E15" s="103"/>
      <c r="F15" s="103"/>
      <c r="G15" s="103"/>
      <c r="H15" s="103"/>
      <c r="I15" s="103"/>
      <c r="J15" s="103"/>
      <c r="K15" s="38">
        <f>'Stavební rozpočet'!I1254</f>
        <v>0</v>
      </c>
      <c r="L15" s="39">
        <f>'Stavební rozpočet'!K1254</f>
        <v>0</v>
      </c>
      <c r="M15" s="37" t="s">
        <v>828</v>
      </c>
      <c r="N15" s="38">
        <f t="shared" si="0"/>
        <v>0</v>
      </c>
      <c r="O15" s="2" t="s">
        <v>89</v>
      </c>
      <c r="P15" s="38">
        <f t="shared" si="1"/>
        <v>0</v>
      </c>
    </row>
    <row r="16" spans="1:16" ht="15">
      <c r="A16" s="1" t="s">
        <v>89</v>
      </c>
      <c r="B16" s="2" t="s">
        <v>2375</v>
      </c>
      <c r="C16" s="103" t="s">
        <v>2376</v>
      </c>
      <c r="D16" s="103"/>
      <c r="E16" s="103"/>
      <c r="F16" s="103"/>
      <c r="G16" s="103"/>
      <c r="H16" s="103"/>
      <c r="I16" s="103"/>
      <c r="J16" s="103"/>
      <c r="K16" s="38">
        <f>'Stavební rozpočet'!I1264</f>
        <v>0</v>
      </c>
      <c r="L16" s="39">
        <f>'Stavební rozpočet'!K1264</f>
        <v>0</v>
      </c>
      <c r="M16" s="37" t="s">
        <v>828</v>
      </c>
      <c r="N16" s="38">
        <f t="shared" si="0"/>
        <v>0</v>
      </c>
      <c r="O16" s="2" t="s">
        <v>89</v>
      </c>
      <c r="P16" s="38">
        <f t="shared" si="1"/>
        <v>0</v>
      </c>
    </row>
    <row r="17" spans="1:16" ht="15">
      <c r="A17" s="1" t="s">
        <v>89</v>
      </c>
      <c r="B17" s="2" t="s">
        <v>1504</v>
      </c>
      <c r="C17" s="103" t="s">
        <v>1505</v>
      </c>
      <c r="D17" s="103"/>
      <c r="E17" s="103"/>
      <c r="F17" s="103"/>
      <c r="G17" s="103"/>
      <c r="H17" s="103"/>
      <c r="I17" s="103"/>
      <c r="J17" s="103"/>
      <c r="K17" s="38">
        <f>'Stavební rozpočet'!I1273</f>
        <v>0</v>
      </c>
      <c r="L17" s="39">
        <f>'Stavební rozpočet'!K1273</f>
        <v>0</v>
      </c>
      <c r="M17" s="37" t="s">
        <v>828</v>
      </c>
      <c r="N17" s="38">
        <f t="shared" si="0"/>
        <v>0</v>
      </c>
      <c r="O17" s="2" t="s">
        <v>89</v>
      </c>
      <c r="P17" s="38">
        <f t="shared" si="1"/>
        <v>0</v>
      </c>
    </row>
    <row r="18" spans="1:16" ht="15">
      <c r="A18" s="1" t="s">
        <v>89</v>
      </c>
      <c r="B18" s="2" t="s">
        <v>2271</v>
      </c>
      <c r="C18" s="103" t="s">
        <v>2272</v>
      </c>
      <c r="D18" s="103"/>
      <c r="E18" s="103"/>
      <c r="F18" s="103"/>
      <c r="G18" s="103"/>
      <c r="H18" s="103"/>
      <c r="I18" s="103"/>
      <c r="J18" s="103"/>
      <c r="K18" s="38">
        <f>'Stavební rozpočet'!I1286</f>
        <v>0</v>
      </c>
      <c r="L18" s="39">
        <f>'Stavební rozpočet'!K1286</f>
        <v>0</v>
      </c>
      <c r="M18" s="37" t="s">
        <v>828</v>
      </c>
      <c r="N18" s="38">
        <f t="shared" si="0"/>
        <v>0</v>
      </c>
      <c r="O18" s="2" t="s">
        <v>89</v>
      </c>
      <c r="P18" s="38">
        <f t="shared" si="1"/>
        <v>0</v>
      </c>
    </row>
    <row r="19" spans="1:16" ht="15">
      <c r="A19" s="3" t="s">
        <v>89</v>
      </c>
      <c r="B19" s="4" t="s">
        <v>2281</v>
      </c>
      <c r="C19" s="106" t="s">
        <v>2434</v>
      </c>
      <c r="D19" s="106"/>
      <c r="E19" s="106"/>
      <c r="F19" s="106"/>
      <c r="G19" s="106"/>
      <c r="H19" s="106"/>
      <c r="I19" s="106"/>
      <c r="J19" s="106"/>
      <c r="K19" s="40">
        <f>'Stavební rozpočet'!I1289</f>
        <v>0</v>
      </c>
      <c r="L19" s="41">
        <f>'Stavební rozpočet'!K1289</f>
        <v>0</v>
      </c>
      <c r="M19" s="37" t="s">
        <v>828</v>
      </c>
      <c r="N19" s="38">
        <f t="shared" si="0"/>
        <v>0</v>
      </c>
      <c r="O19" s="2" t="s">
        <v>89</v>
      </c>
      <c r="P19" s="38">
        <f t="shared" si="1"/>
        <v>0</v>
      </c>
    </row>
    <row r="20" spans="9:11" ht="15">
      <c r="I20" s="179" t="s">
        <v>98</v>
      </c>
      <c r="J20" s="179"/>
      <c r="K20" s="42">
        <f>ROUND(SUM(N12:N19),0)</f>
        <v>0</v>
      </c>
    </row>
    <row r="21" ht="15">
      <c r="A21" s="43" t="s">
        <v>56</v>
      </c>
    </row>
    <row r="22" spans="1:12" ht="12.75" customHeight="1">
      <c r="A22" s="108" t="s">
        <v>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</sheetData>
  <sheetProtection password="F483" sheet="1" objects="1" scenarios="1"/>
  <mergeCells count="37">
    <mergeCell ref="A22:L22"/>
    <mergeCell ref="C16:J16"/>
    <mergeCell ref="C17:J17"/>
    <mergeCell ref="C18:J18"/>
    <mergeCell ref="C19:J19"/>
    <mergeCell ref="I20:J20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pane ySplit="11" topLeftCell="A12" activePane="bottomLeft" state="frozen"/>
      <selection pane="bottomLeft" activeCell="A45" sqref="A45:XFD45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07" t="s">
        <v>76</v>
      </c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 customHeight="1">
      <c r="A3" s="102"/>
      <c r="B3" s="103"/>
      <c r="C3" s="103"/>
      <c r="D3" s="111"/>
      <c r="E3" s="111"/>
      <c r="F3" s="111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8" t="s">
        <v>9</v>
      </c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8" t="s">
        <v>10</v>
      </c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8" t="s">
        <v>77</v>
      </c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91</v>
      </c>
      <c r="B12" s="34" t="s">
        <v>4</v>
      </c>
      <c r="C12" s="178" t="s">
        <v>92</v>
      </c>
      <c r="D12" s="178"/>
      <c r="E12" s="178"/>
      <c r="F12" s="178"/>
      <c r="G12" s="178"/>
      <c r="H12" s="178"/>
      <c r="I12" s="178"/>
      <c r="J12" s="178"/>
      <c r="K12" s="35">
        <f>'Stavební rozpočet'!I1294</f>
        <v>0</v>
      </c>
      <c r="L12" s="36">
        <f>'Stavební rozpočet'!K1294</f>
        <v>0</v>
      </c>
      <c r="M12" s="37" t="s">
        <v>86</v>
      </c>
      <c r="N12" s="38">
        <f>IF(M12="F",0,K12)</f>
        <v>0</v>
      </c>
      <c r="O12" s="2" t="s">
        <v>91</v>
      </c>
      <c r="P12" s="38">
        <f>IF(M12="T",0,K12)</f>
        <v>0</v>
      </c>
    </row>
    <row r="13" spans="1:16" ht="15">
      <c r="A13" s="1" t="s">
        <v>91</v>
      </c>
      <c r="B13" s="2" t="s">
        <v>811</v>
      </c>
      <c r="C13" s="103" t="s">
        <v>812</v>
      </c>
      <c r="D13" s="103"/>
      <c r="E13" s="103"/>
      <c r="F13" s="103"/>
      <c r="G13" s="103"/>
      <c r="H13" s="103"/>
      <c r="I13" s="103"/>
      <c r="J13" s="103"/>
      <c r="K13" s="38">
        <f>'Stavební rozpočet'!I1295</f>
        <v>0</v>
      </c>
      <c r="L13" s="39">
        <f>'Stavební rozpočet'!K1295</f>
        <v>0</v>
      </c>
      <c r="M13" s="37" t="s">
        <v>828</v>
      </c>
      <c r="N13" s="38">
        <f>IF(M13="F",0,K13)</f>
        <v>0</v>
      </c>
      <c r="O13" s="2" t="s">
        <v>91</v>
      </c>
      <c r="P13" s="38">
        <f>IF(M13="T",0,K13)</f>
        <v>0</v>
      </c>
    </row>
    <row r="14" spans="1:16" ht="15">
      <c r="A14" s="3" t="s">
        <v>91</v>
      </c>
      <c r="B14" s="4" t="s">
        <v>2281</v>
      </c>
      <c r="C14" s="106" t="s">
        <v>812</v>
      </c>
      <c r="D14" s="106"/>
      <c r="E14" s="106"/>
      <c r="F14" s="106"/>
      <c r="G14" s="106"/>
      <c r="H14" s="106"/>
      <c r="I14" s="106"/>
      <c r="J14" s="106"/>
      <c r="K14" s="40">
        <f>'Stavební rozpočet'!I1330</f>
        <v>0</v>
      </c>
      <c r="L14" s="41">
        <f>'Stavební rozpočet'!K1330</f>
        <v>0</v>
      </c>
      <c r="M14" s="37" t="s">
        <v>828</v>
      </c>
      <c r="N14" s="38">
        <f>IF(M14="F",0,K14)</f>
        <v>0</v>
      </c>
      <c r="O14" s="2" t="s">
        <v>91</v>
      </c>
      <c r="P14" s="38">
        <f>IF(M14="T",0,K14)</f>
        <v>0</v>
      </c>
    </row>
    <row r="15" spans="9:11" ht="15">
      <c r="I15" s="179" t="s">
        <v>98</v>
      </c>
      <c r="J15" s="179"/>
      <c r="K15" s="42">
        <f>ROUND(SUM(N12:N14),0)</f>
        <v>0</v>
      </c>
    </row>
    <row r="16" ht="15">
      <c r="A16" s="43" t="s">
        <v>56</v>
      </c>
    </row>
    <row r="17" spans="1:12" ht="12.75" customHeight="1">
      <c r="A17" s="108" t="s">
        <v>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</sheetData>
  <sheetProtection password="F483" sheet="1" objects="1" scenarios="1"/>
  <mergeCells count="32">
    <mergeCell ref="A17:L17"/>
    <mergeCell ref="C11:J11"/>
    <mergeCell ref="C12:J12"/>
    <mergeCell ref="C13:J13"/>
    <mergeCell ref="C14:J14"/>
    <mergeCell ref="I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pane ySplit="11" topLeftCell="A12" activePane="bottomLeft" state="frozen"/>
      <selection pane="bottomLeft" activeCell="K26" sqref="K26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09" t="str">
        <f>'Stavební rozpočet'!D2</f>
        <v>III ZŠ Šumperk stavební úpravy suterénu a 1NP</v>
      </c>
      <c r="E2" s="110"/>
      <c r="F2" s="110"/>
      <c r="G2" s="107" t="s">
        <v>76</v>
      </c>
      <c r="H2" s="107" t="str">
        <f>'Stavební rozpočet'!H2</f>
        <v xml:space="preserve"> </v>
      </c>
      <c r="I2" s="107" t="s">
        <v>2</v>
      </c>
      <c r="J2" s="107" t="str">
        <f>'Stavební rozpočet'!J2</f>
        <v>Město šumperk</v>
      </c>
      <c r="K2" s="101"/>
      <c r="L2" s="112"/>
    </row>
    <row r="3" spans="1:12" ht="15" customHeight="1">
      <c r="A3" s="102"/>
      <c r="B3" s="103"/>
      <c r="C3" s="103"/>
      <c r="D3" s="111"/>
      <c r="E3" s="111"/>
      <c r="F3" s="111"/>
      <c r="G3" s="103"/>
      <c r="H3" s="103"/>
      <c r="I3" s="103"/>
      <c r="J3" s="103"/>
      <c r="K3" s="103"/>
      <c r="L3" s="113"/>
    </row>
    <row r="4" spans="1:12" ht="15">
      <c r="A4" s="104" t="s">
        <v>5</v>
      </c>
      <c r="B4" s="103"/>
      <c r="C4" s="103"/>
      <c r="D4" s="108" t="str">
        <f>'Stavební rozpočet'!D4</f>
        <v>Stavební úpravy se změnou v užívání</v>
      </c>
      <c r="E4" s="103"/>
      <c r="F4" s="103"/>
      <c r="G4" s="108" t="s">
        <v>9</v>
      </c>
      <c r="H4" s="108">
        <f>'Stavební rozpočet'!H4</f>
        <v>0</v>
      </c>
      <c r="I4" s="108" t="s">
        <v>6</v>
      </c>
      <c r="J4" s="108" t="str">
        <f>'Stavební rozpočet'!J4</f>
        <v>Ing.Ladislav Trčka - PROINK</v>
      </c>
      <c r="K4" s="103"/>
      <c r="L4" s="113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13"/>
    </row>
    <row r="6" spans="1:12" ht="15">
      <c r="A6" s="104" t="s">
        <v>7</v>
      </c>
      <c r="B6" s="103"/>
      <c r="C6" s="103"/>
      <c r="D6" s="108" t="str">
        <f>'Stavební rozpočet'!D6</f>
        <v>Šumperk</v>
      </c>
      <c r="E6" s="103"/>
      <c r="F6" s="103"/>
      <c r="G6" s="108" t="s">
        <v>10</v>
      </c>
      <c r="H6" s="108" t="str">
        <f>'Stavební rozpočet'!H6</f>
        <v xml:space="preserve"> </v>
      </c>
      <c r="I6" s="108" t="s">
        <v>8</v>
      </c>
      <c r="J6" s="108">
        <f>'Stavební rozpočet'!J6</f>
        <v>0</v>
      </c>
      <c r="K6" s="103"/>
      <c r="L6" s="113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13"/>
    </row>
    <row r="8" spans="1:12" ht="15">
      <c r="A8" s="104" t="s">
        <v>12</v>
      </c>
      <c r="B8" s="103"/>
      <c r="C8" s="103"/>
      <c r="D8" s="108" t="str">
        <f>'Stavební rozpočet'!D8</f>
        <v xml:space="preserve"> </v>
      </c>
      <c r="E8" s="103"/>
      <c r="F8" s="103"/>
      <c r="G8" s="108" t="s">
        <v>77</v>
      </c>
      <c r="H8" s="108">
        <f>'Stavební rozpočet'!H8</f>
        <v>0</v>
      </c>
      <c r="I8" s="108" t="s">
        <v>13</v>
      </c>
      <c r="J8" s="108">
        <f>'Stavební rozpočet'!J8</f>
        <v>0</v>
      </c>
      <c r="K8" s="103"/>
      <c r="L8" s="113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93</v>
      </c>
      <c r="B12" s="34" t="s">
        <v>4</v>
      </c>
      <c r="C12" s="178" t="s">
        <v>94</v>
      </c>
      <c r="D12" s="178"/>
      <c r="E12" s="178"/>
      <c r="F12" s="178"/>
      <c r="G12" s="178"/>
      <c r="H12" s="178"/>
      <c r="I12" s="178"/>
      <c r="J12" s="178"/>
      <c r="K12" s="35">
        <f>'Stavební rozpočet'!I1333</f>
        <v>0</v>
      </c>
      <c r="L12" s="36">
        <f>'Stavební rozpočet'!K1333</f>
        <v>0</v>
      </c>
      <c r="M12" s="37" t="s">
        <v>86</v>
      </c>
      <c r="N12" s="38">
        <f>IF(M12="F",0,K12)</f>
        <v>0</v>
      </c>
      <c r="O12" s="2" t="s">
        <v>93</v>
      </c>
      <c r="P12" s="38">
        <f>IF(M12="T",0,K12)</f>
        <v>0</v>
      </c>
    </row>
    <row r="13" spans="1:16" ht="15">
      <c r="A13" s="1" t="s">
        <v>93</v>
      </c>
      <c r="B13" s="2" t="s">
        <v>2556</v>
      </c>
      <c r="C13" s="103" t="s">
        <v>2557</v>
      </c>
      <c r="D13" s="103"/>
      <c r="E13" s="103"/>
      <c r="F13" s="103"/>
      <c r="G13" s="103"/>
      <c r="H13" s="103"/>
      <c r="I13" s="103"/>
      <c r="J13" s="103"/>
      <c r="K13" s="38">
        <f>'Stavební rozpočet'!I1334</f>
        <v>0</v>
      </c>
      <c r="L13" s="39">
        <f>'Stavební rozpočet'!K1334</f>
        <v>0</v>
      </c>
      <c r="M13" s="37" t="s">
        <v>828</v>
      </c>
      <c r="N13" s="38">
        <f>IF(M13="F",0,K13)</f>
        <v>0</v>
      </c>
      <c r="O13" s="2" t="s">
        <v>93</v>
      </c>
      <c r="P13" s="38">
        <f>IF(M13="T",0,K13)</f>
        <v>0</v>
      </c>
    </row>
    <row r="14" spans="1:16" ht="15">
      <c r="A14" s="1" t="s">
        <v>93</v>
      </c>
      <c r="B14" s="2" t="s">
        <v>2824</v>
      </c>
      <c r="C14" s="103" t="s">
        <v>2825</v>
      </c>
      <c r="D14" s="103"/>
      <c r="E14" s="103"/>
      <c r="F14" s="103"/>
      <c r="G14" s="103"/>
      <c r="H14" s="103"/>
      <c r="I14" s="103"/>
      <c r="J14" s="103"/>
      <c r="K14" s="38">
        <f>'Stavební rozpočet'!I1431</f>
        <v>0</v>
      </c>
      <c r="L14" s="39">
        <f>'Stavební rozpočet'!K1431</f>
        <v>0</v>
      </c>
      <c r="M14" s="37" t="s">
        <v>828</v>
      </c>
      <c r="N14" s="38">
        <f>IF(M14="F",0,K14)</f>
        <v>0</v>
      </c>
      <c r="O14" s="2" t="s">
        <v>93</v>
      </c>
      <c r="P14" s="38">
        <f>IF(M14="T",0,K14)</f>
        <v>0</v>
      </c>
    </row>
    <row r="15" spans="1:16" ht="15">
      <c r="A15" s="1" t="s">
        <v>93</v>
      </c>
      <c r="B15" s="2" t="s">
        <v>2661</v>
      </c>
      <c r="C15" s="103" t="s">
        <v>2989</v>
      </c>
      <c r="D15" s="103"/>
      <c r="E15" s="103"/>
      <c r="F15" s="103"/>
      <c r="G15" s="103"/>
      <c r="H15" s="103"/>
      <c r="I15" s="103"/>
      <c r="J15" s="103"/>
      <c r="K15" s="38">
        <f>'Stavební rozpočet'!I1525</f>
        <v>0</v>
      </c>
      <c r="L15" s="39">
        <f>'Stavební rozpočet'!K1525</f>
        <v>0</v>
      </c>
      <c r="M15" s="37" t="s">
        <v>828</v>
      </c>
      <c r="N15" s="38">
        <f>IF(M15="F",0,K15)</f>
        <v>0</v>
      </c>
      <c r="O15" s="2" t="s">
        <v>93</v>
      </c>
      <c r="P15" s="38">
        <f>IF(M15="T",0,K15)</f>
        <v>0</v>
      </c>
    </row>
    <row r="16" spans="1:16" ht="15">
      <c r="A16" s="3" t="s">
        <v>93</v>
      </c>
      <c r="B16" s="4" t="s">
        <v>696</v>
      </c>
      <c r="C16" s="106" t="s">
        <v>1959</v>
      </c>
      <c r="D16" s="106"/>
      <c r="E16" s="106"/>
      <c r="F16" s="106"/>
      <c r="G16" s="106"/>
      <c r="H16" s="106"/>
      <c r="I16" s="106"/>
      <c r="J16" s="106"/>
      <c r="K16" s="40">
        <f>'Stavební rozpočet'!I1528</f>
        <v>0</v>
      </c>
      <c r="L16" s="41">
        <f>'Stavební rozpočet'!K1528</f>
        <v>0</v>
      </c>
      <c r="M16" s="37" t="s">
        <v>828</v>
      </c>
      <c r="N16" s="38">
        <f>IF(M16="F",0,K16)</f>
        <v>0</v>
      </c>
      <c r="O16" s="2" t="s">
        <v>93</v>
      </c>
      <c r="P16" s="38">
        <f>IF(M16="T",0,K16)</f>
        <v>0</v>
      </c>
    </row>
    <row r="17" spans="9:11" ht="15">
      <c r="I17" s="179" t="s">
        <v>98</v>
      </c>
      <c r="J17" s="179"/>
      <c r="K17" s="42">
        <f>ROUND(SUM(N12:N16),0)</f>
        <v>0</v>
      </c>
    </row>
    <row r="18" ht="15">
      <c r="A18" s="43" t="s">
        <v>56</v>
      </c>
    </row>
    <row r="19" spans="1:12" ht="12.75" customHeight="1">
      <c r="A19" s="108" t="s">
        <v>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</sheetData>
  <sheetProtection password="F483" sheet="1" objects="1" scenarios="1"/>
  <mergeCells count="34">
    <mergeCell ref="C16:J16"/>
    <mergeCell ref="I17:J17"/>
    <mergeCell ref="A19:L19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uzivatel</cp:lastModifiedBy>
  <dcterms:created xsi:type="dcterms:W3CDTF">2021-06-10T20:06:38Z</dcterms:created>
  <dcterms:modified xsi:type="dcterms:W3CDTF">2024-04-19T05:48:24Z</dcterms:modified>
  <cp:category/>
  <cp:version/>
  <cp:contentType/>
  <cp:contentStatus/>
</cp:coreProperties>
</file>