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30" yWindow="600" windowWidth="18880" windowHeight="9240" activeTab="1"/>
  </bookViews>
  <sheets>
    <sheet name="Rekapitulace" sheetId="1" r:id="rId1"/>
    <sheet name="Stavební rozpočet" sheetId="2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E6" i="1" l="1"/>
  <c r="E4" i="1" l="1"/>
  <c r="C4" i="1"/>
  <c r="E2" i="1"/>
  <c r="C2" i="1"/>
  <c r="BU522" i="2" l="1"/>
  <c r="BS522" i="2"/>
  <c r="BH522" i="2"/>
  <c r="BB522" i="2"/>
  <c r="AN522" i="2"/>
  <c r="BG522" i="2" s="1"/>
  <c r="AM522" i="2"/>
  <c r="AU522" i="2" s="1"/>
  <c r="AI522" i="2"/>
  <c r="AH522" i="2"/>
  <c r="AF522" i="2"/>
  <c r="AE522" i="2"/>
  <c r="AD522" i="2"/>
  <c r="AC522" i="2"/>
  <c r="AB522" i="2"/>
  <c r="AA522" i="2"/>
  <c r="Z522" i="2"/>
  <c r="X522" i="2"/>
  <c r="M522" i="2"/>
  <c r="BD522" i="2" s="1"/>
  <c r="K522" i="2"/>
  <c r="AJ522" i="2" s="1"/>
  <c r="BU521" i="2"/>
  <c r="BS521" i="2"/>
  <c r="BH521" i="2"/>
  <c r="BB521" i="2"/>
  <c r="AN521" i="2"/>
  <c r="BG521" i="2" s="1"/>
  <c r="AM521" i="2"/>
  <c r="AU521" i="2" s="1"/>
  <c r="AI521" i="2"/>
  <c r="AH521" i="2"/>
  <c r="AF521" i="2"/>
  <c r="AE521" i="2"/>
  <c r="AD521" i="2"/>
  <c r="AC521" i="2"/>
  <c r="AB521" i="2"/>
  <c r="AA521" i="2"/>
  <c r="Z521" i="2"/>
  <c r="X521" i="2"/>
  <c r="M521" i="2"/>
  <c r="BD521" i="2" s="1"/>
  <c r="K521" i="2"/>
  <c r="BU517" i="2"/>
  <c r="BH517" i="2"/>
  <c r="X517" i="2" s="1"/>
  <c r="BB517" i="2"/>
  <c r="AN517" i="2"/>
  <c r="BG517" i="2" s="1"/>
  <c r="AM517" i="2"/>
  <c r="BF517" i="2" s="1"/>
  <c r="AI517" i="2"/>
  <c r="AH517" i="2"/>
  <c r="AF517" i="2"/>
  <c r="AE517" i="2"/>
  <c r="AD517" i="2"/>
  <c r="AC517" i="2"/>
  <c r="AB517" i="2"/>
  <c r="AA517" i="2"/>
  <c r="Z517" i="2"/>
  <c r="M517" i="2"/>
  <c r="BD517" i="2" s="1"/>
  <c r="K517" i="2"/>
  <c r="AJ517" i="2" s="1"/>
  <c r="J517" i="2"/>
  <c r="BU516" i="2"/>
  <c r="BH516" i="2"/>
  <c r="BB516" i="2"/>
  <c r="AN516" i="2"/>
  <c r="BG516" i="2" s="1"/>
  <c r="AC516" i="2" s="1"/>
  <c r="AM516" i="2"/>
  <c r="BF516" i="2" s="1"/>
  <c r="AB516" i="2" s="1"/>
  <c r="AI516" i="2"/>
  <c r="AH516" i="2"/>
  <c r="AF516" i="2"/>
  <c r="AE516" i="2"/>
  <c r="AD516" i="2"/>
  <c r="AA516" i="2"/>
  <c r="Z516" i="2"/>
  <c r="X516" i="2"/>
  <c r="M516" i="2"/>
  <c r="BD516" i="2" s="1"/>
  <c r="K516" i="2"/>
  <c r="BU514" i="2"/>
  <c r="BH514" i="2"/>
  <c r="BB514" i="2"/>
  <c r="AN514" i="2"/>
  <c r="BG514" i="2" s="1"/>
  <c r="AC514" i="2" s="1"/>
  <c r="AM514" i="2"/>
  <c r="BF514" i="2" s="1"/>
  <c r="AB514" i="2" s="1"/>
  <c r="AI514" i="2"/>
  <c r="AH514" i="2"/>
  <c r="AF514" i="2"/>
  <c r="AE514" i="2"/>
  <c r="AD514" i="2"/>
  <c r="AA514" i="2"/>
  <c r="Z514" i="2"/>
  <c r="X514" i="2"/>
  <c r="M514" i="2"/>
  <c r="BD514" i="2" s="1"/>
  <c r="K514" i="2"/>
  <c r="AJ514" i="2" s="1"/>
  <c r="BU511" i="2"/>
  <c r="BH511" i="2"/>
  <c r="BD511" i="2"/>
  <c r="BB511" i="2"/>
  <c r="AN511" i="2"/>
  <c r="BG511" i="2" s="1"/>
  <c r="AC511" i="2" s="1"/>
  <c r="AM511" i="2"/>
  <c r="BF511" i="2" s="1"/>
  <c r="AB511" i="2" s="1"/>
  <c r="AI511" i="2"/>
  <c r="AH511" i="2"/>
  <c r="AF511" i="2"/>
  <c r="AE511" i="2"/>
  <c r="AD511" i="2"/>
  <c r="AA511" i="2"/>
  <c r="Z511" i="2"/>
  <c r="X511" i="2"/>
  <c r="M511" i="2"/>
  <c r="K511" i="2"/>
  <c r="BU509" i="2"/>
  <c r="BH509" i="2"/>
  <c r="BB509" i="2"/>
  <c r="AN509" i="2"/>
  <c r="BG509" i="2" s="1"/>
  <c r="AC509" i="2" s="1"/>
  <c r="AM509" i="2"/>
  <c r="BF509" i="2" s="1"/>
  <c r="AB509" i="2" s="1"/>
  <c r="AI509" i="2"/>
  <c r="AH509" i="2"/>
  <c r="AF509" i="2"/>
  <c r="AE509" i="2"/>
  <c r="AD509" i="2"/>
  <c r="AA509" i="2"/>
  <c r="Z509" i="2"/>
  <c r="X509" i="2"/>
  <c r="M509" i="2"/>
  <c r="BD509" i="2" s="1"/>
  <c r="K509" i="2"/>
  <c r="AJ509" i="2" s="1"/>
  <c r="BU506" i="2"/>
  <c r="BH506" i="2"/>
  <c r="BD506" i="2"/>
  <c r="BB506" i="2"/>
  <c r="AN506" i="2"/>
  <c r="BG506" i="2" s="1"/>
  <c r="AC506" i="2" s="1"/>
  <c r="AM506" i="2"/>
  <c r="BF506" i="2" s="1"/>
  <c r="AB506" i="2" s="1"/>
  <c r="AI506" i="2"/>
  <c r="AH506" i="2"/>
  <c r="AF506" i="2"/>
  <c r="AE506" i="2"/>
  <c r="AD506" i="2"/>
  <c r="AA506" i="2"/>
  <c r="Z506" i="2"/>
  <c r="X506" i="2"/>
  <c r="M506" i="2"/>
  <c r="K506" i="2"/>
  <c r="BU504" i="2"/>
  <c r="BH504" i="2"/>
  <c r="BB504" i="2"/>
  <c r="AN504" i="2"/>
  <c r="BG504" i="2" s="1"/>
  <c r="AC504" i="2" s="1"/>
  <c r="AM504" i="2"/>
  <c r="BF504" i="2" s="1"/>
  <c r="AB504" i="2" s="1"/>
  <c r="AI504" i="2"/>
  <c r="AH504" i="2"/>
  <c r="AF504" i="2"/>
  <c r="AE504" i="2"/>
  <c r="AD504" i="2"/>
  <c r="AA504" i="2"/>
  <c r="Z504" i="2"/>
  <c r="X504" i="2"/>
  <c r="M504" i="2"/>
  <c r="BD504" i="2" s="1"/>
  <c r="K504" i="2"/>
  <c r="AJ504" i="2" s="1"/>
  <c r="BU502" i="2"/>
  <c r="BH502" i="2"/>
  <c r="BB502" i="2"/>
  <c r="AN502" i="2"/>
  <c r="BG502" i="2" s="1"/>
  <c r="AC502" i="2" s="1"/>
  <c r="AM502" i="2"/>
  <c r="BF502" i="2" s="1"/>
  <c r="AB502" i="2" s="1"/>
  <c r="AI502" i="2"/>
  <c r="AH502" i="2"/>
  <c r="AF502" i="2"/>
  <c r="AE502" i="2"/>
  <c r="AD502" i="2"/>
  <c r="AA502" i="2"/>
  <c r="Z502" i="2"/>
  <c r="X502" i="2"/>
  <c r="M502" i="2"/>
  <c r="BD502" i="2" s="1"/>
  <c r="K502" i="2"/>
  <c r="BU500" i="2"/>
  <c r="BH500" i="2"/>
  <c r="BB500" i="2"/>
  <c r="AN500" i="2"/>
  <c r="BG500" i="2" s="1"/>
  <c r="AC500" i="2" s="1"/>
  <c r="AM500" i="2"/>
  <c r="BF500" i="2" s="1"/>
  <c r="AB500" i="2" s="1"/>
  <c r="AI500" i="2"/>
  <c r="AH500" i="2"/>
  <c r="AF500" i="2"/>
  <c r="AE500" i="2"/>
  <c r="AD500" i="2"/>
  <c r="AA500" i="2"/>
  <c r="Z500" i="2"/>
  <c r="X500" i="2"/>
  <c r="M500" i="2"/>
  <c r="BD500" i="2" s="1"/>
  <c r="K500" i="2"/>
  <c r="AJ500" i="2" s="1"/>
  <c r="BU498" i="2"/>
  <c r="BH498" i="2"/>
  <c r="X498" i="2" s="1"/>
  <c r="BB498" i="2"/>
  <c r="AN498" i="2"/>
  <c r="BG498" i="2" s="1"/>
  <c r="AM498" i="2"/>
  <c r="BF498" i="2" s="1"/>
  <c r="AI498" i="2"/>
  <c r="AH498" i="2"/>
  <c r="AF498" i="2"/>
  <c r="AE498" i="2"/>
  <c r="AD498" i="2"/>
  <c r="AC498" i="2"/>
  <c r="AB498" i="2"/>
  <c r="AA498" i="2"/>
  <c r="Z498" i="2"/>
  <c r="M498" i="2"/>
  <c r="BD498" i="2" s="1"/>
  <c r="K498" i="2"/>
  <c r="BU496" i="2"/>
  <c r="BH496" i="2"/>
  <c r="BB496" i="2"/>
  <c r="AN496" i="2"/>
  <c r="BG496" i="2" s="1"/>
  <c r="AC496" i="2" s="1"/>
  <c r="AM496" i="2"/>
  <c r="BF496" i="2" s="1"/>
  <c r="AB496" i="2" s="1"/>
  <c r="AI496" i="2"/>
  <c r="AH496" i="2"/>
  <c r="AF496" i="2"/>
  <c r="AE496" i="2"/>
  <c r="AD496" i="2"/>
  <c r="AA496" i="2"/>
  <c r="Z496" i="2"/>
  <c r="X496" i="2"/>
  <c r="M496" i="2"/>
  <c r="BD496" i="2" s="1"/>
  <c r="K496" i="2"/>
  <c r="AJ496" i="2" s="1"/>
  <c r="BU494" i="2"/>
  <c r="BH494" i="2"/>
  <c r="BD494" i="2"/>
  <c r="BB494" i="2"/>
  <c r="AN494" i="2"/>
  <c r="BG494" i="2" s="1"/>
  <c r="AC494" i="2" s="1"/>
  <c r="AM494" i="2"/>
  <c r="BF494" i="2" s="1"/>
  <c r="AB494" i="2" s="1"/>
  <c r="AI494" i="2"/>
  <c r="AH494" i="2"/>
  <c r="AF494" i="2"/>
  <c r="AE494" i="2"/>
  <c r="AD494" i="2"/>
  <c r="AA494" i="2"/>
  <c r="Z494" i="2"/>
  <c r="X494" i="2"/>
  <c r="M494" i="2"/>
  <c r="K494" i="2"/>
  <c r="BU492" i="2"/>
  <c r="BH492" i="2"/>
  <c r="X492" i="2" s="1"/>
  <c r="BD492" i="2"/>
  <c r="BB492" i="2"/>
  <c r="AN492" i="2"/>
  <c r="BG492" i="2" s="1"/>
  <c r="AM492" i="2"/>
  <c r="BF492" i="2" s="1"/>
  <c r="AI492" i="2"/>
  <c r="AH492" i="2"/>
  <c r="AF492" i="2"/>
  <c r="AE492" i="2"/>
  <c r="AD492" i="2"/>
  <c r="AC492" i="2"/>
  <c r="AB492" i="2"/>
  <c r="AA492" i="2"/>
  <c r="Z492" i="2"/>
  <c r="M492" i="2"/>
  <c r="K492" i="2"/>
  <c r="AJ492" i="2" s="1"/>
  <c r="BU491" i="2"/>
  <c r="BH491" i="2"/>
  <c r="BB491" i="2"/>
  <c r="AN491" i="2"/>
  <c r="BG491" i="2" s="1"/>
  <c r="AC491" i="2" s="1"/>
  <c r="AM491" i="2"/>
  <c r="BF491" i="2" s="1"/>
  <c r="AB491" i="2" s="1"/>
  <c r="AI491" i="2"/>
  <c r="AH491" i="2"/>
  <c r="AF491" i="2"/>
  <c r="AE491" i="2"/>
  <c r="AD491" i="2"/>
  <c r="AA491" i="2"/>
  <c r="Z491" i="2"/>
  <c r="X491" i="2"/>
  <c r="M491" i="2"/>
  <c r="BD491" i="2" s="1"/>
  <c r="K491" i="2"/>
  <c r="I491" i="2"/>
  <c r="BU489" i="2"/>
  <c r="BH489" i="2"/>
  <c r="BB489" i="2"/>
  <c r="AN489" i="2"/>
  <c r="BG489" i="2" s="1"/>
  <c r="AC489" i="2" s="1"/>
  <c r="AM489" i="2"/>
  <c r="BF489" i="2" s="1"/>
  <c r="AB489" i="2" s="1"/>
  <c r="AI489" i="2"/>
  <c r="AH489" i="2"/>
  <c r="AF489" i="2"/>
  <c r="AE489" i="2"/>
  <c r="AD489" i="2"/>
  <c r="AA489" i="2"/>
  <c r="Z489" i="2"/>
  <c r="X489" i="2"/>
  <c r="M489" i="2"/>
  <c r="BD489" i="2" s="1"/>
  <c r="K489" i="2"/>
  <c r="AJ489" i="2" s="1"/>
  <c r="BU485" i="2"/>
  <c r="BH485" i="2"/>
  <c r="BB485" i="2"/>
  <c r="AN485" i="2"/>
  <c r="BG485" i="2" s="1"/>
  <c r="AC485" i="2" s="1"/>
  <c r="AM485" i="2"/>
  <c r="BF485" i="2" s="1"/>
  <c r="AB485" i="2" s="1"/>
  <c r="AI485" i="2"/>
  <c r="AH485" i="2"/>
  <c r="AF485" i="2"/>
  <c r="AE485" i="2"/>
  <c r="AD485" i="2"/>
  <c r="AA485" i="2"/>
  <c r="Z485" i="2"/>
  <c r="X485" i="2"/>
  <c r="M485" i="2"/>
  <c r="BD485" i="2" s="1"/>
  <c r="K485" i="2"/>
  <c r="BU483" i="2"/>
  <c r="BH483" i="2"/>
  <c r="BD483" i="2"/>
  <c r="BB483" i="2"/>
  <c r="AN483" i="2"/>
  <c r="BG483" i="2" s="1"/>
  <c r="AC483" i="2" s="1"/>
  <c r="AM483" i="2"/>
  <c r="BF483" i="2" s="1"/>
  <c r="AB483" i="2" s="1"/>
  <c r="AI483" i="2"/>
  <c r="AH483" i="2"/>
  <c r="AF483" i="2"/>
  <c r="AE483" i="2"/>
  <c r="AD483" i="2"/>
  <c r="AA483" i="2"/>
  <c r="Z483" i="2"/>
  <c r="X483" i="2"/>
  <c r="M483" i="2"/>
  <c r="K483" i="2"/>
  <c r="AJ483" i="2" s="1"/>
  <c r="BU481" i="2"/>
  <c r="BH481" i="2"/>
  <c r="BB481" i="2"/>
  <c r="AV481" i="2"/>
  <c r="AN481" i="2"/>
  <c r="BG481" i="2" s="1"/>
  <c r="AC481" i="2" s="1"/>
  <c r="AM481" i="2"/>
  <c r="BF481" i="2" s="1"/>
  <c r="AB481" i="2" s="1"/>
  <c r="AI481" i="2"/>
  <c r="AH481" i="2"/>
  <c r="AF481" i="2"/>
  <c r="AE481" i="2"/>
  <c r="AD481" i="2"/>
  <c r="AA481" i="2"/>
  <c r="Z481" i="2"/>
  <c r="X481" i="2"/>
  <c r="M481" i="2"/>
  <c r="BD481" i="2" s="1"/>
  <c r="K481" i="2"/>
  <c r="BU478" i="2"/>
  <c r="BH478" i="2"/>
  <c r="BB478" i="2"/>
  <c r="AN478" i="2"/>
  <c r="BG478" i="2" s="1"/>
  <c r="AC478" i="2" s="1"/>
  <c r="AM478" i="2"/>
  <c r="BF478" i="2" s="1"/>
  <c r="AB478" i="2" s="1"/>
  <c r="AI478" i="2"/>
  <c r="AH478" i="2"/>
  <c r="AF478" i="2"/>
  <c r="AE478" i="2"/>
  <c r="AD478" i="2"/>
  <c r="AA478" i="2"/>
  <c r="Z478" i="2"/>
  <c r="X478" i="2"/>
  <c r="M478" i="2"/>
  <c r="BD478" i="2" s="1"/>
  <c r="K478" i="2"/>
  <c r="AJ478" i="2" s="1"/>
  <c r="BU476" i="2"/>
  <c r="BH476" i="2"/>
  <c r="BB476" i="2"/>
  <c r="AN476" i="2"/>
  <c r="BG476" i="2" s="1"/>
  <c r="AC476" i="2" s="1"/>
  <c r="AM476" i="2"/>
  <c r="BF476" i="2" s="1"/>
  <c r="AB476" i="2" s="1"/>
  <c r="AI476" i="2"/>
  <c r="AH476" i="2"/>
  <c r="AF476" i="2"/>
  <c r="AE476" i="2"/>
  <c r="AD476" i="2"/>
  <c r="AA476" i="2"/>
  <c r="Z476" i="2"/>
  <c r="X476" i="2"/>
  <c r="M476" i="2"/>
  <c r="BD476" i="2" s="1"/>
  <c r="K476" i="2"/>
  <c r="BU474" i="2"/>
  <c r="BH474" i="2"/>
  <c r="BB474" i="2"/>
  <c r="AN474" i="2"/>
  <c r="BG474" i="2" s="1"/>
  <c r="AC474" i="2" s="1"/>
  <c r="AM474" i="2"/>
  <c r="BF474" i="2" s="1"/>
  <c r="AB474" i="2" s="1"/>
  <c r="AI474" i="2"/>
  <c r="AH474" i="2"/>
  <c r="AF474" i="2"/>
  <c r="AE474" i="2"/>
  <c r="AD474" i="2"/>
  <c r="AA474" i="2"/>
  <c r="Z474" i="2"/>
  <c r="X474" i="2"/>
  <c r="M474" i="2"/>
  <c r="BD474" i="2" s="1"/>
  <c r="K474" i="2"/>
  <c r="AJ474" i="2" s="1"/>
  <c r="BU472" i="2"/>
  <c r="BH472" i="2"/>
  <c r="X472" i="2" s="1"/>
  <c r="BB472" i="2"/>
  <c r="AN472" i="2"/>
  <c r="BG472" i="2" s="1"/>
  <c r="AM472" i="2"/>
  <c r="BF472" i="2" s="1"/>
  <c r="AI472" i="2"/>
  <c r="AH472" i="2"/>
  <c r="AQ463" i="2" s="1"/>
  <c r="AF472" i="2"/>
  <c r="AE472" i="2"/>
  <c r="AD472" i="2"/>
  <c r="AC472" i="2"/>
  <c r="AB472" i="2"/>
  <c r="AA472" i="2"/>
  <c r="Z472" i="2"/>
  <c r="M472" i="2"/>
  <c r="BD472" i="2" s="1"/>
  <c r="K472" i="2"/>
  <c r="J472" i="2"/>
  <c r="BU470" i="2"/>
  <c r="BH470" i="2"/>
  <c r="BB470" i="2"/>
  <c r="AN470" i="2"/>
  <c r="BG470" i="2" s="1"/>
  <c r="AC470" i="2" s="1"/>
  <c r="AM470" i="2"/>
  <c r="BF470" i="2" s="1"/>
  <c r="AB470" i="2" s="1"/>
  <c r="AI470" i="2"/>
  <c r="AH470" i="2"/>
  <c r="AF470" i="2"/>
  <c r="AE470" i="2"/>
  <c r="AD470" i="2"/>
  <c r="AA470" i="2"/>
  <c r="Z470" i="2"/>
  <c r="X470" i="2"/>
  <c r="M470" i="2"/>
  <c r="BD470" i="2" s="1"/>
  <c r="K470" i="2"/>
  <c r="AJ470" i="2" s="1"/>
  <c r="BU467" i="2"/>
  <c r="BH467" i="2"/>
  <c r="BB467" i="2"/>
  <c r="AU467" i="2"/>
  <c r="AN467" i="2"/>
  <c r="BG467" i="2" s="1"/>
  <c r="AC467" i="2" s="1"/>
  <c r="AM467" i="2"/>
  <c r="BF467" i="2" s="1"/>
  <c r="AB467" i="2" s="1"/>
  <c r="AI467" i="2"/>
  <c r="AH467" i="2"/>
  <c r="AF467" i="2"/>
  <c r="AE467" i="2"/>
  <c r="AD467" i="2"/>
  <c r="AA467" i="2"/>
  <c r="Z467" i="2"/>
  <c r="X467" i="2"/>
  <c r="M467" i="2"/>
  <c r="BD467" i="2" s="1"/>
  <c r="K467" i="2"/>
  <c r="BU464" i="2"/>
  <c r="BH464" i="2"/>
  <c r="BB464" i="2"/>
  <c r="AN464" i="2"/>
  <c r="BG464" i="2" s="1"/>
  <c r="AC464" i="2" s="1"/>
  <c r="AM464" i="2"/>
  <c r="BF464" i="2" s="1"/>
  <c r="AB464" i="2" s="1"/>
  <c r="AI464" i="2"/>
  <c r="AH464" i="2"/>
  <c r="AF464" i="2"/>
  <c r="AE464" i="2"/>
  <c r="AD464" i="2"/>
  <c r="AA464" i="2"/>
  <c r="Z464" i="2"/>
  <c r="X464" i="2"/>
  <c r="M464" i="2"/>
  <c r="BD464" i="2" s="1"/>
  <c r="K464" i="2"/>
  <c r="AJ464" i="2" s="1"/>
  <c r="BU462" i="2"/>
  <c r="BH462" i="2"/>
  <c r="X462" i="2" s="1"/>
  <c r="BB462" i="2"/>
  <c r="AN462" i="2"/>
  <c r="BG462" i="2" s="1"/>
  <c r="AM462" i="2"/>
  <c r="BF462" i="2" s="1"/>
  <c r="AI462" i="2"/>
  <c r="AH462" i="2"/>
  <c r="AF462" i="2"/>
  <c r="AE462" i="2"/>
  <c r="AD462" i="2"/>
  <c r="AC462" i="2"/>
  <c r="AB462" i="2"/>
  <c r="AA462" i="2"/>
  <c r="Z462" i="2"/>
  <c r="M462" i="2"/>
  <c r="BD462" i="2" s="1"/>
  <c r="K462" i="2"/>
  <c r="BU461" i="2"/>
  <c r="BH461" i="2"/>
  <c r="X461" i="2" s="1"/>
  <c r="BB461" i="2"/>
  <c r="AN461" i="2"/>
  <c r="BG461" i="2" s="1"/>
  <c r="AM461" i="2"/>
  <c r="BF461" i="2" s="1"/>
  <c r="AI461" i="2"/>
  <c r="AH461" i="2"/>
  <c r="AF461" i="2"/>
  <c r="AE461" i="2"/>
  <c r="AD461" i="2"/>
  <c r="AC461" i="2"/>
  <c r="AB461" i="2"/>
  <c r="AA461" i="2"/>
  <c r="Z461" i="2"/>
  <c r="M461" i="2"/>
  <c r="BD461" i="2" s="1"/>
  <c r="K461" i="2"/>
  <c r="AJ461" i="2" s="1"/>
  <c r="BU460" i="2"/>
  <c r="BH460" i="2"/>
  <c r="X460" i="2" s="1"/>
  <c r="BB460" i="2"/>
  <c r="AN460" i="2"/>
  <c r="BG460" i="2" s="1"/>
  <c r="AM460" i="2"/>
  <c r="BF460" i="2" s="1"/>
  <c r="AI460" i="2"/>
  <c r="AH460" i="2"/>
  <c r="AF460" i="2"/>
  <c r="AE460" i="2"/>
  <c r="AD460" i="2"/>
  <c r="AC460" i="2"/>
  <c r="AB460" i="2"/>
  <c r="AA460" i="2"/>
  <c r="Z460" i="2"/>
  <c r="M460" i="2"/>
  <c r="BD460" i="2" s="1"/>
  <c r="K460" i="2"/>
  <c r="BU459" i="2"/>
  <c r="BH459" i="2"/>
  <c r="X459" i="2" s="1"/>
  <c r="BB459" i="2"/>
  <c r="AN459" i="2"/>
  <c r="BG459" i="2" s="1"/>
  <c r="AM459" i="2"/>
  <c r="BF459" i="2" s="1"/>
  <c r="AI459" i="2"/>
  <c r="AH459" i="2"/>
  <c r="AF459" i="2"/>
  <c r="AE459" i="2"/>
  <c r="AD459" i="2"/>
  <c r="AC459" i="2"/>
  <c r="AB459" i="2"/>
  <c r="AA459" i="2"/>
  <c r="Z459" i="2"/>
  <c r="M459" i="2"/>
  <c r="BD459" i="2" s="1"/>
  <c r="K459" i="2"/>
  <c r="AJ459" i="2" s="1"/>
  <c r="BU458" i="2"/>
  <c r="BH458" i="2"/>
  <c r="X458" i="2" s="1"/>
  <c r="BB458" i="2"/>
  <c r="AN458" i="2"/>
  <c r="BG458" i="2" s="1"/>
  <c r="AM458" i="2"/>
  <c r="BF458" i="2" s="1"/>
  <c r="AI458" i="2"/>
  <c r="AH458" i="2"/>
  <c r="AF458" i="2"/>
  <c r="AE458" i="2"/>
  <c r="AD458" i="2"/>
  <c r="AC458" i="2"/>
  <c r="AB458" i="2"/>
  <c r="AA458" i="2"/>
  <c r="Z458" i="2"/>
  <c r="M458" i="2"/>
  <c r="BD458" i="2" s="1"/>
  <c r="K458" i="2"/>
  <c r="BU456" i="2"/>
  <c r="BH456" i="2"/>
  <c r="X456" i="2" s="1"/>
  <c r="BB456" i="2"/>
  <c r="AN456" i="2"/>
  <c r="BG456" i="2" s="1"/>
  <c r="AM456" i="2"/>
  <c r="BF456" i="2" s="1"/>
  <c r="AJ456" i="2"/>
  <c r="AI456" i="2"/>
  <c r="AH456" i="2"/>
  <c r="AF456" i="2"/>
  <c r="AE456" i="2"/>
  <c r="AD456" i="2"/>
  <c r="AC456" i="2"/>
  <c r="AB456" i="2"/>
  <c r="AA456" i="2"/>
  <c r="Z456" i="2"/>
  <c r="M456" i="2"/>
  <c r="BD456" i="2" s="1"/>
  <c r="K456" i="2"/>
  <c r="BU455" i="2"/>
  <c r="BH455" i="2"/>
  <c r="X455" i="2" s="1"/>
  <c r="BB455" i="2"/>
  <c r="AN455" i="2"/>
  <c r="BG455" i="2" s="1"/>
  <c r="AM455" i="2"/>
  <c r="BF455" i="2" s="1"/>
  <c r="AI455" i="2"/>
  <c r="AH455" i="2"/>
  <c r="AF455" i="2"/>
  <c r="AE455" i="2"/>
  <c r="AD455" i="2"/>
  <c r="AC455" i="2"/>
  <c r="AB455" i="2"/>
  <c r="AA455" i="2"/>
  <c r="Z455" i="2"/>
  <c r="M455" i="2"/>
  <c r="BD455" i="2" s="1"/>
  <c r="K455" i="2"/>
  <c r="BU453" i="2"/>
  <c r="BH453" i="2"/>
  <c r="BB453" i="2"/>
  <c r="AN453" i="2"/>
  <c r="BG453" i="2" s="1"/>
  <c r="AA453" i="2" s="1"/>
  <c r="AM453" i="2"/>
  <c r="BF453" i="2" s="1"/>
  <c r="Z453" i="2" s="1"/>
  <c r="AI453" i="2"/>
  <c r="AH453" i="2"/>
  <c r="AF453" i="2"/>
  <c r="AE453" i="2"/>
  <c r="AD453" i="2"/>
  <c r="AC453" i="2"/>
  <c r="AB453" i="2"/>
  <c r="X453" i="2"/>
  <c r="M453" i="2"/>
  <c r="BD453" i="2" s="1"/>
  <c r="K453" i="2"/>
  <c r="AJ453" i="2" s="1"/>
  <c r="I453" i="2"/>
  <c r="BU450" i="2"/>
  <c r="BH450" i="2"/>
  <c r="BB450" i="2"/>
  <c r="AN450" i="2"/>
  <c r="BG450" i="2" s="1"/>
  <c r="AM450" i="2"/>
  <c r="BF450" i="2" s="1"/>
  <c r="Z450" i="2" s="1"/>
  <c r="AI450" i="2"/>
  <c r="AH450" i="2"/>
  <c r="AF450" i="2"/>
  <c r="AE450" i="2"/>
  <c r="AD450" i="2"/>
  <c r="AC450" i="2"/>
  <c r="AB450" i="2"/>
  <c r="AA450" i="2"/>
  <c r="X450" i="2"/>
  <c r="M450" i="2"/>
  <c r="BD450" i="2" s="1"/>
  <c r="K450" i="2"/>
  <c r="AJ450" i="2" s="1"/>
  <c r="J450" i="2"/>
  <c r="BU448" i="2"/>
  <c r="BH448" i="2"/>
  <c r="BB448" i="2"/>
  <c r="AN448" i="2"/>
  <c r="BG448" i="2" s="1"/>
  <c r="AA448" i="2" s="1"/>
  <c r="AM448" i="2"/>
  <c r="BF448" i="2" s="1"/>
  <c r="Z448" i="2" s="1"/>
  <c r="AI448" i="2"/>
  <c r="AH448" i="2"/>
  <c r="AF448" i="2"/>
  <c r="AE448" i="2"/>
  <c r="AD448" i="2"/>
  <c r="AC448" i="2"/>
  <c r="AB448" i="2"/>
  <c r="X448" i="2"/>
  <c r="M448" i="2"/>
  <c r="BD448" i="2" s="1"/>
  <c r="K448" i="2"/>
  <c r="AJ448" i="2" s="1"/>
  <c r="BU445" i="2"/>
  <c r="BH445" i="2"/>
  <c r="BB445" i="2"/>
  <c r="AN445" i="2"/>
  <c r="BG445" i="2" s="1"/>
  <c r="AA445" i="2" s="1"/>
  <c r="AM445" i="2"/>
  <c r="BF445" i="2" s="1"/>
  <c r="Z445" i="2" s="1"/>
  <c r="AI445" i="2"/>
  <c r="AH445" i="2"/>
  <c r="AF445" i="2"/>
  <c r="AE445" i="2"/>
  <c r="AD445" i="2"/>
  <c r="AC445" i="2"/>
  <c r="AB445" i="2"/>
  <c r="X445" i="2"/>
  <c r="M445" i="2"/>
  <c r="BD445" i="2" s="1"/>
  <c r="K445" i="2"/>
  <c r="AJ445" i="2" s="1"/>
  <c r="BU442" i="2"/>
  <c r="BH442" i="2"/>
  <c r="BB442" i="2"/>
  <c r="AN442" i="2"/>
  <c r="BG442" i="2" s="1"/>
  <c r="AM442" i="2"/>
  <c r="BF442" i="2" s="1"/>
  <c r="Z442" i="2" s="1"/>
  <c r="AI442" i="2"/>
  <c r="AH442" i="2"/>
  <c r="AF442" i="2"/>
  <c r="AE442" i="2"/>
  <c r="AD442" i="2"/>
  <c r="AC442" i="2"/>
  <c r="AB442" i="2"/>
  <c r="AA442" i="2"/>
  <c r="X442" i="2"/>
  <c r="M442" i="2"/>
  <c r="BD442" i="2" s="1"/>
  <c r="K442" i="2"/>
  <c r="AJ442" i="2" s="1"/>
  <c r="BU440" i="2"/>
  <c r="BH440" i="2"/>
  <c r="BB440" i="2"/>
  <c r="AN440" i="2"/>
  <c r="BG440" i="2" s="1"/>
  <c r="AA440" i="2" s="1"/>
  <c r="AM440" i="2"/>
  <c r="BF440" i="2" s="1"/>
  <c r="Z440" i="2" s="1"/>
  <c r="AI440" i="2"/>
  <c r="AH440" i="2"/>
  <c r="AF440" i="2"/>
  <c r="AE440" i="2"/>
  <c r="AD440" i="2"/>
  <c r="AC440" i="2"/>
  <c r="AB440" i="2"/>
  <c r="X440" i="2"/>
  <c r="M440" i="2"/>
  <c r="K440" i="2"/>
  <c r="BU437" i="2"/>
  <c r="BH437" i="2"/>
  <c r="BB437" i="2"/>
  <c r="AN437" i="2"/>
  <c r="BG437" i="2" s="1"/>
  <c r="AA437" i="2" s="1"/>
  <c r="AM437" i="2"/>
  <c r="BF437" i="2" s="1"/>
  <c r="Z437" i="2" s="1"/>
  <c r="AI437" i="2"/>
  <c r="AH437" i="2"/>
  <c r="AF437" i="2"/>
  <c r="AE437" i="2"/>
  <c r="AD437" i="2"/>
  <c r="AC437" i="2"/>
  <c r="AB437" i="2"/>
  <c r="X437" i="2"/>
  <c r="M437" i="2"/>
  <c r="BD437" i="2" s="1"/>
  <c r="K437" i="2"/>
  <c r="AJ437" i="2" s="1"/>
  <c r="BU434" i="2"/>
  <c r="BH434" i="2"/>
  <c r="X434" i="2" s="1"/>
  <c r="BB434" i="2"/>
  <c r="AN434" i="2"/>
  <c r="BG434" i="2" s="1"/>
  <c r="AM434" i="2"/>
  <c r="AU434" i="2" s="1"/>
  <c r="AI434" i="2"/>
  <c r="AH434" i="2"/>
  <c r="AF434" i="2"/>
  <c r="AE434" i="2"/>
  <c r="AD434" i="2"/>
  <c r="AC434" i="2"/>
  <c r="AB434" i="2"/>
  <c r="AA434" i="2"/>
  <c r="Z434" i="2"/>
  <c r="M434" i="2"/>
  <c r="BD434" i="2" s="1"/>
  <c r="K434" i="2"/>
  <c r="AJ434" i="2" s="1"/>
  <c r="BU432" i="2"/>
  <c r="BH432" i="2"/>
  <c r="BB432" i="2"/>
  <c r="AN432" i="2"/>
  <c r="BG432" i="2" s="1"/>
  <c r="AA432" i="2" s="1"/>
  <c r="AM432" i="2"/>
  <c r="BF432" i="2" s="1"/>
  <c r="Z432" i="2" s="1"/>
  <c r="AI432" i="2"/>
  <c r="AH432" i="2"/>
  <c r="AF432" i="2"/>
  <c r="AE432" i="2"/>
  <c r="AD432" i="2"/>
  <c r="AC432" i="2"/>
  <c r="AB432" i="2"/>
  <c r="X432" i="2"/>
  <c r="M432" i="2"/>
  <c r="BD432" i="2" s="1"/>
  <c r="K432" i="2"/>
  <c r="AJ432" i="2" s="1"/>
  <c r="BU431" i="2"/>
  <c r="BH431" i="2"/>
  <c r="BB431" i="2"/>
  <c r="AN431" i="2"/>
  <c r="BG431" i="2" s="1"/>
  <c r="AA431" i="2" s="1"/>
  <c r="AM431" i="2"/>
  <c r="AU431" i="2" s="1"/>
  <c r="AI431" i="2"/>
  <c r="AH431" i="2"/>
  <c r="AF431" i="2"/>
  <c r="AE431" i="2"/>
  <c r="AD431" i="2"/>
  <c r="AC431" i="2"/>
  <c r="AB431" i="2"/>
  <c r="X431" i="2"/>
  <c r="M431" i="2"/>
  <c r="BD431" i="2" s="1"/>
  <c r="K431" i="2"/>
  <c r="AJ431" i="2" s="1"/>
  <c r="BU429" i="2"/>
  <c r="BH429" i="2"/>
  <c r="BB429" i="2"/>
  <c r="AN429" i="2"/>
  <c r="BG429" i="2" s="1"/>
  <c r="AA429" i="2" s="1"/>
  <c r="AM429" i="2"/>
  <c r="AU429" i="2" s="1"/>
  <c r="AI429" i="2"/>
  <c r="AH429" i="2"/>
  <c r="AF429" i="2"/>
  <c r="AE429" i="2"/>
  <c r="AD429" i="2"/>
  <c r="AC429" i="2"/>
  <c r="AB429" i="2"/>
  <c r="X429" i="2"/>
  <c r="M429" i="2"/>
  <c r="BD429" i="2" s="1"/>
  <c r="K429" i="2"/>
  <c r="AJ429" i="2" s="1"/>
  <c r="BU427" i="2"/>
  <c r="BH427" i="2"/>
  <c r="BB427" i="2"/>
  <c r="AN427" i="2"/>
  <c r="AM427" i="2"/>
  <c r="AU427" i="2" s="1"/>
  <c r="AI427" i="2"/>
  <c r="AH427" i="2"/>
  <c r="AF427" i="2"/>
  <c r="AE427" i="2"/>
  <c r="AD427" i="2"/>
  <c r="AC427" i="2"/>
  <c r="AB427" i="2"/>
  <c r="X427" i="2"/>
  <c r="M427" i="2"/>
  <c r="BD427" i="2" s="1"/>
  <c r="K427" i="2"/>
  <c r="AJ427" i="2" s="1"/>
  <c r="I427" i="2"/>
  <c r="BU425" i="2"/>
  <c r="BH425" i="2"/>
  <c r="BB425" i="2"/>
  <c r="AN425" i="2"/>
  <c r="BG425" i="2" s="1"/>
  <c r="AA425" i="2" s="1"/>
  <c r="AM425" i="2"/>
  <c r="AU425" i="2" s="1"/>
  <c r="AI425" i="2"/>
  <c r="AH425" i="2"/>
  <c r="AF425" i="2"/>
  <c r="AE425" i="2"/>
  <c r="AD425" i="2"/>
  <c r="AC425" i="2"/>
  <c r="AB425" i="2"/>
  <c r="X425" i="2"/>
  <c r="M425" i="2"/>
  <c r="BD425" i="2" s="1"/>
  <c r="K425" i="2"/>
  <c r="AJ425" i="2" s="1"/>
  <c r="BU423" i="2"/>
  <c r="BH423" i="2"/>
  <c r="BB423" i="2"/>
  <c r="AN423" i="2"/>
  <c r="J423" i="2" s="1"/>
  <c r="AM423" i="2"/>
  <c r="AI423" i="2"/>
  <c r="AH423" i="2"/>
  <c r="AF423" i="2"/>
  <c r="AE423" i="2"/>
  <c r="AD423" i="2"/>
  <c r="AC423" i="2"/>
  <c r="AB423" i="2"/>
  <c r="X423" i="2"/>
  <c r="M423" i="2"/>
  <c r="BD423" i="2" s="1"/>
  <c r="K423" i="2"/>
  <c r="AJ423" i="2" s="1"/>
  <c r="BU422" i="2"/>
  <c r="BH422" i="2"/>
  <c r="BB422" i="2"/>
  <c r="AN422" i="2"/>
  <c r="BG422" i="2" s="1"/>
  <c r="AA422" i="2" s="1"/>
  <c r="AM422" i="2"/>
  <c r="AI422" i="2"/>
  <c r="AH422" i="2"/>
  <c r="AF422" i="2"/>
  <c r="AE422" i="2"/>
  <c r="AD422" i="2"/>
  <c r="AC422" i="2"/>
  <c r="AB422" i="2"/>
  <c r="X422" i="2"/>
  <c r="M422" i="2"/>
  <c r="BD422" i="2" s="1"/>
  <c r="K422" i="2"/>
  <c r="AJ422" i="2" s="1"/>
  <c r="BU419" i="2"/>
  <c r="BH419" i="2"/>
  <c r="BB419" i="2"/>
  <c r="AN419" i="2"/>
  <c r="AV419" i="2" s="1"/>
  <c r="AM419" i="2"/>
  <c r="AU419" i="2" s="1"/>
  <c r="AI419" i="2"/>
  <c r="AH419" i="2"/>
  <c r="AF419" i="2"/>
  <c r="AE419" i="2"/>
  <c r="AD419" i="2"/>
  <c r="AC419" i="2"/>
  <c r="AB419" i="2"/>
  <c r="X419" i="2"/>
  <c r="M419" i="2"/>
  <c r="BD419" i="2" s="1"/>
  <c r="K419" i="2"/>
  <c r="AJ419" i="2" s="1"/>
  <c r="BU418" i="2"/>
  <c r="BH418" i="2"/>
  <c r="BB418" i="2"/>
  <c r="AN418" i="2"/>
  <c r="BG418" i="2" s="1"/>
  <c r="AA418" i="2" s="1"/>
  <c r="AM418" i="2"/>
  <c r="AU418" i="2" s="1"/>
  <c r="AI418" i="2"/>
  <c r="AH418" i="2"/>
  <c r="AF418" i="2"/>
  <c r="AE418" i="2"/>
  <c r="AD418" i="2"/>
  <c r="AC418" i="2"/>
  <c r="AB418" i="2"/>
  <c r="X418" i="2"/>
  <c r="M418" i="2"/>
  <c r="BD418" i="2" s="1"/>
  <c r="K418" i="2"/>
  <c r="AJ418" i="2" s="1"/>
  <c r="BU416" i="2"/>
  <c r="BH416" i="2"/>
  <c r="BB416" i="2"/>
  <c r="AN416" i="2"/>
  <c r="BG416" i="2" s="1"/>
  <c r="AA416" i="2" s="1"/>
  <c r="AM416" i="2"/>
  <c r="AU416" i="2" s="1"/>
  <c r="AI416" i="2"/>
  <c r="AH416" i="2"/>
  <c r="AF416" i="2"/>
  <c r="AE416" i="2"/>
  <c r="AD416" i="2"/>
  <c r="AC416" i="2"/>
  <c r="AB416" i="2"/>
  <c r="X416" i="2"/>
  <c r="M416" i="2"/>
  <c r="BD416" i="2" s="1"/>
  <c r="K416" i="2"/>
  <c r="AJ416" i="2" s="1"/>
  <c r="BU415" i="2"/>
  <c r="BH415" i="2"/>
  <c r="BB415" i="2"/>
  <c r="AN415" i="2"/>
  <c r="BG415" i="2" s="1"/>
  <c r="AA415" i="2" s="1"/>
  <c r="AM415" i="2"/>
  <c r="BF415" i="2" s="1"/>
  <c r="Z415" i="2" s="1"/>
  <c r="AI415" i="2"/>
  <c r="AH415" i="2"/>
  <c r="AF415" i="2"/>
  <c r="AE415" i="2"/>
  <c r="AD415" i="2"/>
  <c r="AC415" i="2"/>
  <c r="AB415" i="2"/>
  <c r="X415" i="2"/>
  <c r="M415" i="2"/>
  <c r="BD415" i="2" s="1"/>
  <c r="K415" i="2"/>
  <c r="AJ415" i="2" s="1"/>
  <c r="BU413" i="2"/>
  <c r="BH413" i="2"/>
  <c r="BD413" i="2"/>
  <c r="BB413" i="2"/>
  <c r="AN413" i="2"/>
  <c r="BG413" i="2" s="1"/>
  <c r="AA413" i="2" s="1"/>
  <c r="AM413" i="2"/>
  <c r="AU413" i="2" s="1"/>
  <c r="AI413" i="2"/>
  <c r="AH413" i="2"/>
  <c r="AF413" i="2"/>
  <c r="AE413" i="2"/>
  <c r="AD413" i="2"/>
  <c r="AC413" i="2"/>
  <c r="AB413" i="2"/>
  <c r="X413" i="2"/>
  <c r="M413" i="2"/>
  <c r="K413" i="2"/>
  <c r="BU411" i="2"/>
  <c r="BH411" i="2"/>
  <c r="BB411" i="2"/>
  <c r="AN411" i="2"/>
  <c r="BG411" i="2" s="1"/>
  <c r="AA411" i="2" s="1"/>
  <c r="AM411" i="2"/>
  <c r="I411" i="2" s="1"/>
  <c r="AI411" i="2"/>
  <c r="AH411" i="2"/>
  <c r="AF411" i="2"/>
  <c r="AE411" i="2"/>
  <c r="AD411" i="2"/>
  <c r="AC411" i="2"/>
  <c r="AB411" i="2"/>
  <c r="X411" i="2"/>
  <c r="M411" i="2"/>
  <c r="BD411" i="2" s="1"/>
  <c r="K411" i="2"/>
  <c r="AJ411" i="2" s="1"/>
  <c r="BU409" i="2"/>
  <c r="BH409" i="2"/>
  <c r="BB409" i="2"/>
  <c r="AN409" i="2"/>
  <c r="AM409" i="2"/>
  <c r="AU409" i="2" s="1"/>
  <c r="AI409" i="2"/>
  <c r="AH409" i="2"/>
  <c r="AF409" i="2"/>
  <c r="AE409" i="2"/>
  <c r="AD409" i="2"/>
  <c r="AC409" i="2"/>
  <c r="AB409" i="2"/>
  <c r="X409" i="2"/>
  <c r="M409" i="2"/>
  <c r="BD409" i="2" s="1"/>
  <c r="K409" i="2"/>
  <c r="AJ409" i="2" s="1"/>
  <c r="I409" i="2"/>
  <c r="BU408" i="2"/>
  <c r="BH408" i="2"/>
  <c r="BB408" i="2"/>
  <c r="AN408" i="2"/>
  <c r="BG408" i="2" s="1"/>
  <c r="AA408" i="2" s="1"/>
  <c r="AM408" i="2"/>
  <c r="BF408" i="2" s="1"/>
  <c r="Z408" i="2" s="1"/>
  <c r="AI408" i="2"/>
  <c r="AH408" i="2"/>
  <c r="AF408" i="2"/>
  <c r="AE408" i="2"/>
  <c r="AD408" i="2"/>
  <c r="AC408" i="2"/>
  <c r="AB408" i="2"/>
  <c r="X408" i="2"/>
  <c r="M408" i="2"/>
  <c r="BD408" i="2" s="1"/>
  <c r="K408" i="2"/>
  <c r="AJ408" i="2" s="1"/>
  <c r="BU406" i="2"/>
  <c r="BH406" i="2"/>
  <c r="BB406" i="2"/>
  <c r="AN406" i="2"/>
  <c r="BG406" i="2" s="1"/>
  <c r="AA406" i="2" s="1"/>
  <c r="AM406" i="2"/>
  <c r="AI406" i="2"/>
  <c r="AH406" i="2"/>
  <c r="AF406" i="2"/>
  <c r="AE406" i="2"/>
  <c r="AD406" i="2"/>
  <c r="AC406" i="2"/>
  <c r="AB406" i="2"/>
  <c r="X406" i="2"/>
  <c r="M406" i="2"/>
  <c r="BD406" i="2" s="1"/>
  <c r="K406" i="2"/>
  <c r="AJ406" i="2" s="1"/>
  <c r="BU405" i="2"/>
  <c r="BH405" i="2"/>
  <c r="BB405" i="2"/>
  <c r="AN405" i="2"/>
  <c r="BG405" i="2" s="1"/>
  <c r="AA405" i="2" s="1"/>
  <c r="AM405" i="2"/>
  <c r="I405" i="2" s="1"/>
  <c r="AI405" i="2"/>
  <c r="AH405" i="2"/>
  <c r="AF405" i="2"/>
  <c r="AE405" i="2"/>
  <c r="AD405" i="2"/>
  <c r="AC405" i="2"/>
  <c r="AB405" i="2"/>
  <c r="X405" i="2"/>
  <c r="M405" i="2"/>
  <c r="BD405" i="2" s="1"/>
  <c r="K405" i="2"/>
  <c r="AJ405" i="2" s="1"/>
  <c r="BU404" i="2"/>
  <c r="BH404" i="2"/>
  <c r="BB404" i="2"/>
  <c r="AN404" i="2"/>
  <c r="AV404" i="2" s="1"/>
  <c r="AM404" i="2"/>
  <c r="I404" i="2" s="1"/>
  <c r="AI404" i="2"/>
  <c r="AH404" i="2"/>
  <c r="AF404" i="2"/>
  <c r="AE404" i="2"/>
  <c r="AD404" i="2"/>
  <c r="AC404" i="2"/>
  <c r="AB404" i="2"/>
  <c r="X404" i="2"/>
  <c r="M404" i="2"/>
  <c r="BD404" i="2" s="1"/>
  <c r="K404" i="2"/>
  <c r="BU402" i="2"/>
  <c r="BH402" i="2"/>
  <c r="BB402" i="2"/>
  <c r="AN402" i="2"/>
  <c r="BG402" i="2" s="1"/>
  <c r="AA402" i="2" s="1"/>
  <c r="AM402" i="2"/>
  <c r="AU402" i="2" s="1"/>
  <c r="AI402" i="2"/>
  <c r="AH402" i="2"/>
  <c r="AF402" i="2"/>
  <c r="AE402" i="2"/>
  <c r="AD402" i="2"/>
  <c r="AC402" i="2"/>
  <c r="AB402" i="2"/>
  <c r="X402" i="2"/>
  <c r="M402" i="2"/>
  <c r="BD402" i="2" s="1"/>
  <c r="K402" i="2"/>
  <c r="BU400" i="2"/>
  <c r="BH400" i="2"/>
  <c r="BB400" i="2"/>
  <c r="AN400" i="2"/>
  <c r="BG400" i="2" s="1"/>
  <c r="AA400" i="2" s="1"/>
  <c r="AM400" i="2"/>
  <c r="BF400" i="2" s="1"/>
  <c r="Z400" i="2" s="1"/>
  <c r="AI400" i="2"/>
  <c r="AH400" i="2"/>
  <c r="AF400" i="2"/>
  <c r="AE400" i="2"/>
  <c r="AD400" i="2"/>
  <c r="AC400" i="2"/>
  <c r="AB400" i="2"/>
  <c r="X400" i="2"/>
  <c r="M400" i="2"/>
  <c r="BD400" i="2" s="1"/>
  <c r="K400" i="2"/>
  <c r="AJ400" i="2" s="1"/>
  <c r="BU398" i="2"/>
  <c r="BH398" i="2"/>
  <c r="X398" i="2" s="1"/>
  <c r="BB398" i="2"/>
  <c r="AN398" i="2"/>
  <c r="AV398" i="2" s="1"/>
  <c r="AM398" i="2"/>
  <c r="BF398" i="2" s="1"/>
  <c r="AI398" i="2"/>
  <c r="AH398" i="2"/>
  <c r="AF398" i="2"/>
  <c r="AE398" i="2"/>
  <c r="AD398" i="2"/>
  <c r="AC398" i="2"/>
  <c r="AB398" i="2"/>
  <c r="AA398" i="2"/>
  <c r="Z398" i="2"/>
  <c r="M398" i="2"/>
  <c r="BD398" i="2" s="1"/>
  <c r="K398" i="2"/>
  <c r="I398" i="2"/>
  <c r="BU396" i="2"/>
  <c r="BH396" i="2"/>
  <c r="BB396" i="2"/>
  <c r="AN396" i="2"/>
  <c r="AV396" i="2" s="1"/>
  <c r="AM396" i="2"/>
  <c r="BF396" i="2" s="1"/>
  <c r="AB396" i="2" s="1"/>
  <c r="AI396" i="2"/>
  <c r="AH396" i="2"/>
  <c r="AF396" i="2"/>
  <c r="AE396" i="2"/>
  <c r="AD396" i="2"/>
  <c r="AA396" i="2"/>
  <c r="Z396" i="2"/>
  <c r="X396" i="2"/>
  <c r="M396" i="2"/>
  <c r="BD396" i="2" s="1"/>
  <c r="K396" i="2"/>
  <c r="I396" i="2"/>
  <c r="BU394" i="2"/>
  <c r="BH394" i="2"/>
  <c r="BB394" i="2"/>
  <c r="AN394" i="2"/>
  <c r="AV394" i="2" s="1"/>
  <c r="AM394" i="2"/>
  <c r="BF394" i="2" s="1"/>
  <c r="AB394" i="2" s="1"/>
  <c r="AI394" i="2"/>
  <c r="AH394" i="2"/>
  <c r="AF394" i="2"/>
  <c r="AE394" i="2"/>
  <c r="AD394" i="2"/>
  <c r="AA394" i="2"/>
  <c r="Z394" i="2"/>
  <c r="X394" i="2"/>
  <c r="M394" i="2"/>
  <c r="BD394" i="2" s="1"/>
  <c r="K394" i="2"/>
  <c r="AJ394" i="2" s="1"/>
  <c r="J394" i="2"/>
  <c r="BU392" i="2"/>
  <c r="BH392" i="2"/>
  <c r="BB392" i="2"/>
  <c r="AN392" i="2"/>
  <c r="AV392" i="2" s="1"/>
  <c r="AM392" i="2"/>
  <c r="BF392" i="2" s="1"/>
  <c r="AB392" i="2" s="1"/>
  <c r="AI392" i="2"/>
  <c r="AH392" i="2"/>
  <c r="AF392" i="2"/>
  <c r="AE392" i="2"/>
  <c r="AD392" i="2"/>
  <c r="AA392" i="2"/>
  <c r="Z392" i="2"/>
  <c r="X392" i="2"/>
  <c r="M392" i="2"/>
  <c r="K392" i="2"/>
  <c r="J392" i="2"/>
  <c r="BU390" i="2"/>
  <c r="BH390" i="2"/>
  <c r="BB390" i="2"/>
  <c r="AN390" i="2"/>
  <c r="AV390" i="2" s="1"/>
  <c r="AM390" i="2"/>
  <c r="BF390" i="2" s="1"/>
  <c r="AB390" i="2" s="1"/>
  <c r="AI390" i="2"/>
  <c r="AH390" i="2"/>
  <c r="AF390" i="2"/>
  <c r="AE390" i="2"/>
  <c r="AD390" i="2"/>
  <c r="AA390" i="2"/>
  <c r="Z390" i="2"/>
  <c r="X390" i="2"/>
  <c r="M390" i="2"/>
  <c r="BD390" i="2" s="1"/>
  <c r="K390" i="2"/>
  <c r="AJ390" i="2" s="1"/>
  <c r="BU388" i="2"/>
  <c r="BH388" i="2"/>
  <c r="BB388" i="2"/>
  <c r="AN388" i="2"/>
  <c r="AV388" i="2" s="1"/>
  <c r="AM388" i="2"/>
  <c r="BF388" i="2" s="1"/>
  <c r="AI388" i="2"/>
  <c r="AH388" i="2"/>
  <c r="AF388" i="2"/>
  <c r="AE388" i="2"/>
  <c r="AD388" i="2"/>
  <c r="AC388" i="2"/>
  <c r="AB388" i="2"/>
  <c r="AA388" i="2"/>
  <c r="Z388" i="2"/>
  <c r="X388" i="2"/>
  <c r="M388" i="2"/>
  <c r="BD388" i="2" s="1"/>
  <c r="K388" i="2"/>
  <c r="BU386" i="2"/>
  <c r="BH386" i="2"/>
  <c r="BB386" i="2"/>
  <c r="AN386" i="2"/>
  <c r="AV386" i="2" s="1"/>
  <c r="AM386" i="2"/>
  <c r="BF386" i="2" s="1"/>
  <c r="AB386" i="2" s="1"/>
  <c r="AI386" i="2"/>
  <c r="AH386" i="2"/>
  <c r="AF386" i="2"/>
  <c r="AE386" i="2"/>
  <c r="AD386" i="2"/>
  <c r="AA386" i="2"/>
  <c r="Z386" i="2"/>
  <c r="X386" i="2"/>
  <c r="M386" i="2"/>
  <c r="BD386" i="2" s="1"/>
  <c r="K386" i="2"/>
  <c r="AJ386" i="2" s="1"/>
  <c r="BU384" i="2"/>
  <c r="BH384" i="2"/>
  <c r="BB384" i="2"/>
  <c r="AN384" i="2"/>
  <c r="AV384" i="2" s="1"/>
  <c r="AM384" i="2"/>
  <c r="BF384" i="2" s="1"/>
  <c r="AB384" i="2" s="1"/>
  <c r="AI384" i="2"/>
  <c r="AH384" i="2"/>
  <c r="AF384" i="2"/>
  <c r="AE384" i="2"/>
  <c r="AD384" i="2"/>
  <c r="AA384" i="2"/>
  <c r="Z384" i="2"/>
  <c r="X384" i="2"/>
  <c r="M384" i="2"/>
  <c r="BD384" i="2" s="1"/>
  <c r="K384" i="2"/>
  <c r="AJ384" i="2" s="1"/>
  <c r="BU382" i="2"/>
  <c r="BH382" i="2"/>
  <c r="BB382" i="2"/>
  <c r="AU382" i="2"/>
  <c r="AN382" i="2"/>
  <c r="AV382" i="2" s="1"/>
  <c r="AM382" i="2"/>
  <c r="BF382" i="2" s="1"/>
  <c r="AB382" i="2" s="1"/>
  <c r="AI382" i="2"/>
  <c r="AH382" i="2"/>
  <c r="AF382" i="2"/>
  <c r="AE382" i="2"/>
  <c r="AD382" i="2"/>
  <c r="AA382" i="2"/>
  <c r="Z382" i="2"/>
  <c r="X382" i="2"/>
  <c r="M382" i="2"/>
  <c r="BD382" i="2" s="1"/>
  <c r="K382" i="2"/>
  <c r="AJ382" i="2" s="1"/>
  <c r="I382" i="2"/>
  <c r="BU380" i="2"/>
  <c r="BH380" i="2"/>
  <c r="BB380" i="2"/>
  <c r="AN380" i="2"/>
  <c r="AV380" i="2" s="1"/>
  <c r="AM380" i="2"/>
  <c r="BF380" i="2" s="1"/>
  <c r="AB380" i="2" s="1"/>
  <c r="AI380" i="2"/>
  <c r="AH380" i="2"/>
  <c r="AF380" i="2"/>
  <c r="AE380" i="2"/>
  <c r="AD380" i="2"/>
  <c r="AA380" i="2"/>
  <c r="Z380" i="2"/>
  <c r="X380" i="2"/>
  <c r="M380" i="2"/>
  <c r="BD380" i="2" s="1"/>
  <c r="K380" i="2"/>
  <c r="AJ380" i="2" s="1"/>
  <c r="BU378" i="2"/>
  <c r="BH378" i="2"/>
  <c r="BB378" i="2"/>
  <c r="AN378" i="2"/>
  <c r="AV378" i="2" s="1"/>
  <c r="AM378" i="2"/>
  <c r="BF378" i="2" s="1"/>
  <c r="AB378" i="2" s="1"/>
  <c r="AI378" i="2"/>
  <c r="AH378" i="2"/>
  <c r="AF378" i="2"/>
  <c r="AE378" i="2"/>
  <c r="AD378" i="2"/>
  <c r="AA378" i="2"/>
  <c r="Z378" i="2"/>
  <c r="X378" i="2"/>
  <c r="M378" i="2"/>
  <c r="BD378" i="2" s="1"/>
  <c r="K378" i="2"/>
  <c r="AJ378" i="2" s="1"/>
  <c r="BU376" i="2"/>
  <c r="BH376" i="2"/>
  <c r="BB376" i="2"/>
  <c r="AN376" i="2"/>
  <c r="AV376" i="2" s="1"/>
  <c r="AM376" i="2"/>
  <c r="BF376" i="2" s="1"/>
  <c r="AB376" i="2" s="1"/>
  <c r="AI376" i="2"/>
  <c r="AH376" i="2"/>
  <c r="AF376" i="2"/>
  <c r="AE376" i="2"/>
  <c r="AD376" i="2"/>
  <c r="AA376" i="2"/>
  <c r="Z376" i="2"/>
  <c r="X376" i="2"/>
  <c r="M376" i="2"/>
  <c r="BD376" i="2" s="1"/>
  <c r="K376" i="2"/>
  <c r="AJ376" i="2" s="1"/>
  <c r="BU374" i="2"/>
  <c r="BH374" i="2"/>
  <c r="BB374" i="2"/>
  <c r="AN374" i="2"/>
  <c r="AV374" i="2" s="1"/>
  <c r="AM374" i="2"/>
  <c r="BF374" i="2" s="1"/>
  <c r="AB374" i="2" s="1"/>
  <c r="AI374" i="2"/>
  <c r="AH374" i="2"/>
  <c r="AF374" i="2"/>
  <c r="AE374" i="2"/>
  <c r="AD374" i="2"/>
  <c r="AA374" i="2"/>
  <c r="Z374" i="2"/>
  <c r="X374" i="2"/>
  <c r="M374" i="2"/>
  <c r="BD374" i="2" s="1"/>
  <c r="K374" i="2"/>
  <c r="AJ374" i="2" s="1"/>
  <c r="BU372" i="2"/>
  <c r="BH372" i="2"/>
  <c r="BB372" i="2"/>
  <c r="AN372" i="2"/>
  <c r="AV372" i="2" s="1"/>
  <c r="AM372" i="2"/>
  <c r="BF372" i="2" s="1"/>
  <c r="AB372" i="2" s="1"/>
  <c r="AI372" i="2"/>
  <c r="AH372" i="2"/>
  <c r="AF372" i="2"/>
  <c r="AE372" i="2"/>
  <c r="AD372" i="2"/>
  <c r="AA372" i="2"/>
  <c r="Z372" i="2"/>
  <c r="X372" i="2"/>
  <c r="M372" i="2"/>
  <c r="BD372" i="2" s="1"/>
  <c r="K372" i="2"/>
  <c r="AJ372" i="2" s="1"/>
  <c r="BU370" i="2"/>
  <c r="BH370" i="2"/>
  <c r="BD370" i="2"/>
  <c r="BB370" i="2"/>
  <c r="AU370" i="2"/>
  <c r="BA370" i="2" s="1"/>
  <c r="AN370" i="2"/>
  <c r="AV370" i="2" s="1"/>
  <c r="AM370" i="2"/>
  <c r="BF370" i="2" s="1"/>
  <c r="AB370" i="2" s="1"/>
  <c r="AI370" i="2"/>
  <c r="AH370" i="2"/>
  <c r="AF370" i="2"/>
  <c r="AE370" i="2"/>
  <c r="AD370" i="2"/>
  <c r="AA370" i="2"/>
  <c r="Z370" i="2"/>
  <c r="X370" i="2"/>
  <c r="M370" i="2"/>
  <c r="K370" i="2"/>
  <c r="AJ370" i="2" s="1"/>
  <c r="BU368" i="2"/>
  <c r="BH368" i="2"/>
  <c r="BB368" i="2"/>
  <c r="AN368" i="2"/>
  <c r="AV368" i="2" s="1"/>
  <c r="AM368" i="2"/>
  <c r="BF368" i="2" s="1"/>
  <c r="AB368" i="2" s="1"/>
  <c r="AI368" i="2"/>
  <c r="AH368" i="2"/>
  <c r="AF368" i="2"/>
  <c r="AE368" i="2"/>
  <c r="AD368" i="2"/>
  <c r="AA368" i="2"/>
  <c r="Z368" i="2"/>
  <c r="X368" i="2"/>
  <c r="M368" i="2"/>
  <c r="BD368" i="2" s="1"/>
  <c r="K368" i="2"/>
  <c r="BU366" i="2"/>
  <c r="BH366" i="2"/>
  <c r="BB366" i="2"/>
  <c r="AN366" i="2"/>
  <c r="AV366" i="2" s="1"/>
  <c r="AM366" i="2"/>
  <c r="BF366" i="2" s="1"/>
  <c r="AB366" i="2" s="1"/>
  <c r="AI366" i="2"/>
  <c r="AH366" i="2"/>
  <c r="AF366" i="2"/>
  <c r="AE366" i="2"/>
  <c r="AD366" i="2"/>
  <c r="AA366" i="2"/>
  <c r="Z366" i="2"/>
  <c r="X366" i="2"/>
  <c r="M366" i="2"/>
  <c r="BD366" i="2" s="1"/>
  <c r="K366" i="2"/>
  <c r="AJ366" i="2" s="1"/>
  <c r="BU355" i="2"/>
  <c r="BH355" i="2"/>
  <c r="BB355" i="2"/>
  <c r="AN355" i="2"/>
  <c r="AV355" i="2" s="1"/>
  <c r="AM355" i="2"/>
  <c r="BF355" i="2" s="1"/>
  <c r="AB355" i="2" s="1"/>
  <c r="AI355" i="2"/>
  <c r="AH355" i="2"/>
  <c r="AF355" i="2"/>
  <c r="AE355" i="2"/>
  <c r="AD355" i="2"/>
  <c r="AA355" i="2"/>
  <c r="Z355" i="2"/>
  <c r="X355" i="2"/>
  <c r="M355" i="2"/>
  <c r="BD355" i="2" s="1"/>
  <c r="K355" i="2"/>
  <c r="I355" i="2"/>
  <c r="BU353" i="2"/>
  <c r="BH353" i="2"/>
  <c r="X353" i="2" s="1"/>
  <c r="BB353" i="2"/>
  <c r="AN353" i="2"/>
  <c r="AV353" i="2" s="1"/>
  <c r="AM353" i="2"/>
  <c r="BF353" i="2" s="1"/>
  <c r="AI353" i="2"/>
  <c r="AH353" i="2"/>
  <c r="AF353" i="2"/>
  <c r="AE353" i="2"/>
  <c r="AD353" i="2"/>
  <c r="AC353" i="2"/>
  <c r="AB353" i="2"/>
  <c r="AA353" i="2"/>
  <c r="Z353" i="2"/>
  <c r="M353" i="2"/>
  <c r="BD353" i="2" s="1"/>
  <c r="K353" i="2"/>
  <c r="AJ353" i="2" s="1"/>
  <c r="J353" i="2"/>
  <c r="BU352" i="2"/>
  <c r="BH352" i="2"/>
  <c r="X352" i="2" s="1"/>
  <c r="BB352" i="2"/>
  <c r="AN352" i="2"/>
  <c r="AV352" i="2" s="1"/>
  <c r="AM352" i="2"/>
  <c r="BF352" i="2" s="1"/>
  <c r="AI352" i="2"/>
  <c r="AH352" i="2"/>
  <c r="AF352" i="2"/>
  <c r="AE352" i="2"/>
  <c r="AD352" i="2"/>
  <c r="AC352" i="2"/>
  <c r="AB352" i="2"/>
  <c r="AA352" i="2"/>
  <c r="Z352" i="2"/>
  <c r="M352" i="2"/>
  <c r="BD352" i="2" s="1"/>
  <c r="K352" i="2"/>
  <c r="BU351" i="2"/>
  <c r="BH351" i="2"/>
  <c r="X351" i="2" s="1"/>
  <c r="BB351" i="2"/>
  <c r="AN351" i="2"/>
  <c r="J351" i="2" s="1"/>
  <c r="AM351" i="2"/>
  <c r="BF351" i="2" s="1"/>
  <c r="AI351" i="2"/>
  <c r="AH351" i="2"/>
  <c r="AF351" i="2"/>
  <c r="AE351" i="2"/>
  <c r="AD351" i="2"/>
  <c r="AC351" i="2"/>
  <c r="AB351" i="2"/>
  <c r="AA351" i="2"/>
  <c r="Z351" i="2"/>
  <c r="M351" i="2"/>
  <c r="BD351" i="2" s="1"/>
  <c r="K351" i="2"/>
  <c r="AJ351" i="2" s="1"/>
  <c r="BU350" i="2"/>
  <c r="BH350" i="2"/>
  <c r="X350" i="2" s="1"/>
  <c r="BB350" i="2"/>
  <c r="AN350" i="2"/>
  <c r="AV350" i="2" s="1"/>
  <c r="AM350" i="2"/>
  <c r="BF350" i="2" s="1"/>
  <c r="AI350" i="2"/>
  <c r="AH350" i="2"/>
  <c r="AF350" i="2"/>
  <c r="AE350" i="2"/>
  <c r="AD350" i="2"/>
  <c r="AC350" i="2"/>
  <c r="AB350" i="2"/>
  <c r="AA350" i="2"/>
  <c r="Z350" i="2"/>
  <c r="M350" i="2"/>
  <c r="BD350" i="2" s="1"/>
  <c r="K350" i="2"/>
  <c r="AJ350" i="2" s="1"/>
  <c r="BU348" i="2"/>
  <c r="BH348" i="2"/>
  <c r="BD348" i="2"/>
  <c r="BB348" i="2"/>
  <c r="AN348" i="2"/>
  <c r="AV348" i="2" s="1"/>
  <c r="AM348" i="2"/>
  <c r="BF348" i="2" s="1"/>
  <c r="AI348" i="2"/>
  <c r="AH348" i="2"/>
  <c r="AF348" i="2"/>
  <c r="AE348" i="2"/>
  <c r="AD348" i="2"/>
  <c r="AC348" i="2"/>
  <c r="AB348" i="2"/>
  <c r="AA348" i="2"/>
  <c r="Z348" i="2"/>
  <c r="X348" i="2"/>
  <c r="M348" i="2"/>
  <c r="K348" i="2"/>
  <c r="AJ348" i="2" s="1"/>
  <c r="BU347" i="2"/>
  <c r="BH347" i="2"/>
  <c r="X347" i="2" s="1"/>
  <c r="BB347" i="2"/>
  <c r="AN347" i="2"/>
  <c r="AV347" i="2" s="1"/>
  <c r="AM347" i="2"/>
  <c r="BF347" i="2" s="1"/>
  <c r="AI347" i="2"/>
  <c r="AH347" i="2"/>
  <c r="AF347" i="2"/>
  <c r="AE347" i="2"/>
  <c r="AD347" i="2"/>
  <c r="AC347" i="2"/>
  <c r="AB347" i="2"/>
  <c r="AA347" i="2"/>
  <c r="Z347" i="2"/>
  <c r="M347" i="2"/>
  <c r="BD347" i="2" s="1"/>
  <c r="K347" i="2"/>
  <c r="J347" i="2"/>
  <c r="BU344" i="2"/>
  <c r="BH344" i="2"/>
  <c r="BB344" i="2"/>
  <c r="AN344" i="2"/>
  <c r="J344" i="2" s="1"/>
  <c r="AM344" i="2"/>
  <c r="AU344" i="2" s="1"/>
  <c r="AI344" i="2"/>
  <c r="AH344" i="2"/>
  <c r="AF344" i="2"/>
  <c r="AE344" i="2"/>
  <c r="AD344" i="2"/>
  <c r="AC344" i="2"/>
  <c r="AB344" i="2"/>
  <c r="X344" i="2"/>
  <c r="M344" i="2"/>
  <c r="BD344" i="2" s="1"/>
  <c r="K344" i="2"/>
  <c r="AJ344" i="2" s="1"/>
  <c r="BU342" i="2"/>
  <c r="BH342" i="2"/>
  <c r="BB342" i="2"/>
  <c r="AN342" i="2"/>
  <c r="BG342" i="2" s="1"/>
  <c r="AA342" i="2" s="1"/>
  <c r="AM342" i="2"/>
  <c r="BF342" i="2" s="1"/>
  <c r="AI342" i="2"/>
  <c r="AH342" i="2"/>
  <c r="AF342" i="2"/>
  <c r="AE342" i="2"/>
  <c r="AD342" i="2"/>
  <c r="AC342" i="2"/>
  <c r="AB342" i="2"/>
  <c r="Z342" i="2"/>
  <c r="X342" i="2"/>
  <c r="M342" i="2"/>
  <c r="BD342" i="2" s="1"/>
  <c r="K342" i="2"/>
  <c r="AJ342" i="2" s="1"/>
  <c r="I342" i="2"/>
  <c r="BU340" i="2"/>
  <c r="BH340" i="2"/>
  <c r="BB340" i="2"/>
  <c r="AN340" i="2"/>
  <c r="AV340" i="2" s="1"/>
  <c r="AM340" i="2"/>
  <c r="AU340" i="2" s="1"/>
  <c r="AT340" i="2" s="1"/>
  <c r="AI340" i="2"/>
  <c r="AH340" i="2"/>
  <c r="AF340" i="2"/>
  <c r="AE340" i="2"/>
  <c r="AD340" i="2"/>
  <c r="AC340" i="2"/>
  <c r="AB340" i="2"/>
  <c r="X340" i="2"/>
  <c r="M340" i="2"/>
  <c r="BD340" i="2" s="1"/>
  <c r="K340" i="2"/>
  <c r="AJ340" i="2" s="1"/>
  <c r="BU338" i="2"/>
  <c r="BH338" i="2"/>
  <c r="BB338" i="2"/>
  <c r="AN338" i="2"/>
  <c r="AV338" i="2" s="1"/>
  <c r="AM338" i="2"/>
  <c r="BF338" i="2" s="1"/>
  <c r="Z338" i="2" s="1"/>
  <c r="AI338" i="2"/>
  <c r="AH338" i="2"/>
  <c r="AF338" i="2"/>
  <c r="AE338" i="2"/>
  <c r="AD338" i="2"/>
  <c r="AC338" i="2"/>
  <c r="AB338" i="2"/>
  <c r="X338" i="2"/>
  <c r="M338" i="2"/>
  <c r="BD338" i="2" s="1"/>
  <c r="K338" i="2"/>
  <c r="BU336" i="2"/>
  <c r="BH336" i="2"/>
  <c r="BB336" i="2"/>
  <c r="AN336" i="2"/>
  <c r="AV336" i="2" s="1"/>
  <c r="AM336" i="2"/>
  <c r="AI336" i="2"/>
  <c r="AH336" i="2"/>
  <c r="AF336" i="2"/>
  <c r="AE336" i="2"/>
  <c r="AD336" i="2"/>
  <c r="AC336" i="2"/>
  <c r="AB336" i="2"/>
  <c r="X336" i="2"/>
  <c r="M336" i="2"/>
  <c r="BD336" i="2" s="1"/>
  <c r="K336" i="2"/>
  <c r="AJ336" i="2" s="1"/>
  <c r="BU334" i="2"/>
  <c r="BH334" i="2"/>
  <c r="BB334" i="2"/>
  <c r="AN334" i="2"/>
  <c r="AV334" i="2" s="1"/>
  <c r="AM334" i="2"/>
  <c r="BF334" i="2" s="1"/>
  <c r="Z334" i="2" s="1"/>
  <c r="AI334" i="2"/>
  <c r="AH334" i="2"/>
  <c r="AF334" i="2"/>
  <c r="AE334" i="2"/>
  <c r="AD334" i="2"/>
  <c r="AC334" i="2"/>
  <c r="AB334" i="2"/>
  <c r="X334" i="2"/>
  <c r="M334" i="2"/>
  <c r="BD334" i="2" s="1"/>
  <c r="K334" i="2"/>
  <c r="BU332" i="2"/>
  <c r="BH332" i="2"/>
  <c r="BB332" i="2"/>
  <c r="AN332" i="2"/>
  <c r="AV332" i="2" s="1"/>
  <c r="AM332" i="2"/>
  <c r="BF332" i="2" s="1"/>
  <c r="AI332" i="2"/>
  <c r="AH332" i="2"/>
  <c r="AF332" i="2"/>
  <c r="AE332" i="2"/>
  <c r="AD332" i="2"/>
  <c r="AC332" i="2"/>
  <c r="AB332" i="2"/>
  <c r="Z332" i="2"/>
  <c r="X332" i="2"/>
  <c r="M332" i="2"/>
  <c r="BD332" i="2" s="1"/>
  <c r="K332" i="2"/>
  <c r="AJ332" i="2" s="1"/>
  <c r="BU330" i="2"/>
  <c r="BH330" i="2"/>
  <c r="X330" i="2" s="1"/>
  <c r="BB330" i="2"/>
  <c r="AN330" i="2"/>
  <c r="BG330" i="2" s="1"/>
  <c r="AM330" i="2"/>
  <c r="BF330" i="2" s="1"/>
  <c r="AI330" i="2"/>
  <c r="AH330" i="2"/>
  <c r="AF330" i="2"/>
  <c r="AE330" i="2"/>
  <c r="AD330" i="2"/>
  <c r="AC330" i="2"/>
  <c r="AB330" i="2"/>
  <c r="AA330" i="2"/>
  <c r="Z330" i="2"/>
  <c r="M330" i="2"/>
  <c r="BD330" i="2" s="1"/>
  <c r="K330" i="2"/>
  <c r="AJ330" i="2" s="1"/>
  <c r="I330" i="2"/>
  <c r="BU317" i="2"/>
  <c r="BH317" i="2"/>
  <c r="BB317" i="2"/>
  <c r="AN317" i="2"/>
  <c r="AV317" i="2" s="1"/>
  <c r="AM317" i="2"/>
  <c r="BF317" i="2" s="1"/>
  <c r="Z317" i="2" s="1"/>
  <c r="AI317" i="2"/>
  <c r="AH317" i="2"/>
  <c r="AF317" i="2"/>
  <c r="AE317" i="2"/>
  <c r="AD317" i="2"/>
  <c r="AC317" i="2"/>
  <c r="AB317" i="2"/>
  <c r="X317" i="2"/>
  <c r="M317" i="2"/>
  <c r="BD317" i="2" s="1"/>
  <c r="K317" i="2"/>
  <c r="AJ317" i="2" s="1"/>
  <c r="BU315" i="2"/>
  <c r="BH315" i="2"/>
  <c r="BB315" i="2"/>
  <c r="AN315" i="2"/>
  <c r="BG315" i="2" s="1"/>
  <c r="AA315" i="2" s="1"/>
  <c r="AM315" i="2"/>
  <c r="BF315" i="2" s="1"/>
  <c r="AI315" i="2"/>
  <c r="AH315" i="2"/>
  <c r="AF315" i="2"/>
  <c r="AE315" i="2"/>
  <c r="AD315" i="2"/>
  <c r="AC315" i="2"/>
  <c r="AB315" i="2"/>
  <c r="Z315" i="2"/>
  <c r="X315" i="2"/>
  <c r="M315" i="2"/>
  <c r="BD315" i="2" s="1"/>
  <c r="K315" i="2"/>
  <c r="AJ315" i="2" s="1"/>
  <c r="BU312" i="2"/>
  <c r="BH312" i="2"/>
  <c r="BB312" i="2"/>
  <c r="AN312" i="2"/>
  <c r="J312" i="2" s="1"/>
  <c r="AM312" i="2"/>
  <c r="AU312" i="2" s="1"/>
  <c r="AI312" i="2"/>
  <c r="AH312" i="2"/>
  <c r="AF312" i="2"/>
  <c r="AE312" i="2"/>
  <c r="AD312" i="2"/>
  <c r="AC312" i="2"/>
  <c r="AB312" i="2"/>
  <c r="X312" i="2"/>
  <c r="M312" i="2"/>
  <c r="BD312" i="2" s="1"/>
  <c r="K312" i="2"/>
  <c r="AJ312" i="2" s="1"/>
  <c r="BU310" i="2"/>
  <c r="BH310" i="2"/>
  <c r="BB310" i="2"/>
  <c r="AN310" i="2"/>
  <c r="BG310" i="2" s="1"/>
  <c r="AA310" i="2" s="1"/>
  <c r="AM310" i="2"/>
  <c r="BF310" i="2" s="1"/>
  <c r="Z310" i="2" s="1"/>
  <c r="AI310" i="2"/>
  <c r="AH310" i="2"/>
  <c r="AF310" i="2"/>
  <c r="AE310" i="2"/>
  <c r="AD310" i="2"/>
  <c r="AC310" i="2"/>
  <c r="AB310" i="2"/>
  <c r="X310" i="2"/>
  <c r="M310" i="2"/>
  <c r="BD310" i="2" s="1"/>
  <c r="K310" i="2"/>
  <c r="BU309" i="2"/>
  <c r="BH309" i="2"/>
  <c r="BB309" i="2"/>
  <c r="AN309" i="2"/>
  <c r="AV309" i="2" s="1"/>
  <c r="AM309" i="2"/>
  <c r="AU309" i="2" s="1"/>
  <c r="AI309" i="2"/>
  <c r="AH309" i="2"/>
  <c r="AF309" i="2"/>
  <c r="AE309" i="2"/>
  <c r="AD309" i="2"/>
  <c r="AC309" i="2"/>
  <c r="AB309" i="2"/>
  <c r="X309" i="2"/>
  <c r="M309" i="2"/>
  <c r="BD309" i="2" s="1"/>
  <c r="K309" i="2"/>
  <c r="BU308" i="2"/>
  <c r="BH308" i="2"/>
  <c r="BB308" i="2"/>
  <c r="AN308" i="2"/>
  <c r="AV308" i="2" s="1"/>
  <c r="AM308" i="2"/>
  <c r="BF308" i="2" s="1"/>
  <c r="Z308" i="2" s="1"/>
  <c r="AI308" i="2"/>
  <c r="AH308" i="2"/>
  <c r="AF308" i="2"/>
  <c r="AE308" i="2"/>
  <c r="AD308" i="2"/>
  <c r="AC308" i="2"/>
  <c r="AB308" i="2"/>
  <c r="X308" i="2"/>
  <c r="M308" i="2"/>
  <c r="BD308" i="2" s="1"/>
  <c r="K308" i="2"/>
  <c r="BU307" i="2"/>
  <c r="BH307" i="2"/>
  <c r="BD307" i="2"/>
  <c r="BB307" i="2"/>
  <c r="AN307" i="2"/>
  <c r="AV307" i="2" s="1"/>
  <c r="AM307" i="2"/>
  <c r="BF307" i="2" s="1"/>
  <c r="Z307" i="2" s="1"/>
  <c r="AI307" i="2"/>
  <c r="AH307" i="2"/>
  <c r="AF307" i="2"/>
  <c r="AE307" i="2"/>
  <c r="AD307" i="2"/>
  <c r="AC307" i="2"/>
  <c r="AB307" i="2"/>
  <c r="X307" i="2"/>
  <c r="M307" i="2"/>
  <c r="K307" i="2"/>
  <c r="AJ307" i="2" s="1"/>
  <c r="J307" i="2"/>
  <c r="I307" i="2"/>
  <c r="BU305" i="2"/>
  <c r="BH305" i="2"/>
  <c r="BB305" i="2"/>
  <c r="AN305" i="2"/>
  <c r="AV305" i="2" s="1"/>
  <c r="AM305" i="2"/>
  <c r="BF305" i="2" s="1"/>
  <c r="Z305" i="2" s="1"/>
  <c r="AI305" i="2"/>
  <c r="AH305" i="2"/>
  <c r="AF305" i="2"/>
  <c r="AE305" i="2"/>
  <c r="AD305" i="2"/>
  <c r="AC305" i="2"/>
  <c r="AB305" i="2"/>
  <c r="X305" i="2"/>
  <c r="M305" i="2"/>
  <c r="BD305" i="2" s="1"/>
  <c r="K305" i="2"/>
  <c r="AJ305" i="2" s="1"/>
  <c r="BU303" i="2"/>
  <c r="BH303" i="2"/>
  <c r="BB303" i="2"/>
  <c r="AN303" i="2"/>
  <c r="AV303" i="2" s="1"/>
  <c r="AM303" i="2"/>
  <c r="AU303" i="2" s="1"/>
  <c r="AI303" i="2"/>
  <c r="AH303" i="2"/>
  <c r="AF303" i="2"/>
  <c r="AE303" i="2"/>
  <c r="AD303" i="2"/>
  <c r="AC303" i="2"/>
  <c r="AB303" i="2"/>
  <c r="X303" i="2"/>
  <c r="M303" i="2"/>
  <c r="BD303" i="2" s="1"/>
  <c r="K303" i="2"/>
  <c r="AJ303" i="2" s="1"/>
  <c r="BU293" i="2"/>
  <c r="BH293" i="2"/>
  <c r="BB293" i="2"/>
  <c r="AN293" i="2"/>
  <c r="BG293" i="2" s="1"/>
  <c r="AA293" i="2" s="1"/>
  <c r="AM293" i="2"/>
  <c r="BF293" i="2" s="1"/>
  <c r="AI293" i="2"/>
  <c r="AH293" i="2"/>
  <c r="AF293" i="2"/>
  <c r="AE293" i="2"/>
  <c r="AD293" i="2"/>
  <c r="AC293" i="2"/>
  <c r="AB293" i="2"/>
  <c r="Z293" i="2"/>
  <c r="X293" i="2"/>
  <c r="M293" i="2"/>
  <c r="BD293" i="2" s="1"/>
  <c r="K293" i="2"/>
  <c r="AJ293" i="2" s="1"/>
  <c r="BU280" i="2"/>
  <c r="BH280" i="2"/>
  <c r="BB280" i="2"/>
  <c r="AN280" i="2"/>
  <c r="AV280" i="2" s="1"/>
  <c r="AM280" i="2"/>
  <c r="AU280" i="2" s="1"/>
  <c r="BA280" i="2" s="1"/>
  <c r="AI280" i="2"/>
  <c r="AH280" i="2"/>
  <c r="AF280" i="2"/>
  <c r="AE280" i="2"/>
  <c r="AD280" i="2"/>
  <c r="AC280" i="2"/>
  <c r="AB280" i="2"/>
  <c r="X280" i="2"/>
  <c r="M280" i="2"/>
  <c r="BD280" i="2" s="1"/>
  <c r="K280" i="2"/>
  <c r="BU277" i="2"/>
  <c r="BH277" i="2"/>
  <c r="BB277" i="2"/>
  <c r="AN277" i="2"/>
  <c r="BG277" i="2" s="1"/>
  <c r="AA277" i="2" s="1"/>
  <c r="AM277" i="2"/>
  <c r="BF277" i="2" s="1"/>
  <c r="AI277" i="2"/>
  <c r="AH277" i="2"/>
  <c r="AF277" i="2"/>
  <c r="AE277" i="2"/>
  <c r="AD277" i="2"/>
  <c r="AC277" i="2"/>
  <c r="AB277" i="2"/>
  <c r="Z277" i="2"/>
  <c r="X277" i="2"/>
  <c r="M277" i="2"/>
  <c r="BD277" i="2" s="1"/>
  <c r="K277" i="2"/>
  <c r="AJ277" i="2" s="1"/>
  <c r="BU273" i="2"/>
  <c r="BH273" i="2"/>
  <c r="BB273" i="2"/>
  <c r="AN273" i="2"/>
  <c r="AV273" i="2" s="1"/>
  <c r="AM273" i="2"/>
  <c r="AU273" i="2" s="1"/>
  <c r="AI273" i="2"/>
  <c r="AH273" i="2"/>
  <c r="AF273" i="2"/>
  <c r="AE273" i="2"/>
  <c r="AD273" i="2"/>
  <c r="AC273" i="2"/>
  <c r="AB273" i="2"/>
  <c r="X273" i="2"/>
  <c r="M273" i="2"/>
  <c r="BD273" i="2" s="1"/>
  <c r="K273" i="2"/>
  <c r="BU267" i="2"/>
  <c r="BH267" i="2"/>
  <c r="BB267" i="2"/>
  <c r="AN267" i="2"/>
  <c r="J267" i="2" s="1"/>
  <c r="AM267" i="2"/>
  <c r="BF267" i="2" s="1"/>
  <c r="AI267" i="2"/>
  <c r="AH267" i="2"/>
  <c r="AF267" i="2"/>
  <c r="AE267" i="2"/>
  <c r="AD267" i="2"/>
  <c r="AC267" i="2"/>
  <c r="AB267" i="2"/>
  <c r="Z267" i="2"/>
  <c r="X267" i="2"/>
  <c r="M267" i="2"/>
  <c r="BD267" i="2" s="1"/>
  <c r="K267" i="2"/>
  <c r="AJ267" i="2" s="1"/>
  <c r="BU260" i="2"/>
  <c r="BH260" i="2"/>
  <c r="BB260" i="2"/>
  <c r="AN260" i="2"/>
  <c r="AV260" i="2" s="1"/>
  <c r="AM260" i="2"/>
  <c r="AU260" i="2" s="1"/>
  <c r="AI260" i="2"/>
  <c r="AH260" i="2"/>
  <c r="AF260" i="2"/>
  <c r="AE260" i="2"/>
  <c r="AD260" i="2"/>
  <c r="AC260" i="2"/>
  <c r="AB260" i="2"/>
  <c r="X260" i="2"/>
  <c r="M260" i="2"/>
  <c r="BD260" i="2" s="1"/>
  <c r="K260" i="2"/>
  <c r="BU258" i="2"/>
  <c r="BH258" i="2"/>
  <c r="BB258" i="2"/>
  <c r="AN258" i="2"/>
  <c r="AV258" i="2" s="1"/>
  <c r="AM258" i="2"/>
  <c r="BF258" i="2" s="1"/>
  <c r="AI258" i="2"/>
  <c r="AH258" i="2"/>
  <c r="AF258" i="2"/>
  <c r="AE258" i="2"/>
  <c r="AD258" i="2"/>
  <c r="AC258" i="2"/>
  <c r="AB258" i="2"/>
  <c r="Z258" i="2"/>
  <c r="X258" i="2"/>
  <c r="M258" i="2"/>
  <c r="BD258" i="2" s="1"/>
  <c r="K258" i="2"/>
  <c r="AJ258" i="2" s="1"/>
  <c r="BU255" i="2"/>
  <c r="BH255" i="2"/>
  <c r="BB255" i="2"/>
  <c r="AN255" i="2"/>
  <c r="AV255" i="2" s="1"/>
  <c r="AM255" i="2"/>
  <c r="AU255" i="2" s="1"/>
  <c r="BA255" i="2" s="1"/>
  <c r="AI255" i="2"/>
  <c r="AH255" i="2"/>
  <c r="AF255" i="2"/>
  <c r="AE255" i="2"/>
  <c r="AD255" i="2"/>
  <c r="AC255" i="2"/>
  <c r="AB255" i="2"/>
  <c r="X255" i="2"/>
  <c r="M255" i="2"/>
  <c r="BD255" i="2" s="1"/>
  <c r="K255" i="2"/>
  <c r="AJ255" i="2" s="1"/>
  <c r="BU253" i="2"/>
  <c r="BH253" i="2"/>
  <c r="BB253" i="2"/>
  <c r="AN253" i="2"/>
  <c r="BG253" i="2" s="1"/>
  <c r="AA253" i="2" s="1"/>
  <c r="AM253" i="2"/>
  <c r="BF253" i="2" s="1"/>
  <c r="AI253" i="2"/>
  <c r="AH253" i="2"/>
  <c r="AF253" i="2"/>
  <c r="AE253" i="2"/>
  <c r="AD253" i="2"/>
  <c r="AC253" i="2"/>
  <c r="AB253" i="2"/>
  <c r="Z253" i="2"/>
  <c r="X253" i="2"/>
  <c r="M253" i="2"/>
  <c r="BD253" i="2" s="1"/>
  <c r="K253" i="2"/>
  <c r="AJ253" i="2" s="1"/>
  <c r="BU251" i="2"/>
  <c r="BH251" i="2"/>
  <c r="BB251" i="2"/>
  <c r="AN251" i="2"/>
  <c r="AV251" i="2" s="1"/>
  <c r="AM251" i="2"/>
  <c r="AU251" i="2" s="1"/>
  <c r="AI251" i="2"/>
  <c r="AH251" i="2"/>
  <c r="AF251" i="2"/>
  <c r="AE251" i="2"/>
  <c r="AD251" i="2"/>
  <c r="AC251" i="2"/>
  <c r="AB251" i="2"/>
  <c r="X251" i="2"/>
  <c r="M251" i="2"/>
  <c r="BD251" i="2" s="1"/>
  <c r="K251" i="2"/>
  <c r="BU249" i="2"/>
  <c r="BH249" i="2"/>
  <c r="BB249" i="2"/>
  <c r="AN249" i="2"/>
  <c r="AV249" i="2" s="1"/>
  <c r="AM249" i="2"/>
  <c r="BF249" i="2" s="1"/>
  <c r="AI249" i="2"/>
  <c r="AH249" i="2"/>
  <c r="AF249" i="2"/>
  <c r="AE249" i="2"/>
  <c r="AD249" i="2"/>
  <c r="AC249" i="2"/>
  <c r="AB249" i="2"/>
  <c r="Z249" i="2"/>
  <c r="X249" i="2"/>
  <c r="M249" i="2"/>
  <c r="BD249" i="2" s="1"/>
  <c r="K249" i="2"/>
  <c r="AJ249" i="2" s="1"/>
  <c r="BU247" i="2"/>
  <c r="BH247" i="2"/>
  <c r="BB247" i="2"/>
  <c r="AN247" i="2"/>
  <c r="AV247" i="2" s="1"/>
  <c r="AM247" i="2"/>
  <c r="AU247" i="2" s="1"/>
  <c r="AI247" i="2"/>
  <c r="AH247" i="2"/>
  <c r="AF247" i="2"/>
  <c r="AE247" i="2"/>
  <c r="AD247" i="2"/>
  <c r="AC247" i="2"/>
  <c r="AB247" i="2"/>
  <c r="X247" i="2"/>
  <c r="M247" i="2"/>
  <c r="BD247" i="2" s="1"/>
  <c r="K247" i="2"/>
  <c r="AJ247" i="2" s="1"/>
  <c r="BU241" i="2"/>
  <c r="BH241" i="2"/>
  <c r="BB241" i="2"/>
  <c r="AU241" i="2"/>
  <c r="AN241" i="2"/>
  <c r="BG241" i="2" s="1"/>
  <c r="AA241" i="2" s="1"/>
  <c r="AM241" i="2"/>
  <c r="BF241" i="2" s="1"/>
  <c r="AI241" i="2"/>
  <c r="AH241" i="2"/>
  <c r="AF241" i="2"/>
  <c r="AE241" i="2"/>
  <c r="AD241" i="2"/>
  <c r="AC241" i="2"/>
  <c r="AB241" i="2"/>
  <c r="Z241" i="2"/>
  <c r="X241" i="2"/>
  <c r="M241" i="2"/>
  <c r="K241" i="2"/>
  <c r="AJ241" i="2" s="1"/>
  <c r="I241" i="2"/>
  <c r="BU239" i="2"/>
  <c r="BH239" i="2"/>
  <c r="X239" i="2" s="1"/>
  <c r="BB239" i="2"/>
  <c r="AN239" i="2"/>
  <c r="AV239" i="2" s="1"/>
  <c r="AM239" i="2"/>
  <c r="AI239" i="2"/>
  <c r="AH239" i="2"/>
  <c r="AF239" i="2"/>
  <c r="AE239" i="2"/>
  <c r="AD239" i="2"/>
  <c r="AC239" i="2"/>
  <c r="AB239" i="2"/>
  <c r="AA239" i="2"/>
  <c r="Z239" i="2"/>
  <c r="M239" i="2"/>
  <c r="BD239" i="2" s="1"/>
  <c r="K239" i="2"/>
  <c r="BU238" i="2"/>
  <c r="BH238" i="2"/>
  <c r="X238" i="2" s="1"/>
  <c r="BB238" i="2"/>
  <c r="AN238" i="2"/>
  <c r="BG238" i="2" s="1"/>
  <c r="AM238" i="2"/>
  <c r="BF238" i="2" s="1"/>
  <c r="AI238" i="2"/>
  <c r="AH238" i="2"/>
  <c r="AF238" i="2"/>
  <c r="AE238" i="2"/>
  <c r="AD238" i="2"/>
  <c r="AC238" i="2"/>
  <c r="AB238" i="2"/>
  <c r="AA238" i="2"/>
  <c r="Z238" i="2"/>
  <c r="M238" i="2"/>
  <c r="BD238" i="2" s="1"/>
  <c r="K238" i="2"/>
  <c r="AJ238" i="2" s="1"/>
  <c r="I238" i="2"/>
  <c r="BU236" i="2"/>
  <c r="BH236" i="2"/>
  <c r="X236" i="2" s="1"/>
  <c r="BB236" i="2"/>
  <c r="AN236" i="2"/>
  <c r="AV236" i="2" s="1"/>
  <c r="AM236" i="2"/>
  <c r="BF236" i="2" s="1"/>
  <c r="AI236" i="2"/>
  <c r="AH236" i="2"/>
  <c r="AF236" i="2"/>
  <c r="AE236" i="2"/>
  <c r="AD236" i="2"/>
  <c r="AC236" i="2"/>
  <c r="AB236" i="2"/>
  <c r="AA236" i="2"/>
  <c r="Z236" i="2"/>
  <c r="M236" i="2"/>
  <c r="BD236" i="2" s="1"/>
  <c r="K236" i="2"/>
  <c r="J236" i="2"/>
  <c r="BU235" i="2"/>
  <c r="BH235" i="2"/>
  <c r="BB235" i="2"/>
  <c r="AN235" i="2"/>
  <c r="BG235" i="2" s="1"/>
  <c r="AM235" i="2"/>
  <c r="BF235" i="2" s="1"/>
  <c r="AI235" i="2"/>
  <c r="AH235" i="2"/>
  <c r="AF235" i="2"/>
  <c r="AE235" i="2"/>
  <c r="AD235" i="2"/>
  <c r="AC235" i="2"/>
  <c r="AB235" i="2"/>
  <c r="AA235" i="2"/>
  <c r="Z235" i="2"/>
  <c r="X235" i="2"/>
  <c r="M235" i="2"/>
  <c r="BD235" i="2" s="1"/>
  <c r="K235" i="2"/>
  <c r="BU233" i="2"/>
  <c r="BH233" i="2"/>
  <c r="BB233" i="2"/>
  <c r="AN233" i="2"/>
  <c r="AV233" i="2" s="1"/>
  <c r="AM233" i="2"/>
  <c r="I233" i="2" s="1"/>
  <c r="AI233" i="2"/>
  <c r="AH233" i="2"/>
  <c r="AF233" i="2"/>
  <c r="AE233" i="2"/>
  <c r="AD233" i="2"/>
  <c r="AC233" i="2"/>
  <c r="AB233" i="2"/>
  <c r="X233" i="2"/>
  <c r="M233" i="2"/>
  <c r="BD233" i="2" s="1"/>
  <c r="K233" i="2"/>
  <c r="AJ233" i="2" s="1"/>
  <c r="BU231" i="2"/>
  <c r="BH231" i="2"/>
  <c r="BB231" i="2"/>
  <c r="AN231" i="2"/>
  <c r="BG231" i="2" s="1"/>
  <c r="AA231" i="2" s="1"/>
  <c r="AM231" i="2"/>
  <c r="BF231" i="2" s="1"/>
  <c r="Z231" i="2" s="1"/>
  <c r="AI231" i="2"/>
  <c r="AH231" i="2"/>
  <c r="AF231" i="2"/>
  <c r="AE231" i="2"/>
  <c r="AD231" i="2"/>
  <c r="AC231" i="2"/>
  <c r="AB231" i="2"/>
  <c r="X231" i="2"/>
  <c r="M231" i="2"/>
  <c r="BD231" i="2" s="1"/>
  <c r="K231" i="2"/>
  <c r="BU229" i="2"/>
  <c r="BH229" i="2"/>
  <c r="BB229" i="2"/>
  <c r="AN229" i="2"/>
  <c r="AV229" i="2" s="1"/>
  <c r="AM229" i="2"/>
  <c r="BF229" i="2" s="1"/>
  <c r="Z229" i="2" s="1"/>
  <c r="AI229" i="2"/>
  <c r="AH229" i="2"/>
  <c r="AF229" i="2"/>
  <c r="AE229" i="2"/>
  <c r="AD229" i="2"/>
  <c r="AC229" i="2"/>
  <c r="AB229" i="2"/>
  <c r="X229" i="2"/>
  <c r="M229" i="2"/>
  <c r="BD229" i="2" s="1"/>
  <c r="K229" i="2"/>
  <c r="AJ229" i="2" s="1"/>
  <c r="BU227" i="2"/>
  <c r="BH227" i="2"/>
  <c r="BB227" i="2"/>
  <c r="AN227" i="2"/>
  <c r="BG227" i="2" s="1"/>
  <c r="AA227" i="2" s="1"/>
  <c r="AM227" i="2"/>
  <c r="BF227" i="2" s="1"/>
  <c r="Z227" i="2" s="1"/>
  <c r="AI227" i="2"/>
  <c r="AH227" i="2"/>
  <c r="AF227" i="2"/>
  <c r="AE227" i="2"/>
  <c r="AD227" i="2"/>
  <c r="AC227" i="2"/>
  <c r="AB227" i="2"/>
  <c r="X227" i="2"/>
  <c r="M227" i="2"/>
  <c r="BD227" i="2" s="1"/>
  <c r="K227" i="2"/>
  <c r="AJ227" i="2" s="1"/>
  <c r="BU225" i="2"/>
  <c r="BH225" i="2"/>
  <c r="BB225" i="2"/>
  <c r="AN225" i="2"/>
  <c r="AV225" i="2" s="1"/>
  <c r="AM225" i="2"/>
  <c r="BF225" i="2" s="1"/>
  <c r="Z225" i="2" s="1"/>
  <c r="AI225" i="2"/>
  <c r="AH225" i="2"/>
  <c r="AF225" i="2"/>
  <c r="AE225" i="2"/>
  <c r="AD225" i="2"/>
  <c r="AC225" i="2"/>
  <c r="AB225" i="2"/>
  <c r="X225" i="2"/>
  <c r="M225" i="2"/>
  <c r="BD225" i="2" s="1"/>
  <c r="K225" i="2"/>
  <c r="AJ225" i="2" s="1"/>
  <c r="BU224" i="2"/>
  <c r="BH224" i="2"/>
  <c r="BB224" i="2"/>
  <c r="AN224" i="2"/>
  <c r="AV224" i="2" s="1"/>
  <c r="AM224" i="2"/>
  <c r="AU224" i="2" s="1"/>
  <c r="AI224" i="2"/>
  <c r="AH224" i="2"/>
  <c r="AF224" i="2"/>
  <c r="AE224" i="2"/>
  <c r="AD224" i="2"/>
  <c r="AC224" i="2"/>
  <c r="AB224" i="2"/>
  <c r="X224" i="2"/>
  <c r="M224" i="2"/>
  <c r="K224" i="2"/>
  <c r="AJ224" i="2" s="1"/>
  <c r="BU222" i="2"/>
  <c r="BH222" i="2"/>
  <c r="BB222" i="2"/>
  <c r="AN222" i="2"/>
  <c r="BG222" i="2" s="1"/>
  <c r="AA222" i="2" s="1"/>
  <c r="AM222" i="2"/>
  <c r="AU222" i="2" s="1"/>
  <c r="AI222" i="2"/>
  <c r="AH222" i="2"/>
  <c r="AF222" i="2"/>
  <c r="AE222" i="2"/>
  <c r="AD222" i="2"/>
  <c r="AC222" i="2"/>
  <c r="AB222" i="2"/>
  <c r="X222" i="2"/>
  <c r="M222" i="2"/>
  <c r="BD222" i="2" s="1"/>
  <c r="K222" i="2"/>
  <c r="AJ222" i="2" s="1"/>
  <c r="BU219" i="2"/>
  <c r="BH219" i="2"/>
  <c r="X219" i="2" s="1"/>
  <c r="BB219" i="2"/>
  <c r="AN219" i="2"/>
  <c r="J219" i="2" s="1"/>
  <c r="AM219" i="2"/>
  <c r="BF219" i="2" s="1"/>
  <c r="AI219" i="2"/>
  <c r="AH219" i="2"/>
  <c r="AF219" i="2"/>
  <c r="AE219" i="2"/>
  <c r="AD219" i="2"/>
  <c r="AC219" i="2"/>
  <c r="AB219" i="2"/>
  <c r="AA219" i="2"/>
  <c r="Z219" i="2"/>
  <c r="M219" i="2"/>
  <c r="BD219" i="2" s="1"/>
  <c r="K219" i="2"/>
  <c r="BU217" i="2"/>
  <c r="BH217" i="2"/>
  <c r="BB217" i="2"/>
  <c r="AN217" i="2"/>
  <c r="AV217" i="2" s="1"/>
  <c r="BA217" i="2" s="1"/>
  <c r="AM217" i="2"/>
  <c r="AU217" i="2" s="1"/>
  <c r="AI217" i="2"/>
  <c r="AH217" i="2"/>
  <c r="AF217" i="2"/>
  <c r="AE217" i="2"/>
  <c r="AD217" i="2"/>
  <c r="AC217" i="2"/>
  <c r="AB217" i="2"/>
  <c r="X217" i="2"/>
  <c r="M217" i="2"/>
  <c r="BD217" i="2" s="1"/>
  <c r="K217" i="2"/>
  <c r="I217" i="2"/>
  <c r="BU215" i="2"/>
  <c r="BH215" i="2"/>
  <c r="BB215" i="2"/>
  <c r="AN215" i="2"/>
  <c r="BG215" i="2" s="1"/>
  <c r="AA215" i="2" s="1"/>
  <c r="AM215" i="2"/>
  <c r="BF215" i="2" s="1"/>
  <c r="AI215" i="2"/>
  <c r="AH215" i="2"/>
  <c r="AF215" i="2"/>
  <c r="AE215" i="2"/>
  <c r="AD215" i="2"/>
  <c r="AC215" i="2"/>
  <c r="AB215" i="2"/>
  <c r="Z215" i="2"/>
  <c r="X215" i="2"/>
  <c r="M215" i="2"/>
  <c r="BD215" i="2" s="1"/>
  <c r="K215" i="2"/>
  <c r="I215" i="2"/>
  <c r="BU213" i="2"/>
  <c r="BH213" i="2"/>
  <c r="BB213" i="2"/>
  <c r="AN213" i="2"/>
  <c r="AV213" i="2" s="1"/>
  <c r="AM213" i="2"/>
  <c r="AU213" i="2" s="1"/>
  <c r="AI213" i="2"/>
  <c r="AH213" i="2"/>
  <c r="AF213" i="2"/>
  <c r="AE213" i="2"/>
  <c r="AD213" i="2"/>
  <c r="AC213" i="2"/>
  <c r="AB213" i="2"/>
  <c r="X213" i="2"/>
  <c r="M213" i="2"/>
  <c r="BD213" i="2" s="1"/>
  <c r="K213" i="2"/>
  <c r="BU201" i="2"/>
  <c r="BH201" i="2"/>
  <c r="BB201" i="2"/>
  <c r="AN201" i="2"/>
  <c r="BG201" i="2" s="1"/>
  <c r="AA201" i="2" s="1"/>
  <c r="AM201" i="2"/>
  <c r="BF201" i="2" s="1"/>
  <c r="AI201" i="2"/>
  <c r="AH201" i="2"/>
  <c r="AF201" i="2"/>
  <c r="AE201" i="2"/>
  <c r="AD201" i="2"/>
  <c r="AC201" i="2"/>
  <c r="AB201" i="2"/>
  <c r="Z201" i="2"/>
  <c r="X201" i="2"/>
  <c r="M201" i="2"/>
  <c r="BD201" i="2" s="1"/>
  <c r="K201" i="2"/>
  <c r="BU197" i="2"/>
  <c r="BH197" i="2"/>
  <c r="BD197" i="2"/>
  <c r="BB197" i="2"/>
  <c r="AN197" i="2"/>
  <c r="AV197" i="2" s="1"/>
  <c r="AM197" i="2"/>
  <c r="AU197" i="2" s="1"/>
  <c r="AI197" i="2"/>
  <c r="AH197" i="2"/>
  <c r="AF197" i="2"/>
  <c r="AE197" i="2"/>
  <c r="AD197" i="2"/>
  <c r="AA197" i="2"/>
  <c r="Z197" i="2"/>
  <c r="X197" i="2"/>
  <c r="M197" i="2"/>
  <c r="K197" i="2"/>
  <c r="J197" i="2"/>
  <c r="BU195" i="2"/>
  <c r="BH195" i="2"/>
  <c r="BB195" i="2"/>
  <c r="AN195" i="2"/>
  <c r="BG195" i="2" s="1"/>
  <c r="AC195" i="2" s="1"/>
  <c r="AM195" i="2"/>
  <c r="BF195" i="2" s="1"/>
  <c r="AB195" i="2" s="1"/>
  <c r="AI195" i="2"/>
  <c r="AH195" i="2"/>
  <c r="AQ194" i="2" s="1"/>
  <c r="AF195" i="2"/>
  <c r="AE195" i="2"/>
  <c r="AD195" i="2"/>
  <c r="AA195" i="2"/>
  <c r="Z195" i="2"/>
  <c r="X195" i="2"/>
  <c r="M195" i="2"/>
  <c r="K195" i="2"/>
  <c r="I195" i="2"/>
  <c r="BU193" i="2"/>
  <c r="BH193" i="2"/>
  <c r="X193" i="2" s="1"/>
  <c r="BB193" i="2"/>
  <c r="AN193" i="2"/>
  <c r="AV193" i="2" s="1"/>
  <c r="AM193" i="2"/>
  <c r="AU193" i="2" s="1"/>
  <c r="AI193" i="2"/>
  <c r="AH193" i="2"/>
  <c r="AF193" i="2"/>
  <c r="AE193" i="2"/>
  <c r="AD193" i="2"/>
  <c r="AC193" i="2"/>
  <c r="AB193" i="2"/>
  <c r="AA193" i="2"/>
  <c r="Z193" i="2"/>
  <c r="M193" i="2"/>
  <c r="BD193" i="2" s="1"/>
  <c r="K193" i="2"/>
  <c r="BU189" i="2"/>
  <c r="BH189" i="2"/>
  <c r="BB189" i="2"/>
  <c r="AN189" i="2"/>
  <c r="BG189" i="2" s="1"/>
  <c r="AC189" i="2" s="1"/>
  <c r="AM189" i="2"/>
  <c r="BF189" i="2" s="1"/>
  <c r="AB189" i="2" s="1"/>
  <c r="AI189" i="2"/>
  <c r="AH189" i="2"/>
  <c r="AF189" i="2"/>
  <c r="AE189" i="2"/>
  <c r="AD189" i="2"/>
  <c r="AA189" i="2"/>
  <c r="Z189" i="2"/>
  <c r="X189" i="2"/>
  <c r="M189" i="2"/>
  <c r="BD189" i="2" s="1"/>
  <c r="K189" i="2"/>
  <c r="BU182" i="2"/>
  <c r="BH182" i="2"/>
  <c r="BB182" i="2"/>
  <c r="AN182" i="2"/>
  <c r="AV182" i="2" s="1"/>
  <c r="AM182" i="2"/>
  <c r="AU182" i="2" s="1"/>
  <c r="AI182" i="2"/>
  <c r="AH182" i="2"/>
  <c r="AF182" i="2"/>
  <c r="AE182" i="2"/>
  <c r="AD182" i="2"/>
  <c r="AA182" i="2"/>
  <c r="Z182" i="2"/>
  <c r="X182" i="2"/>
  <c r="M182" i="2"/>
  <c r="BD182" i="2" s="1"/>
  <c r="K182" i="2"/>
  <c r="BU181" i="2"/>
  <c r="BH181" i="2"/>
  <c r="BB181" i="2"/>
  <c r="AN181" i="2"/>
  <c r="BG181" i="2" s="1"/>
  <c r="AC181" i="2" s="1"/>
  <c r="AM181" i="2"/>
  <c r="AI181" i="2"/>
  <c r="AH181" i="2"/>
  <c r="AF181" i="2"/>
  <c r="AE181" i="2"/>
  <c r="AD181" i="2"/>
  <c r="AA181" i="2"/>
  <c r="Z181" i="2"/>
  <c r="X181" i="2"/>
  <c r="M181" i="2"/>
  <c r="BD181" i="2" s="1"/>
  <c r="K181" i="2"/>
  <c r="BU180" i="2"/>
  <c r="BH180" i="2"/>
  <c r="BB180" i="2"/>
  <c r="AN180" i="2"/>
  <c r="AV180" i="2" s="1"/>
  <c r="AM180" i="2"/>
  <c r="AU180" i="2" s="1"/>
  <c r="AI180" i="2"/>
  <c r="AH180" i="2"/>
  <c r="AF180" i="2"/>
  <c r="AE180" i="2"/>
  <c r="AD180" i="2"/>
  <c r="AA180" i="2"/>
  <c r="Z180" i="2"/>
  <c r="X180" i="2"/>
  <c r="M180" i="2"/>
  <c r="BD180" i="2" s="1"/>
  <c r="K180" i="2"/>
  <c r="AJ180" i="2" s="1"/>
  <c r="BU179" i="2"/>
  <c r="BH179" i="2"/>
  <c r="BB179" i="2"/>
  <c r="AN179" i="2"/>
  <c r="BG179" i="2" s="1"/>
  <c r="AC179" i="2" s="1"/>
  <c r="AM179" i="2"/>
  <c r="BF179" i="2" s="1"/>
  <c r="AB179" i="2" s="1"/>
  <c r="AI179" i="2"/>
  <c r="AH179" i="2"/>
  <c r="AF179" i="2"/>
  <c r="AE179" i="2"/>
  <c r="AD179" i="2"/>
  <c r="AA179" i="2"/>
  <c r="Z179" i="2"/>
  <c r="X179" i="2"/>
  <c r="M179" i="2"/>
  <c r="K179" i="2"/>
  <c r="AJ179" i="2" s="1"/>
  <c r="BU178" i="2"/>
  <c r="BH178" i="2"/>
  <c r="BB178" i="2"/>
  <c r="AN178" i="2"/>
  <c r="AV178" i="2" s="1"/>
  <c r="AM178" i="2"/>
  <c r="AU178" i="2" s="1"/>
  <c r="AI178" i="2"/>
  <c r="AH178" i="2"/>
  <c r="AF178" i="2"/>
  <c r="AE178" i="2"/>
  <c r="AD178" i="2"/>
  <c r="AA178" i="2"/>
  <c r="Z178" i="2"/>
  <c r="X178" i="2"/>
  <c r="M178" i="2"/>
  <c r="BD178" i="2" s="1"/>
  <c r="K178" i="2"/>
  <c r="AJ178" i="2" s="1"/>
  <c r="BU177" i="2"/>
  <c r="BH177" i="2"/>
  <c r="BB177" i="2"/>
  <c r="AN177" i="2"/>
  <c r="AM177" i="2"/>
  <c r="BF177" i="2" s="1"/>
  <c r="AB177" i="2" s="1"/>
  <c r="AI177" i="2"/>
  <c r="AH177" i="2"/>
  <c r="AF177" i="2"/>
  <c r="AE177" i="2"/>
  <c r="AD177" i="2"/>
  <c r="AA177" i="2"/>
  <c r="Z177" i="2"/>
  <c r="X177" i="2"/>
  <c r="M177" i="2"/>
  <c r="BD177" i="2" s="1"/>
  <c r="K177" i="2"/>
  <c r="BU176" i="2"/>
  <c r="BH176" i="2"/>
  <c r="BB176" i="2"/>
  <c r="AN176" i="2"/>
  <c r="AV176" i="2" s="1"/>
  <c r="AM176" i="2"/>
  <c r="BF176" i="2" s="1"/>
  <c r="AB176" i="2" s="1"/>
  <c r="AI176" i="2"/>
  <c r="AH176" i="2"/>
  <c r="AF176" i="2"/>
  <c r="AE176" i="2"/>
  <c r="AD176" i="2"/>
  <c r="AA176" i="2"/>
  <c r="Z176" i="2"/>
  <c r="X176" i="2"/>
  <c r="M176" i="2"/>
  <c r="BD176" i="2" s="1"/>
  <c r="K176" i="2"/>
  <c r="I176" i="2"/>
  <c r="BU175" i="2"/>
  <c r="BH175" i="2"/>
  <c r="BB175" i="2"/>
  <c r="AN175" i="2"/>
  <c r="AV175" i="2" s="1"/>
  <c r="AM175" i="2"/>
  <c r="BF175" i="2" s="1"/>
  <c r="AB175" i="2" s="1"/>
  <c r="AI175" i="2"/>
  <c r="AH175" i="2"/>
  <c r="AF175" i="2"/>
  <c r="AE175" i="2"/>
  <c r="AD175" i="2"/>
  <c r="AA175" i="2"/>
  <c r="Z175" i="2"/>
  <c r="X175" i="2"/>
  <c r="M175" i="2"/>
  <c r="BD175" i="2" s="1"/>
  <c r="K175" i="2"/>
  <c r="AJ175" i="2" s="1"/>
  <c r="BU173" i="2"/>
  <c r="BH173" i="2"/>
  <c r="X173" i="2" s="1"/>
  <c r="BB173" i="2"/>
  <c r="AN173" i="2"/>
  <c r="AM173" i="2"/>
  <c r="AU173" i="2" s="1"/>
  <c r="AI173" i="2"/>
  <c r="AH173" i="2"/>
  <c r="AF173" i="2"/>
  <c r="AE173" i="2"/>
  <c r="AD173" i="2"/>
  <c r="AC173" i="2"/>
  <c r="AB173" i="2"/>
  <c r="AA173" i="2"/>
  <c r="Z173" i="2"/>
  <c r="M173" i="2"/>
  <c r="BD173" i="2" s="1"/>
  <c r="K173" i="2"/>
  <c r="I173" i="2"/>
  <c r="BU171" i="2"/>
  <c r="BH171" i="2"/>
  <c r="BB171" i="2"/>
  <c r="AN171" i="2"/>
  <c r="AM171" i="2"/>
  <c r="BF171" i="2" s="1"/>
  <c r="AB171" i="2" s="1"/>
  <c r="AI171" i="2"/>
  <c r="AH171" i="2"/>
  <c r="AF171" i="2"/>
  <c r="AE171" i="2"/>
  <c r="AD171" i="2"/>
  <c r="AA171" i="2"/>
  <c r="Z171" i="2"/>
  <c r="X171" i="2"/>
  <c r="M171" i="2"/>
  <c r="BD171" i="2" s="1"/>
  <c r="K171" i="2"/>
  <c r="AJ171" i="2" s="1"/>
  <c r="BU159" i="2"/>
  <c r="BH159" i="2"/>
  <c r="BB159" i="2"/>
  <c r="AN159" i="2"/>
  <c r="J159" i="2" s="1"/>
  <c r="AM159" i="2"/>
  <c r="AU159" i="2" s="1"/>
  <c r="AI159" i="2"/>
  <c r="AH159" i="2"/>
  <c r="AF159" i="2"/>
  <c r="AE159" i="2"/>
  <c r="AD159" i="2"/>
  <c r="AA159" i="2"/>
  <c r="Z159" i="2"/>
  <c r="X159" i="2"/>
  <c r="M159" i="2"/>
  <c r="BD159" i="2" s="1"/>
  <c r="K159" i="2"/>
  <c r="I159" i="2"/>
  <c r="BU157" i="2"/>
  <c r="BH157" i="2"/>
  <c r="BB157" i="2"/>
  <c r="AN157" i="2"/>
  <c r="AM157" i="2"/>
  <c r="BF157" i="2" s="1"/>
  <c r="AB157" i="2" s="1"/>
  <c r="AI157" i="2"/>
  <c r="AH157" i="2"/>
  <c r="AF157" i="2"/>
  <c r="AE157" i="2"/>
  <c r="AD157" i="2"/>
  <c r="AA157" i="2"/>
  <c r="Z157" i="2"/>
  <c r="X157" i="2"/>
  <c r="M157" i="2"/>
  <c r="BD157" i="2" s="1"/>
  <c r="K157" i="2"/>
  <c r="AJ157" i="2" s="1"/>
  <c r="BU155" i="2"/>
  <c r="BH155" i="2"/>
  <c r="BB155" i="2"/>
  <c r="AN155" i="2"/>
  <c r="AM155" i="2"/>
  <c r="BF155" i="2" s="1"/>
  <c r="AB155" i="2" s="1"/>
  <c r="AI155" i="2"/>
  <c r="AH155" i="2"/>
  <c r="AF155" i="2"/>
  <c r="AE155" i="2"/>
  <c r="AD155" i="2"/>
  <c r="AA155" i="2"/>
  <c r="Z155" i="2"/>
  <c r="X155" i="2"/>
  <c r="M155" i="2"/>
  <c r="BD155" i="2" s="1"/>
  <c r="K155" i="2"/>
  <c r="AJ155" i="2" s="1"/>
  <c r="I155" i="2"/>
  <c r="BU153" i="2"/>
  <c r="BH153" i="2"/>
  <c r="BB153" i="2"/>
  <c r="AN153" i="2"/>
  <c r="BG153" i="2" s="1"/>
  <c r="AM153" i="2"/>
  <c r="BF153" i="2" s="1"/>
  <c r="AB153" i="2" s="1"/>
  <c r="AI153" i="2"/>
  <c r="AH153" i="2"/>
  <c r="AF153" i="2"/>
  <c r="AE153" i="2"/>
  <c r="AD153" i="2"/>
  <c r="AC153" i="2"/>
  <c r="AA153" i="2"/>
  <c r="Z153" i="2"/>
  <c r="X153" i="2"/>
  <c r="M153" i="2"/>
  <c r="BD153" i="2" s="1"/>
  <c r="K153" i="2"/>
  <c r="AJ153" i="2" s="1"/>
  <c r="BU152" i="2"/>
  <c r="BH152" i="2"/>
  <c r="BB152" i="2"/>
  <c r="AN152" i="2"/>
  <c r="AV152" i="2" s="1"/>
  <c r="AM152" i="2"/>
  <c r="AU152" i="2" s="1"/>
  <c r="AI152" i="2"/>
  <c r="AH152" i="2"/>
  <c r="AF152" i="2"/>
  <c r="AE152" i="2"/>
  <c r="AD152" i="2"/>
  <c r="AA152" i="2"/>
  <c r="Z152" i="2"/>
  <c r="X152" i="2"/>
  <c r="M152" i="2"/>
  <c r="BD152" i="2" s="1"/>
  <c r="K152" i="2"/>
  <c r="AJ152" i="2" s="1"/>
  <c r="BU151" i="2"/>
  <c r="BH151" i="2"/>
  <c r="BB151" i="2"/>
  <c r="AN151" i="2"/>
  <c r="BG151" i="2" s="1"/>
  <c r="AC151" i="2" s="1"/>
  <c r="AM151" i="2"/>
  <c r="AU151" i="2" s="1"/>
  <c r="AI151" i="2"/>
  <c r="AH151" i="2"/>
  <c r="AF151" i="2"/>
  <c r="AE151" i="2"/>
  <c r="AD151" i="2"/>
  <c r="AA151" i="2"/>
  <c r="Z151" i="2"/>
  <c r="X151" i="2"/>
  <c r="M151" i="2"/>
  <c r="BD151" i="2" s="1"/>
  <c r="K151" i="2"/>
  <c r="AJ151" i="2" s="1"/>
  <c r="BU150" i="2"/>
  <c r="BH150" i="2"/>
  <c r="BB150" i="2"/>
  <c r="AN150" i="2"/>
  <c r="BG150" i="2" s="1"/>
  <c r="AC150" i="2" s="1"/>
  <c r="AM150" i="2"/>
  <c r="AU150" i="2" s="1"/>
  <c r="AI150" i="2"/>
  <c r="AH150" i="2"/>
  <c r="AF150" i="2"/>
  <c r="AE150" i="2"/>
  <c r="AD150" i="2"/>
  <c r="AA150" i="2"/>
  <c r="Z150" i="2"/>
  <c r="X150" i="2"/>
  <c r="M150" i="2"/>
  <c r="BD150" i="2" s="1"/>
  <c r="K150" i="2"/>
  <c r="AJ150" i="2" s="1"/>
  <c r="BU149" i="2"/>
  <c r="BH149" i="2"/>
  <c r="BB149" i="2"/>
  <c r="AN149" i="2"/>
  <c r="BG149" i="2" s="1"/>
  <c r="AC149" i="2" s="1"/>
  <c r="AM149" i="2"/>
  <c r="AU149" i="2" s="1"/>
  <c r="AI149" i="2"/>
  <c r="AH149" i="2"/>
  <c r="AF149" i="2"/>
  <c r="AE149" i="2"/>
  <c r="AD149" i="2"/>
  <c r="AA149" i="2"/>
  <c r="Z149" i="2"/>
  <c r="X149" i="2"/>
  <c r="M149" i="2"/>
  <c r="BD149" i="2" s="1"/>
  <c r="K149" i="2"/>
  <c r="AJ149" i="2" s="1"/>
  <c r="BU148" i="2"/>
  <c r="BH148" i="2"/>
  <c r="BB148" i="2"/>
  <c r="AN148" i="2"/>
  <c r="AV148" i="2" s="1"/>
  <c r="AM148" i="2"/>
  <c r="AU148" i="2" s="1"/>
  <c r="AI148" i="2"/>
  <c r="AH148" i="2"/>
  <c r="AF148" i="2"/>
  <c r="AE148" i="2"/>
  <c r="AD148" i="2"/>
  <c r="AA148" i="2"/>
  <c r="Z148" i="2"/>
  <c r="X148" i="2"/>
  <c r="M148" i="2"/>
  <c r="BD148" i="2" s="1"/>
  <c r="K148" i="2"/>
  <c r="AJ148" i="2" s="1"/>
  <c r="BU147" i="2"/>
  <c r="BH147" i="2"/>
  <c r="BB147" i="2"/>
  <c r="AN147" i="2"/>
  <c r="BG147" i="2" s="1"/>
  <c r="AC147" i="2" s="1"/>
  <c r="AM147" i="2"/>
  <c r="AU147" i="2" s="1"/>
  <c r="AI147" i="2"/>
  <c r="AH147" i="2"/>
  <c r="AF147" i="2"/>
  <c r="AE147" i="2"/>
  <c r="AD147" i="2"/>
  <c r="AA147" i="2"/>
  <c r="Z147" i="2"/>
  <c r="X147" i="2"/>
  <c r="M147" i="2"/>
  <c r="BD147" i="2" s="1"/>
  <c r="K147" i="2"/>
  <c r="AJ147" i="2" s="1"/>
  <c r="I147" i="2"/>
  <c r="BU146" i="2"/>
  <c r="BH146" i="2"/>
  <c r="BB146" i="2"/>
  <c r="AN146" i="2"/>
  <c r="BG146" i="2" s="1"/>
  <c r="AC146" i="2" s="1"/>
  <c r="AM146" i="2"/>
  <c r="AU146" i="2" s="1"/>
  <c r="AI146" i="2"/>
  <c r="AH146" i="2"/>
  <c r="AF146" i="2"/>
  <c r="AE146" i="2"/>
  <c r="AD146" i="2"/>
  <c r="AA146" i="2"/>
  <c r="Z146" i="2"/>
  <c r="X146" i="2"/>
  <c r="M146" i="2"/>
  <c r="BD146" i="2" s="1"/>
  <c r="K146" i="2"/>
  <c r="AJ146" i="2" s="1"/>
  <c r="I146" i="2"/>
  <c r="BU145" i="2"/>
  <c r="BH145" i="2"/>
  <c r="BB145" i="2"/>
  <c r="AN145" i="2"/>
  <c r="BG145" i="2" s="1"/>
  <c r="AC145" i="2" s="1"/>
  <c r="AM145" i="2"/>
  <c r="BF145" i="2" s="1"/>
  <c r="AB145" i="2" s="1"/>
  <c r="AI145" i="2"/>
  <c r="AH145" i="2"/>
  <c r="AF145" i="2"/>
  <c r="AE145" i="2"/>
  <c r="AD145" i="2"/>
  <c r="AA145" i="2"/>
  <c r="Z145" i="2"/>
  <c r="X145" i="2"/>
  <c r="M145" i="2"/>
  <c r="BD145" i="2" s="1"/>
  <c r="K145" i="2"/>
  <c r="AJ145" i="2" s="1"/>
  <c r="BU144" i="2"/>
  <c r="BH144" i="2"/>
  <c r="BB144" i="2"/>
  <c r="AN144" i="2"/>
  <c r="AV144" i="2" s="1"/>
  <c r="AM144" i="2"/>
  <c r="BF144" i="2" s="1"/>
  <c r="AB144" i="2" s="1"/>
  <c r="AI144" i="2"/>
  <c r="AH144" i="2"/>
  <c r="AF144" i="2"/>
  <c r="AE144" i="2"/>
  <c r="AD144" i="2"/>
  <c r="AA144" i="2"/>
  <c r="Z144" i="2"/>
  <c r="X144" i="2"/>
  <c r="M144" i="2"/>
  <c r="BD144" i="2" s="1"/>
  <c r="K144" i="2"/>
  <c r="AJ144" i="2" s="1"/>
  <c r="BU143" i="2"/>
  <c r="BH143" i="2"/>
  <c r="BB143" i="2"/>
  <c r="AN143" i="2"/>
  <c r="BG143" i="2" s="1"/>
  <c r="AC143" i="2" s="1"/>
  <c r="AM143" i="2"/>
  <c r="BF143" i="2" s="1"/>
  <c r="AB143" i="2" s="1"/>
  <c r="AI143" i="2"/>
  <c r="AH143" i="2"/>
  <c r="AF143" i="2"/>
  <c r="AE143" i="2"/>
  <c r="AD143" i="2"/>
  <c r="AA143" i="2"/>
  <c r="Z143" i="2"/>
  <c r="X143" i="2"/>
  <c r="M143" i="2"/>
  <c r="BD143" i="2" s="1"/>
  <c r="K143" i="2"/>
  <c r="BU142" i="2"/>
  <c r="BH142" i="2"/>
  <c r="BB142" i="2"/>
  <c r="AN142" i="2"/>
  <c r="AV142" i="2" s="1"/>
  <c r="AM142" i="2"/>
  <c r="AU142" i="2" s="1"/>
  <c r="AI142" i="2"/>
  <c r="AH142" i="2"/>
  <c r="AF142" i="2"/>
  <c r="AE142" i="2"/>
  <c r="AD142" i="2"/>
  <c r="AA142" i="2"/>
  <c r="Z142" i="2"/>
  <c r="X142" i="2"/>
  <c r="M142" i="2"/>
  <c r="BD142" i="2" s="1"/>
  <c r="K142" i="2"/>
  <c r="AJ142" i="2" s="1"/>
  <c r="BU141" i="2"/>
  <c r="BH141" i="2"/>
  <c r="BB141" i="2"/>
  <c r="AN141" i="2"/>
  <c r="BG141" i="2" s="1"/>
  <c r="AC141" i="2" s="1"/>
  <c r="AM141" i="2"/>
  <c r="BF141" i="2" s="1"/>
  <c r="AB141" i="2" s="1"/>
  <c r="AI141" i="2"/>
  <c r="AH141" i="2"/>
  <c r="AF141" i="2"/>
  <c r="AE141" i="2"/>
  <c r="AD141" i="2"/>
  <c r="AA141" i="2"/>
  <c r="Z141" i="2"/>
  <c r="X141" i="2"/>
  <c r="M141" i="2"/>
  <c r="BD141" i="2" s="1"/>
  <c r="K141" i="2"/>
  <c r="AJ141" i="2" s="1"/>
  <c r="BU140" i="2"/>
  <c r="BH140" i="2"/>
  <c r="BB140" i="2"/>
  <c r="AN140" i="2"/>
  <c r="AV140" i="2" s="1"/>
  <c r="AM140" i="2"/>
  <c r="AU140" i="2" s="1"/>
  <c r="AI140" i="2"/>
  <c r="AH140" i="2"/>
  <c r="AF140" i="2"/>
  <c r="AE140" i="2"/>
  <c r="AD140" i="2"/>
  <c r="AA140" i="2"/>
  <c r="Z140" i="2"/>
  <c r="X140" i="2"/>
  <c r="M140" i="2"/>
  <c r="BD140" i="2" s="1"/>
  <c r="K140" i="2"/>
  <c r="AJ140" i="2" s="1"/>
  <c r="BU139" i="2"/>
  <c r="BH139" i="2"/>
  <c r="BB139" i="2"/>
  <c r="AN139" i="2"/>
  <c r="BG139" i="2" s="1"/>
  <c r="AC139" i="2" s="1"/>
  <c r="AM139" i="2"/>
  <c r="AU139" i="2" s="1"/>
  <c r="AI139" i="2"/>
  <c r="AH139" i="2"/>
  <c r="AF139" i="2"/>
  <c r="AE139" i="2"/>
  <c r="AD139" i="2"/>
  <c r="AA139" i="2"/>
  <c r="Z139" i="2"/>
  <c r="X139" i="2"/>
  <c r="M139" i="2"/>
  <c r="BD139" i="2" s="1"/>
  <c r="K139" i="2"/>
  <c r="AJ139" i="2" s="1"/>
  <c r="BU138" i="2"/>
  <c r="BH138" i="2"/>
  <c r="BB138" i="2"/>
  <c r="AN138" i="2"/>
  <c r="AV138" i="2" s="1"/>
  <c r="AM138" i="2"/>
  <c r="AU138" i="2" s="1"/>
  <c r="AI138" i="2"/>
  <c r="AH138" i="2"/>
  <c r="AF138" i="2"/>
  <c r="AE138" i="2"/>
  <c r="AD138" i="2"/>
  <c r="AA138" i="2"/>
  <c r="Z138" i="2"/>
  <c r="X138" i="2"/>
  <c r="M138" i="2"/>
  <c r="BD138" i="2" s="1"/>
  <c r="K138" i="2"/>
  <c r="AJ138" i="2" s="1"/>
  <c r="BU137" i="2"/>
  <c r="BH137" i="2"/>
  <c r="BB137" i="2"/>
  <c r="AN137" i="2"/>
  <c r="BG137" i="2" s="1"/>
  <c r="AC137" i="2" s="1"/>
  <c r="AM137" i="2"/>
  <c r="BF137" i="2" s="1"/>
  <c r="AB137" i="2" s="1"/>
  <c r="AI137" i="2"/>
  <c r="AH137" i="2"/>
  <c r="AF137" i="2"/>
  <c r="AE137" i="2"/>
  <c r="AD137" i="2"/>
  <c r="AA137" i="2"/>
  <c r="Z137" i="2"/>
  <c r="X137" i="2"/>
  <c r="M137" i="2"/>
  <c r="BD137" i="2" s="1"/>
  <c r="K137" i="2"/>
  <c r="AJ137" i="2" s="1"/>
  <c r="I137" i="2"/>
  <c r="BU125" i="2"/>
  <c r="BH125" i="2"/>
  <c r="BB125" i="2"/>
  <c r="AN125" i="2"/>
  <c r="BG125" i="2" s="1"/>
  <c r="AC125" i="2" s="1"/>
  <c r="AM125" i="2"/>
  <c r="BF125" i="2" s="1"/>
  <c r="AB125" i="2" s="1"/>
  <c r="AI125" i="2"/>
  <c r="AH125" i="2"/>
  <c r="AF125" i="2"/>
  <c r="AE125" i="2"/>
  <c r="AD125" i="2"/>
  <c r="AA125" i="2"/>
  <c r="Z125" i="2"/>
  <c r="X125" i="2"/>
  <c r="M125" i="2"/>
  <c r="BD125" i="2" s="1"/>
  <c r="K125" i="2"/>
  <c r="AJ125" i="2" s="1"/>
  <c r="J125" i="2"/>
  <c r="BU123" i="2"/>
  <c r="BH123" i="2"/>
  <c r="BB123" i="2"/>
  <c r="AN123" i="2"/>
  <c r="AV123" i="2" s="1"/>
  <c r="AM123" i="2"/>
  <c r="BF123" i="2" s="1"/>
  <c r="AB123" i="2" s="1"/>
  <c r="AI123" i="2"/>
  <c r="AH123" i="2"/>
  <c r="AF123" i="2"/>
  <c r="AE123" i="2"/>
  <c r="AD123" i="2"/>
  <c r="AA123" i="2"/>
  <c r="Z123" i="2"/>
  <c r="X123" i="2"/>
  <c r="M123" i="2"/>
  <c r="BD123" i="2" s="1"/>
  <c r="K123" i="2"/>
  <c r="AJ123" i="2" s="1"/>
  <c r="I123" i="2"/>
  <c r="BU120" i="2"/>
  <c r="BH120" i="2"/>
  <c r="BB120" i="2"/>
  <c r="AN120" i="2"/>
  <c r="J120" i="2" s="1"/>
  <c r="AM120" i="2"/>
  <c r="BF120" i="2" s="1"/>
  <c r="AB120" i="2" s="1"/>
  <c r="AI120" i="2"/>
  <c r="AH120" i="2"/>
  <c r="AF120" i="2"/>
  <c r="AE120" i="2"/>
  <c r="AD120" i="2"/>
  <c r="AA120" i="2"/>
  <c r="Z120" i="2"/>
  <c r="X120" i="2"/>
  <c r="M120" i="2"/>
  <c r="BD120" i="2" s="1"/>
  <c r="K120" i="2"/>
  <c r="AJ120" i="2" s="1"/>
  <c r="BU118" i="2"/>
  <c r="BH118" i="2"/>
  <c r="BB118" i="2"/>
  <c r="AN118" i="2"/>
  <c r="AV118" i="2" s="1"/>
  <c r="AM118" i="2"/>
  <c r="AU118" i="2" s="1"/>
  <c r="AI118" i="2"/>
  <c r="AH118" i="2"/>
  <c r="AF118" i="2"/>
  <c r="AE118" i="2"/>
  <c r="AD118" i="2"/>
  <c r="AA118" i="2"/>
  <c r="Z118" i="2"/>
  <c r="X118" i="2"/>
  <c r="M118" i="2"/>
  <c r="BD118" i="2" s="1"/>
  <c r="K118" i="2"/>
  <c r="AJ118" i="2" s="1"/>
  <c r="J118" i="2"/>
  <c r="BU116" i="2"/>
  <c r="BH116" i="2"/>
  <c r="BB116" i="2"/>
  <c r="AN116" i="2"/>
  <c r="AV116" i="2" s="1"/>
  <c r="AM116" i="2"/>
  <c r="I116" i="2" s="1"/>
  <c r="AI116" i="2"/>
  <c r="AH116" i="2"/>
  <c r="AF116" i="2"/>
  <c r="AE116" i="2"/>
  <c r="AD116" i="2"/>
  <c r="AA116" i="2"/>
  <c r="Z116" i="2"/>
  <c r="X116" i="2"/>
  <c r="M116" i="2"/>
  <c r="BD116" i="2" s="1"/>
  <c r="K116" i="2"/>
  <c r="AJ116" i="2" s="1"/>
  <c r="J116" i="2"/>
  <c r="BU114" i="2"/>
  <c r="BH114" i="2"/>
  <c r="BB114" i="2"/>
  <c r="AN114" i="2"/>
  <c r="BG114" i="2" s="1"/>
  <c r="AC114" i="2" s="1"/>
  <c r="AM114" i="2"/>
  <c r="AU114" i="2" s="1"/>
  <c r="AI114" i="2"/>
  <c r="AH114" i="2"/>
  <c r="AF114" i="2"/>
  <c r="AE114" i="2"/>
  <c r="AD114" i="2"/>
  <c r="AA114" i="2"/>
  <c r="Z114" i="2"/>
  <c r="X114" i="2"/>
  <c r="M114" i="2"/>
  <c r="K114" i="2"/>
  <c r="AJ114" i="2" s="1"/>
  <c r="J114" i="2"/>
  <c r="BU112" i="2"/>
  <c r="BH112" i="2"/>
  <c r="BB112" i="2"/>
  <c r="AN112" i="2"/>
  <c r="AV112" i="2" s="1"/>
  <c r="AM112" i="2"/>
  <c r="BF112" i="2" s="1"/>
  <c r="AI112" i="2"/>
  <c r="AH112" i="2"/>
  <c r="AF112" i="2"/>
  <c r="AE112" i="2"/>
  <c r="AD112" i="2"/>
  <c r="AC112" i="2"/>
  <c r="AB112" i="2"/>
  <c r="AA112" i="2"/>
  <c r="Z112" i="2"/>
  <c r="X112" i="2"/>
  <c r="M112" i="2"/>
  <c r="BD112" i="2" s="1"/>
  <c r="K112" i="2"/>
  <c r="AJ112" i="2" s="1"/>
  <c r="BU110" i="2"/>
  <c r="BH110" i="2"/>
  <c r="BB110" i="2"/>
  <c r="AN110" i="2"/>
  <c r="BG110" i="2" s="1"/>
  <c r="AC110" i="2" s="1"/>
  <c r="AM110" i="2"/>
  <c r="BF110" i="2" s="1"/>
  <c r="AB110" i="2" s="1"/>
  <c r="AI110" i="2"/>
  <c r="AH110" i="2"/>
  <c r="AF110" i="2"/>
  <c r="AE110" i="2"/>
  <c r="AD110" i="2"/>
  <c r="AA110" i="2"/>
  <c r="Z110" i="2"/>
  <c r="X110" i="2"/>
  <c r="M110" i="2"/>
  <c r="BD110" i="2" s="1"/>
  <c r="K110" i="2"/>
  <c r="I110" i="2"/>
  <c r="BU108" i="2"/>
  <c r="BH108" i="2"/>
  <c r="BB108" i="2"/>
  <c r="AN108" i="2"/>
  <c r="AV108" i="2" s="1"/>
  <c r="AM108" i="2"/>
  <c r="AU108" i="2" s="1"/>
  <c r="AI108" i="2"/>
  <c r="AH108" i="2"/>
  <c r="AF108" i="2"/>
  <c r="AE108" i="2"/>
  <c r="AD108" i="2"/>
  <c r="AA108" i="2"/>
  <c r="Z108" i="2"/>
  <c r="X108" i="2"/>
  <c r="M108" i="2"/>
  <c r="BD108" i="2" s="1"/>
  <c r="K108" i="2"/>
  <c r="AJ108" i="2" s="1"/>
  <c r="BU104" i="2"/>
  <c r="BH104" i="2"/>
  <c r="BB104" i="2"/>
  <c r="AN104" i="2"/>
  <c r="AV104" i="2" s="1"/>
  <c r="AM104" i="2"/>
  <c r="BF104" i="2" s="1"/>
  <c r="AB104" i="2" s="1"/>
  <c r="AI104" i="2"/>
  <c r="AH104" i="2"/>
  <c r="AF104" i="2"/>
  <c r="AE104" i="2"/>
  <c r="AD104" i="2"/>
  <c r="AA104" i="2"/>
  <c r="Z104" i="2"/>
  <c r="X104" i="2"/>
  <c r="M104" i="2"/>
  <c r="BD104" i="2" s="1"/>
  <c r="K104" i="2"/>
  <c r="I104" i="2"/>
  <c r="BU99" i="2"/>
  <c r="BH99" i="2"/>
  <c r="BB99" i="2"/>
  <c r="AN99" i="2"/>
  <c r="AV99" i="2" s="1"/>
  <c r="AM99" i="2"/>
  <c r="AU99" i="2" s="1"/>
  <c r="AI99" i="2"/>
  <c r="AH99" i="2"/>
  <c r="AQ98" i="2" s="1"/>
  <c r="AF99" i="2"/>
  <c r="AE99" i="2"/>
  <c r="AD99" i="2"/>
  <c r="AA99" i="2"/>
  <c r="Z99" i="2"/>
  <c r="X99" i="2"/>
  <c r="M99" i="2"/>
  <c r="K99" i="2"/>
  <c r="I99" i="2"/>
  <c r="BU97" i="2"/>
  <c r="BH97" i="2"/>
  <c r="X97" i="2" s="1"/>
  <c r="BB97" i="2"/>
  <c r="AN97" i="2"/>
  <c r="AV97" i="2" s="1"/>
  <c r="AM97" i="2"/>
  <c r="BF97" i="2" s="1"/>
  <c r="AI97" i="2"/>
  <c r="AH97" i="2"/>
  <c r="AF97" i="2"/>
  <c r="AE97" i="2"/>
  <c r="AD97" i="2"/>
  <c r="AC97" i="2"/>
  <c r="AB97" i="2"/>
  <c r="AA97" i="2"/>
  <c r="Z97" i="2"/>
  <c r="M97" i="2"/>
  <c r="BD97" i="2" s="1"/>
  <c r="K97" i="2"/>
  <c r="AJ97" i="2" s="1"/>
  <c r="BU96" i="2"/>
  <c r="BH96" i="2"/>
  <c r="X96" i="2" s="1"/>
  <c r="BB96" i="2"/>
  <c r="AN96" i="2"/>
  <c r="BG96" i="2" s="1"/>
  <c r="AM96" i="2"/>
  <c r="BF96" i="2" s="1"/>
  <c r="AI96" i="2"/>
  <c r="AH96" i="2"/>
  <c r="AF96" i="2"/>
  <c r="AE96" i="2"/>
  <c r="AD96" i="2"/>
  <c r="AC96" i="2"/>
  <c r="AB96" i="2"/>
  <c r="AA96" i="2"/>
  <c r="Z96" i="2"/>
  <c r="M96" i="2"/>
  <c r="BD96" i="2" s="1"/>
  <c r="K96" i="2"/>
  <c r="AJ96" i="2" s="1"/>
  <c r="BU95" i="2"/>
  <c r="BH95" i="2"/>
  <c r="X95" i="2" s="1"/>
  <c r="BB95" i="2"/>
  <c r="AN95" i="2"/>
  <c r="AV95" i="2" s="1"/>
  <c r="AM95" i="2"/>
  <c r="AU95" i="2" s="1"/>
  <c r="AI95" i="2"/>
  <c r="AH95" i="2"/>
  <c r="AF95" i="2"/>
  <c r="AE95" i="2"/>
  <c r="AD95" i="2"/>
  <c r="AC95" i="2"/>
  <c r="AB95" i="2"/>
  <c r="AA95" i="2"/>
  <c r="Z95" i="2"/>
  <c r="M95" i="2"/>
  <c r="BD95" i="2" s="1"/>
  <c r="K95" i="2"/>
  <c r="BU94" i="2"/>
  <c r="BH94" i="2"/>
  <c r="X94" i="2" s="1"/>
  <c r="BB94" i="2"/>
  <c r="AN94" i="2"/>
  <c r="BG94" i="2" s="1"/>
  <c r="AM94" i="2"/>
  <c r="BF94" i="2" s="1"/>
  <c r="AI94" i="2"/>
  <c r="AH94" i="2"/>
  <c r="AF94" i="2"/>
  <c r="AE94" i="2"/>
  <c r="AD94" i="2"/>
  <c r="AC94" i="2"/>
  <c r="AB94" i="2"/>
  <c r="AA94" i="2"/>
  <c r="Z94" i="2"/>
  <c r="M94" i="2"/>
  <c r="BD94" i="2" s="1"/>
  <c r="K94" i="2"/>
  <c r="AJ94" i="2" s="1"/>
  <c r="BU92" i="2"/>
  <c r="BH92" i="2"/>
  <c r="X92" i="2" s="1"/>
  <c r="BB92" i="2"/>
  <c r="AN92" i="2"/>
  <c r="AV92" i="2" s="1"/>
  <c r="AM92" i="2"/>
  <c r="AU92" i="2" s="1"/>
  <c r="AI92" i="2"/>
  <c r="AH92" i="2"/>
  <c r="AF92" i="2"/>
  <c r="AE92" i="2"/>
  <c r="AD92" i="2"/>
  <c r="AC92" i="2"/>
  <c r="AB92" i="2"/>
  <c r="AA92" i="2"/>
  <c r="Z92" i="2"/>
  <c r="M92" i="2"/>
  <c r="BD92" i="2" s="1"/>
  <c r="K92" i="2"/>
  <c r="AJ92" i="2" s="1"/>
  <c r="BU91" i="2"/>
  <c r="BH91" i="2"/>
  <c r="X91" i="2" s="1"/>
  <c r="BB91" i="2"/>
  <c r="AN91" i="2"/>
  <c r="BG91" i="2" s="1"/>
  <c r="AM91" i="2"/>
  <c r="BF91" i="2" s="1"/>
  <c r="AI91" i="2"/>
  <c r="AH91" i="2"/>
  <c r="AF91" i="2"/>
  <c r="AE91" i="2"/>
  <c r="AD91" i="2"/>
  <c r="AC91" i="2"/>
  <c r="AB91" i="2"/>
  <c r="AA91" i="2"/>
  <c r="Z91" i="2"/>
  <c r="M91" i="2"/>
  <c r="BD91" i="2" s="1"/>
  <c r="K91" i="2"/>
  <c r="AJ91" i="2" s="1"/>
  <c r="BU90" i="2"/>
  <c r="BH90" i="2"/>
  <c r="X90" i="2" s="1"/>
  <c r="BB90" i="2"/>
  <c r="AN90" i="2"/>
  <c r="BG90" i="2" s="1"/>
  <c r="AM90" i="2"/>
  <c r="AU90" i="2" s="1"/>
  <c r="AI90" i="2"/>
  <c r="AH90" i="2"/>
  <c r="AF90" i="2"/>
  <c r="AE90" i="2"/>
  <c r="AD90" i="2"/>
  <c r="AC90" i="2"/>
  <c r="AB90" i="2"/>
  <c r="AA90" i="2"/>
  <c r="Z90" i="2"/>
  <c r="M90" i="2"/>
  <c r="K90" i="2"/>
  <c r="BU86" i="2"/>
  <c r="BH86" i="2"/>
  <c r="BB86" i="2"/>
  <c r="AN86" i="2"/>
  <c r="AV86" i="2" s="1"/>
  <c r="AM86" i="2"/>
  <c r="AU86" i="2" s="1"/>
  <c r="AI86" i="2"/>
  <c r="AH86" i="2"/>
  <c r="AF86" i="2"/>
  <c r="AE86" i="2"/>
  <c r="AD86" i="2"/>
  <c r="AC86" i="2"/>
  <c r="AB86" i="2"/>
  <c r="X86" i="2"/>
  <c r="M86" i="2"/>
  <c r="BD86" i="2" s="1"/>
  <c r="K86" i="2"/>
  <c r="AJ86" i="2" s="1"/>
  <c r="BU75" i="2"/>
  <c r="BH75" i="2"/>
  <c r="BB75" i="2"/>
  <c r="AN75" i="2"/>
  <c r="BG75" i="2" s="1"/>
  <c r="AA75" i="2" s="1"/>
  <c r="AM75" i="2"/>
  <c r="BF75" i="2" s="1"/>
  <c r="Z75" i="2" s="1"/>
  <c r="AI75" i="2"/>
  <c r="AH75" i="2"/>
  <c r="AF75" i="2"/>
  <c r="AE75" i="2"/>
  <c r="AD75" i="2"/>
  <c r="AC75" i="2"/>
  <c r="AB75" i="2"/>
  <c r="X75" i="2"/>
  <c r="M75" i="2"/>
  <c r="BD75" i="2" s="1"/>
  <c r="K75" i="2"/>
  <c r="AJ75" i="2" s="1"/>
  <c r="BU65" i="2"/>
  <c r="BH65" i="2"/>
  <c r="BB65" i="2"/>
  <c r="AN65" i="2"/>
  <c r="AV65" i="2" s="1"/>
  <c r="AM65" i="2"/>
  <c r="AU65" i="2" s="1"/>
  <c r="AI65" i="2"/>
  <c r="AH65" i="2"/>
  <c r="AF65" i="2"/>
  <c r="AE65" i="2"/>
  <c r="AD65" i="2"/>
  <c r="AC65" i="2"/>
  <c r="AB65" i="2"/>
  <c r="X65" i="2"/>
  <c r="M65" i="2"/>
  <c r="BD65" i="2" s="1"/>
  <c r="K65" i="2"/>
  <c r="AJ65" i="2" s="1"/>
  <c r="BU63" i="2"/>
  <c r="BH63" i="2"/>
  <c r="BB63" i="2"/>
  <c r="AN63" i="2"/>
  <c r="BG63" i="2" s="1"/>
  <c r="AA63" i="2" s="1"/>
  <c r="AM63" i="2"/>
  <c r="BF63" i="2" s="1"/>
  <c r="Z63" i="2" s="1"/>
  <c r="AI63" i="2"/>
  <c r="AH63" i="2"/>
  <c r="AF63" i="2"/>
  <c r="AE63" i="2"/>
  <c r="AD63" i="2"/>
  <c r="AC63" i="2"/>
  <c r="AB63" i="2"/>
  <c r="X63" i="2"/>
  <c r="M63" i="2"/>
  <c r="BD63" i="2" s="1"/>
  <c r="K63" i="2"/>
  <c r="AJ63" i="2" s="1"/>
  <c r="BU61" i="2"/>
  <c r="BH61" i="2"/>
  <c r="BB61" i="2"/>
  <c r="AN61" i="2"/>
  <c r="BG61" i="2" s="1"/>
  <c r="AA61" i="2" s="1"/>
  <c r="AM61" i="2"/>
  <c r="I61" i="2" s="1"/>
  <c r="AI61" i="2"/>
  <c r="AH61" i="2"/>
  <c r="AF61" i="2"/>
  <c r="AE61" i="2"/>
  <c r="AD61" i="2"/>
  <c r="AC61" i="2"/>
  <c r="AB61" i="2"/>
  <c r="X61" i="2"/>
  <c r="M61" i="2"/>
  <c r="K61" i="2"/>
  <c r="J61" i="2"/>
  <c r="BU51" i="2"/>
  <c r="BH51" i="2"/>
  <c r="BD51" i="2"/>
  <c r="BB51" i="2"/>
  <c r="AN51" i="2"/>
  <c r="AV51" i="2" s="1"/>
  <c r="AM51" i="2"/>
  <c r="AU51" i="2" s="1"/>
  <c r="AI51" i="2"/>
  <c r="AH51" i="2"/>
  <c r="AF51" i="2"/>
  <c r="AE51" i="2"/>
  <c r="AD51" i="2"/>
  <c r="AC51" i="2"/>
  <c r="AB51" i="2"/>
  <c r="X51" i="2"/>
  <c r="M51" i="2"/>
  <c r="K51" i="2"/>
  <c r="J51" i="2"/>
  <c r="I51" i="2"/>
  <c r="BU38" i="2"/>
  <c r="BH38" i="2"/>
  <c r="BB38" i="2"/>
  <c r="AN38" i="2"/>
  <c r="AV38" i="2" s="1"/>
  <c r="AM38" i="2"/>
  <c r="AU38" i="2" s="1"/>
  <c r="AI38" i="2"/>
  <c r="AH38" i="2"/>
  <c r="AF38" i="2"/>
  <c r="AE38" i="2"/>
  <c r="AD38" i="2"/>
  <c r="AC38" i="2"/>
  <c r="AB38" i="2"/>
  <c r="X38" i="2"/>
  <c r="M38" i="2"/>
  <c r="BD38" i="2" s="1"/>
  <c r="K38" i="2"/>
  <c r="AJ38" i="2" s="1"/>
  <c r="BU26" i="2"/>
  <c r="BH26" i="2"/>
  <c r="BB26" i="2"/>
  <c r="AN26" i="2"/>
  <c r="BG26" i="2" s="1"/>
  <c r="AA26" i="2" s="1"/>
  <c r="AM26" i="2"/>
  <c r="I26" i="2" s="1"/>
  <c r="AI26" i="2"/>
  <c r="AH26" i="2"/>
  <c r="AF26" i="2"/>
  <c r="AE26" i="2"/>
  <c r="AD26" i="2"/>
  <c r="AC26" i="2"/>
  <c r="AB26" i="2"/>
  <c r="X26" i="2"/>
  <c r="M26" i="2"/>
  <c r="K26" i="2"/>
  <c r="AJ26" i="2" s="1"/>
  <c r="BU14" i="2"/>
  <c r="BH14" i="2"/>
  <c r="BB14" i="2"/>
  <c r="AN14" i="2"/>
  <c r="AV14" i="2" s="1"/>
  <c r="AM14" i="2"/>
  <c r="AU14" i="2" s="1"/>
  <c r="AI14" i="2"/>
  <c r="AR13" i="2" s="1"/>
  <c r="AH14" i="2"/>
  <c r="AF14" i="2"/>
  <c r="AE14" i="2"/>
  <c r="AD14" i="2"/>
  <c r="AC14" i="2"/>
  <c r="AB14" i="2"/>
  <c r="X14" i="2"/>
  <c r="M14" i="2"/>
  <c r="BD14" i="2" s="1"/>
  <c r="K14" i="2"/>
  <c r="AJ14" i="2" s="1"/>
  <c r="AS1" i="2"/>
  <c r="AR1" i="2"/>
  <c r="AQ1" i="2"/>
  <c r="J36" i="1"/>
  <c r="H35" i="1"/>
  <c r="J34" i="1"/>
  <c r="J33" i="1"/>
  <c r="J32" i="1"/>
  <c r="J31" i="1"/>
  <c r="J30" i="1"/>
  <c r="J29" i="1"/>
  <c r="H28" i="1"/>
  <c r="J27" i="1"/>
  <c r="J26" i="1"/>
  <c r="J25" i="1"/>
  <c r="J24" i="1"/>
  <c r="J23" i="1"/>
  <c r="J22" i="1"/>
  <c r="J21" i="1"/>
  <c r="J20" i="1"/>
  <c r="H19" i="1"/>
  <c r="J18" i="1"/>
  <c r="J17" i="1"/>
  <c r="J16" i="1"/>
  <c r="J15" i="1"/>
  <c r="J14" i="1"/>
  <c r="J13" i="1"/>
  <c r="J12" i="1"/>
  <c r="J11" i="1"/>
  <c r="H10" i="1"/>
  <c r="I516" i="2" l="1"/>
  <c r="AV511" i="2"/>
  <c r="AV506" i="2"/>
  <c r="AQ493" i="2"/>
  <c r="I496" i="2"/>
  <c r="I476" i="2"/>
  <c r="AU453" i="2"/>
  <c r="AR436" i="2"/>
  <c r="I429" i="2"/>
  <c r="J425" i="2"/>
  <c r="BG423" i="2"/>
  <c r="AA423" i="2" s="1"/>
  <c r="J422" i="2"/>
  <c r="AV422" i="2"/>
  <c r="J415" i="2"/>
  <c r="AU411" i="2"/>
  <c r="BF409" i="2"/>
  <c r="Z409" i="2" s="1"/>
  <c r="I408" i="2"/>
  <c r="BF405" i="2"/>
  <c r="Z405" i="2" s="1"/>
  <c r="J405" i="2"/>
  <c r="AU396" i="2"/>
  <c r="BA396" i="2" s="1"/>
  <c r="J388" i="2"/>
  <c r="AU376" i="2"/>
  <c r="I374" i="2"/>
  <c r="AU366" i="2"/>
  <c r="BA366" i="2" s="1"/>
  <c r="AU352" i="2"/>
  <c r="AT352" i="2" s="1"/>
  <c r="I352" i="2"/>
  <c r="I347" i="2"/>
  <c r="AU334" i="2"/>
  <c r="BA334" i="2" s="1"/>
  <c r="AU307" i="2"/>
  <c r="BA307" i="2" s="1"/>
  <c r="BG307" i="2"/>
  <c r="AA307" i="2" s="1"/>
  <c r="I305" i="2"/>
  <c r="AU253" i="2"/>
  <c r="AU215" i="2"/>
  <c r="AU179" i="2"/>
  <c r="AU177" i="2"/>
  <c r="AU176" i="2"/>
  <c r="BA176" i="2" s="1"/>
  <c r="BG176" i="2"/>
  <c r="AC176" i="2" s="1"/>
  <c r="AU155" i="2"/>
  <c r="AV153" i="2"/>
  <c r="AV114" i="2"/>
  <c r="BG97" i="2"/>
  <c r="BA65" i="2"/>
  <c r="AU61" i="2"/>
  <c r="AT61" i="2" s="1"/>
  <c r="I95" i="2"/>
  <c r="AU96" i="2"/>
  <c r="AU125" i="2"/>
  <c r="AU175" i="2"/>
  <c r="AT175" i="2" s="1"/>
  <c r="AV195" i="2"/>
  <c r="J224" i="2"/>
  <c r="I225" i="2"/>
  <c r="I227" i="2"/>
  <c r="J255" i="2"/>
  <c r="J260" i="2"/>
  <c r="I267" i="2"/>
  <c r="I277" i="2"/>
  <c r="AU305" i="2"/>
  <c r="AT305" i="2" s="1"/>
  <c r="I308" i="2"/>
  <c r="I315" i="2"/>
  <c r="J338" i="2"/>
  <c r="BF404" i="2"/>
  <c r="Z404" i="2" s="1"/>
  <c r="AU405" i="2"/>
  <c r="BA405" i="2" s="1"/>
  <c r="AV450" i="2"/>
  <c r="AQ454" i="2"/>
  <c r="I458" i="2"/>
  <c r="AV472" i="2"/>
  <c r="J500" i="2"/>
  <c r="AV75" i="2"/>
  <c r="BG142" i="2"/>
  <c r="AC142" i="2" s="1"/>
  <c r="J26" i="2"/>
  <c r="I96" i="2"/>
  <c r="BA180" i="2"/>
  <c r="J227" i="2"/>
  <c r="AU238" i="2"/>
  <c r="AQ240" i="2"/>
  <c r="J303" i="2"/>
  <c r="I317" i="2"/>
  <c r="AU355" i="2"/>
  <c r="BA355" i="2" s="1"/>
  <c r="BA382" i="2"/>
  <c r="I390" i="2"/>
  <c r="I392" i="2"/>
  <c r="AU398" i="2"/>
  <c r="BA398" i="2" s="1"/>
  <c r="AU408" i="2"/>
  <c r="AT408" i="2" s="1"/>
  <c r="I440" i="2"/>
  <c r="J448" i="2"/>
  <c r="J462" i="2"/>
  <c r="J514" i="2"/>
  <c r="AQ436" i="2"/>
  <c r="AR499" i="2"/>
  <c r="AV151" i="2"/>
  <c r="BA151" i="2" s="1"/>
  <c r="AV219" i="2"/>
  <c r="BA219" i="2" s="1"/>
  <c r="BA273" i="2"/>
  <c r="BG336" i="2"/>
  <c r="AA336" i="2" s="1"/>
  <c r="J348" i="2"/>
  <c r="M389" i="2"/>
  <c r="F25" i="1" s="1"/>
  <c r="AV413" i="2"/>
  <c r="AU498" i="2"/>
  <c r="AQ50" i="2"/>
  <c r="J63" i="2"/>
  <c r="I65" i="2"/>
  <c r="I75" i="2"/>
  <c r="AT95" i="2"/>
  <c r="J138" i="2"/>
  <c r="J139" i="2"/>
  <c r="I140" i="2"/>
  <c r="I141" i="2"/>
  <c r="I142" i="2"/>
  <c r="J176" i="2"/>
  <c r="AV231" i="2"/>
  <c r="AU308" i="2"/>
  <c r="AT308" i="2" s="1"/>
  <c r="BF312" i="2"/>
  <c r="Z312" i="2" s="1"/>
  <c r="J332" i="2"/>
  <c r="AU338" i="2"/>
  <c r="AT338" i="2" s="1"/>
  <c r="AU351" i="2"/>
  <c r="I366" i="2"/>
  <c r="J370" i="2"/>
  <c r="AR399" i="2"/>
  <c r="AV445" i="2"/>
  <c r="J453" i="2"/>
  <c r="J476" i="2"/>
  <c r="J478" i="2"/>
  <c r="J481" i="2"/>
  <c r="I522" i="2"/>
  <c r="J75" i="2"/>
  <c r="J91" i="2"/>
  <c r="J108" i="2"/>
  <c r="J112" i="2"/>
  <c r="BG112" i="2"/>
  <c r="J142" i="2"/>
  <c r="I148" i="2"/>
  <c r="J151" i="2"/>
  <c r="BF152" i="2"/>
  <c r="AB152" i="2" s="1"/>
  <c r="J180" i="2"/>
  <c r="I219" i="2"/>
  <c r="BG219" i="2"/>
  <c r="I249" i="2"/>
  <c r="I253" i="2"/>
  <c r="AU277" i="2"/>
  <c r="J336" i="2"/>
  <c r="BG340" i="2"/>
  <c r="AA340" i="2" s="1"/>
  <c r="J378" i="2"/>
  <c r="J386" i="2"/>
  <c r="I388" i="2"/>
  <c r="J411" i="2"/>
  <c r="J483" i="2"/>
  <c r="I498" i="2"/>
  <c r="AV26" i="2"/>
  <c r="AT51" i="2"/>
  <c r="I143" i="2"/>
  <c r="I338" i="2"/>
  <c r="I351" i="2"/>
  <c r="J413" i="2"/>
  <c r="BF416" i="2"/>
  <c r="Z416" i="2" s="1"/>
  <c r="BF418" i="2"/>
  <c r="Z418" i="2" s="1"/>
  <c r="AV425" i="2"/>
  <c r="AT425" i="2" s="1"/>
  <c r="AV462" i="2"/>
  <c r="J511" i="2"/>
  <c r="AS13" i="2"/>
  <c r="BF61" i="2"/>
  <c r="Z61" i="2" s="1"/>
  <c r="I144" i="2"/>
  <c r="BF159" i="2"/>
  <c r="AB159" i="2" s="1"/>
  <c r="J178" i="2"/>
  <c r="BA197" i="2"/>
  <c r="AR200" i="2"/>
  <c r="AU219" i="2"/>
  <c r="I235" i="2"/>
  <c r="I255" i="2"/>
  <c r="BG258" i="2"/>
  <c r="AA258" i="2" s="1"/>
  <c r="J280" i="2"/>
  <c r="J293" i="2"/>
  <c r="BF303" i="2"/>
  <c r="Z303" i="2" s="1"/>
  <c r="AV310" i="2"/>
  <c r="J340" i="2"/>
  <c r="BF340" i="2"/>
  <c r="Z340" i="2" s="1"/>
  <c r="I344" i="2"/>
  <c r="BG366" i="2"/>
  <c r="AC366" i="2" s="1"/>
  <c r="AT370" i="2"/>
  <c r="AU378" i="2"/>
  <c r="AT378" i="2" s="1"/>
  <c r="AU392" i="2"/>
  <c r="BA392" i="2" s="1"/>
  <c r="J431" i="2"/>
  <c r="AV458" i="2"/>
  <c r="I461" i="2"/>
  <c r="AV476" i="2"/>
  <c r="AU489" i="2"/>
  <c r="I514" i="2"/>
  <c r="AU516" i="2"/>
  <c r="J521" i="2"/>
  <c r="AR520" i="2"/>
  <c r="I145" i="2"/>
  <c r="J182" i="2"/>
  <c r="J404" i="2"/>
  <c r="J408" i="2"/>
  <c r="AQ473" i="2"/>
  <c r="M89" i="2"/>
  <c r="F13" i="1" s="1"/>
  <c r="K13" i="2"/>
  <c r="E11" i="1" s="1"/>
  <c r="H11" i="1" s="1"/>
  <c r="M50" i="2"/>
  <c r="F12" i="1" s="1"/>
  <c r="AU75" i="2"/>
  <c r="J92" i="2"/>
  <c r="BG99" i="2"/>
  <c r="AC99" i="2" s="1"/>
  <c r="AU104" i="2"/>
  <c r="BA104" i="2" s="1"/>
  <c r="I112" i="2"/>
  <c r="I118" i="2"/>
  <c r="J137" i="2"/>
  <c r="BF140" i="2"/>
  <c r="AB140" i="2" s="1"/>
  <c r="BG152" i="2"/>
  <c r="AC152" i="2" s="1"/>
  <c r="BF173" i="2"/>
  <c r="I189" i="2"/>
  <c r="AV227" i="2"/>
  <c r="I247" i="2"/>
  <c r="BG247" i="2"/>
  <c r="AA247" i="2" s="1"/>
  <c r="AU267" i="2"/>
  <c r="BA267" i="2" s="1"/>
  <c r="I309" i="2"/>
  <c r="I310" i="2"/>
  <c r="J350" i="2"/>
  <c r="I353" i="2"/>
  <c r="I370" i="2"/>
  <c r="I378" i="2"/>
  <c r="BG378" i="2"/>
  <c r="AC378" i="2" s="1"/>
  <c r="AU388" i="2"/>
  <c r="BG392" i="2"/>
  <c r="AC392" i="2" s="1"/>
  <c r="BG404" i="2"/>
  <c r="AA404" i="2" s="1"/>
  <c r="AV411" i="2"/>
  <c r="AT411" i="2" s="1"/>
  <c r="K421" i="2"/>
  <c r="E27" i="1" s="1"/>
  <c r="H27" i="1" s="1"/>
  <c r="J440" i="2"/>
  <c r="J458" i="2"/>
  <c r="AU459" i="2"/>
  <c r="I489" i="2"/>
  <c r="AV491" i="2"/>
  <c r="I506" i="2"/>
  <c r="M13" i="2"/>
  <c r="F11" i="1" s="1"/>
  <c r="AQ89" i="2"/>
  <c r="BF51" i="2"/>
  <c r="Z51" i="2" s="1"/>
  <c r="BG104" i="2"/>
  <c r="AC104" i="2" s="1"/>
  <c r="AV143" i="2"/>
  <c r="J147" i="2"/>
  <c r="J195" i="2"/>
  <c r="J194" i="2" s="1"/>
  <c r="AT217" i="2"/>
  <c r="AU225" i="2"/>
  <c r="BA225" i="2" s="1"/>
  <c r="AR221" i="2"/>
  <c r="BG249" i="2"/>
  <c r="AA249" i="2" s="1"/>
  <c r="J330" i="2"/>
  <c r="AV330" i="2"/>
  <c r="BG338" i="2"/>
  <c r="AA338" i="2" s="1"/>
  <c r="AV342" i="2"/>
  <c r="M354" i="2"/>
  <c r="F24" i="1" s="1"/>
  <c r="AU374" i="2"/>
  <c r="BA374" i="2" s="1"/>
  <c r="AU390" i="2"/>
  <c r="BA390" i="2" s="1"/>
  <c r="K389" i="2"/>
  <c r="E25" i="1" s="1"/>
  <c r="H25" i="1" s="1"/>
  <c r="J398" i="2"/>
  <c r="AV400" i="2"/>
  <c r="AV429" i="2"/>
  <c r="BA429" i="2" s="1"/>
  <c r="I445" i="2"/>
  <c r="AV455" i="2"/>
  <c r="J459" i="2"/>
  <c r="AV460" i="2"/>
  <c r="I517" i="2"/>
  <c r="J522" i="2"/>
  <c r="I348" i="2"/>
  <c r="AU348" i="2"/>
  <c r="BA348" i="2" s="1"/>
  <c r="AU386" i="2"/>
  <c r="AT386" i="2" s="1"/>
  <c r="AU450" i="2"/>
  <c r="J467" i="2"/>
  <c r="AU483" i="2"/>
  <c r="AU504" i="2"/>
  <c r="I511" i="2"/>
  <c r="AV61" i="2"/>
  <c r="M98" i="2"/>
  <c r="F14" i="1" s="1"/>
  <c r="AR98" i="2"/>
  <c r="BG108" i="2"/>
  <c r="AC108" i="2" s="1"/>
  <c r="AV110" i="2"/>
  <c r="I114" i="2"/>
  <c r="I125" i="2"/>
  <c r="BG144" i="2"/>
  <c r="AC144" i="2" s="1"/>
  <c r="J148" i="2"/>
  <c r="BF150" i="2"/>
  <c r="AB150" i="2" s="1"/>
  <c r="BG178" i="2"/>
  <c r="AC178" i="2" s="1"/>
  <c r="BA193" i="2"/>
  <c r="AR194" i="2"/>
  <c r="I231" i="2"/>
  <c r="AT260" i="2"/>
  <c r="J277" i="2"/>
  <c r="BA308" i="2"/>
  <c r="J352" i="2"/>
  <c r="BA376" i="2"/>
  <c r="AU404" i="2"/>
  <c r="AT404" i="2" s="1"/>
  <c r="J455" i="2"/>
  <c r="J460" i="2"/>
  <c r="J14" i="2"/>
  <c r="AU26" i="2"/>
  <c r="AT26" i="2" s="1"/>
  <c r="I90" i="2"/>
  <c r="AT92" i="2"/>
  <c r="AT99" i="2"/>
  <c r="I108" i="2"/>
  <c r="I98" i="2" s="1"/>
  <c r="AU145" i="2"/>
  <c r="J149" i="2"/>
  <c r="AU171" i="2"/>
  <c r="BG182" i="2"/>
  <c r="AC182" i="2" s="1"/>
  <c r="AU189" i="2"/>
  <c r="AQ200" i="2"/>
  <c r="J225" i="2"/>
  <c r="BG225" i="2"/>
  <c r="AA225" i="2" s="1"/>
  <c r="AU310" i="2"/>
  <c r="BA310" i="2" s="1"/>
  <c r="I340" i="2"/>
  <c r="BF344" i="2"/>
  <c r="Z344" i="2" s="1"/>
  <c r="BG352" i="2"/>
  <c r="J366" i="2"/>
  <c r="I386" i="2"/>
  <c r="J396" i="2"/>
  <c r="J400" i="2"/>
  <c r="AV408" i="2"/>
  <c r="AU440" i="2"/>
  <c r="J470" i="2"/>
  <c r="AU476" i="2"/>
  <c r="BA476" i="2" s="1"/>
  <c r="AR473" i="2"/>
  <c r="I483" i="2"/>
  <c r="AU496" i="2"/>
  <c r="I504" i="2"/>
  <c r="I521" i="2"/>
  <c r="AQ520" i="2"/>
  <c r="BF86" i="2"/>
  <c r="Z86" i="2" s="1"/>
  <c r="BD90" i="2"/>
  <c r="I97" i="2"/>
  <c r="AJ99" i="2"/>
  <c r="AU110" i="2"/>
  <c r="BG116" i="2"/>
  <c r="AC116" i="2" s="1"/>
  <c r="AT118" i="2"/>
  <c r="BG138" i="2"/>
  <c r="AC138" i="2" s="1"/>
  <c r="AU141" i="2"/>
  <c r="AU143" i="2"/>
  <c r="J146" i="2"/>
  <c r="BF146" i="2"/>
  <c r="AB146" i="2" s="1"/>
  <c r="J157" i="2"/>
  <c r="BG157" i="2"/>
  <c r="AC157" i="2" s="1"/>
  <c r="BF14" i="2"/>
  <c r="Z14" i="2" s="1"/>
  <c r="BG86" i="2"/>
  <c r="AA86" i="2" s="1"/>
  <c r="I149" i="2"/>
  <c r="I153" i="2"/>
  <c r="AU153" i="2"/>
  <c r="BA153" i="2" s="1"/>
  <c r="AU157" i="2"/>
  <c r="AJ173" i="2"/>
  <c r="BF181" i="2"/>
  <c r="AB181" i="2" s="1"/>
  <c r="I181" i="2"/>
  <c r="AU181" i="2"/>
  <c r="BD61" i="2"/>
  <c r="AQ13" i="2"/>
  <c r="BG14" i="2"/>
  <c r="AA14" i="2" s="1"/>
  <c r="I38" i="2"/>
  <c r="BF38" i="2"/>
  <c r="Z38" i="2" s="1"/>
  <c r="AJ51" i="2"/>
  <c r="AS50" i="2" s="1"/>
  <c r="AV63" i="2"/>
  <c r="BF65" i="2"/>
  <c r="Z65" i="2" s="1"/>
  <c r="AJ90" i="2"/>
  <c r="J96" i="2"/>
  <c r="J104" i="2"/>
  <c r="J110" i="2"/>
  <c r="BF139" i="2"/>
  <c r="AB139" i="2" s="1"/>
  <c r="J141" i="2"/>
  <c r="J143" i="2"/>
  <c r="AV147" i="2"/>
  <c r="AT147" i="2" s="1"/>
  <c r="I157" i="2"/>
  <c r="AJ61" i="2"/>
  <c r="AU63" i="2"/>
  <c r="BG38" i="2"/>
  <c r="AA38" i="2" s="1"/>
  <c r="I63" i="2"/>
  <c r="BG65" i="2"/>
  <c r="AA65" i="2" s="1"/>
  <c r="I91" i="2"/>
  <c r="I94" i="2"/>
  <c r="AU94" i="2"/>
  <c r="AV96" i="2"/>
  <c r="AT96" i="2" s="1"/>
  <c r="BA99" i="2"/>
  <c r="J123" i="2"/>
  <c r="I139" i="2"/>
  <c r="J145" i="2"/>
  <c r="AV145" i="2"/>
  <c r="BA145" i="2" s="1"/>
  <c r="BF149" i="2"/>
  <c r="AB149" i="2" s="1"/>
  <c r="BF151" i="2"/>
  <c r="AB151" i="2" s="1"/>
  <c r="AV171" i="2"/>
  <c r="BA171" i="2" s="1"/>
  <c r="BG171" i="2"/>
  <c r="AC171" i="2" s="1"/>
  <c r="J171" i="2"/>
  <c r="BD195" i="2"/>
  <c r="M194" i="2"/>
  <c r="F17" i="1" s="1"/>
  <c r="AJ176" i="2"/>
  <c r="BA309" i="2"/>
  <c r="AT309" i="2"/>
  <c r="AV90" i="2"/>
  <c r="BA90" i="2" s="1"/>
  <c r="BF99" i="2"/>
  <c r="AB99" i="2" s="1"/>
  <c r="BF108" i="2"/>
  <c r="AB108" i="2" s="1"/>
  <c r="K113" i="2"/>
  <c r="E15" i="1" s="1"/>
  <c r="H15" i="1" s="1"/>
  <c r="AQ113" i="2"/>
  <c r="BF142" i="2"/>
  <c r="AB142" i="2" s="1"/>
  <c r="AV150" i="2"/>
  <c r="AT150" i="2" s="1"/>
  <c r="I120" i="2"/>
  <c r="AU120" i="2"/>
  <c r="AV125" i="2"/>
  <c r="AT125" i="2" s="1"/>
  <c r="I138" i="2"/>
  <c r="J140" i="2"/>
  <c r="J144" i="2"/>
  <c r="BG148" i="2"/>
  <c r="AC148" i="2" s="1"/>
  <c r="J150" i="2"/>
  <c r="AQ174" i="2"/>
  <c r="BG180" i="2"/>
  <c r="AC180" i="2" s="1"/>
  <c r="BG217" i="2"/>
  <c r="AA217" i="2" s="1"/>
  <c r="BA224" i="2"/>
  <c r="AJ231" i="2"/>
  <c r="J233" i="2"/>
  <c r="AU258" i="2"/>
  <c r="I273" i="2"/>
  <c r="AT280" i="2"/>
  <c r="AU330" i="2"/>
  <c r="I332" i="2"/>
  <c r="AU332" i="2"/>
  <c r="AT332" i="2" s="1"/>
  <c r="BG347" i="2"/>
  <c r="AQ346" i="2"/>
  <c r="J355" i="2"/>
  <c r="I372" i="2"/>
  <c r="I380" i="2"/>
  <c r="AU380" i="2"/>
  <c r="AU384" i="2"/>
  <c r="AT384" i="2" s="1"/>
  <c r="BG386" i="2"/>
  <c r="AC386" i="2" s="1"/>
  <c r="AQ389" i="2"/>
  <c r="AV406" i="2"/>
  <c r="BF425" i="2"/>
  <c r="Z425" i="2" s="1"/>
  <c r="BF429" i="2"/>
  <c r="Z429" i="2" s="1"/>
  <c r="J432" i="2"/>
  <c r="I437" i="2"/>
  <c r="AU437" i="2"/>
  <c r="M436" i="2"/>
  <c r="F29" i="1" s="1"/>
  <c r="I456" i="2"/>
  <c r="I464" i="2"/>
  <c r="AU464" i="2"/>
  <c r="M463" i="2"/>
  <c r="F31" i="1" s="1"/>
  <c r="I481" i="2"/>
  <c r="J489" i="2"/>
  <c r="M493" i="2"/>
  <c r="F33" i="1" s="1"/>
  <c r="J496" i="2"/>
  <c r="J504" i="2"/>
  <c r="J516" i="2"/>
  <c r="I175" i="2"/>
  <c r="BG175" i="2"/>
  <c r="AC175" i="2" s="1"/>
  <c r="I177" i="2"/>
  <c r="AU195" i="2"/>
  <c r="BA195" i="2" s="1"/>
  <c r="I201" i="2"/>
  <c r="I222" i="2"/>
  <c r="AU235" i="2"/>
  <c r="J251" i="2"/>
  <c r="BF251" i="2"/>
  <c r="Z251" i="2" s="1"/>
  <c r="J273" i="2"/>
  <c r="BF273" i="2"/>
  <c r="Z273" i="2" s="1"/>
  <c r="I303" i="2"/>
  <c r="BG305" i="2"/>
  <c r="AA305" i="2" s="1"/>
  <c r="J308" i="2"/>
  <c r="BF309" i="2"/>
  <c r="Z309" i="2" s="1"/>
  <c r="I312" i="2"/>
  <c r="AU317" i="2"/>
  <c r="BA317" i="2" s="1"/>
  <c r="AJ334" i="2"/>
  <c r="J342" i="2"/>
  <c r="AU342" i="2"/>
  <c r="AT342" i="2" s="1"/>
  <c r="K346" i="2"/>
  <c r="E23" i="1" s="1"/>
  <c r="H23" i="1" s="1"/>
  <c r="AJ347" i="2"/>
  <c r="AR346" i="2"/>
  <c r="I350" i="2"/>
  <c r="AU350" i="2"/>
  <c r="AU353" i="2"/>
  <c r="BA353" i="2" s="1"/>
  <c r="AQ354" i="2"/>
  <c r="I376" i="2"/>
  <c r="J380" i="2"/>
  <c r="AJ388" i="2"/>
  <c r="BG388" i="2"/>
  <c r="AR389" i="2"/>
  <c r="BG390" i="2"/>
  <c r="AC390" i="2" s="1"/>
  <c r="I394" i="2"/>
  <c r="AU394" i="2"/>
  <c r="AT394" i="2" s="1"/>
  <c r="BG396" i="2"/>
  <c r="AC396" i="2" s="1"/>
  <c r="AV402" i="2"/>
  <c r="AT402" i="2" s="1"/>
  <c r="AJ404" i="2"/>
  <c r="J406" i="2"/>
  <c r="AJ413" i="2"/>
  <c r="AV415" i="2"/>
  <c r="AQ421" i="2"/>
  <c r="AV423" i="2"/>
  <c r="J437" i="2"/>
  <c r="I442" i="2"/>
  <c r="AU442" i="2"/>
  <c r="J456" i="2"/>
  <c r="AU456" i="2"/>
  <c r="J464" i="2"/>
  <c r="J463" i="2" s="1"/>
  <c r="I474" i="2"/>
  <c r="AU474" i="2"/>
  <c r="M473" i="2"/>
  <c r="F32" i="1" s="1"/>
  <c r="AU485" i="2"/>
  <c r="I492" i="2"/>
  <c r="AU494" i="2"/>
  <c r="AU502" i="2"/>
  <c r="I509" i="2"/>
  <c r="AU509" i="2"/>
  <c r="J222" i="2"/>
  <c r="BG239" i="2"/>
  <c r="I258" i="2"/>
  <c r="BA338" i="2"/>
  <c r="M346" i="2"/>
  <c r="F23" i="1" s="1"/>
  <c r="AR354" i="2"/>
  <c r="I368" i="2"/>
  <c r="I384" i="2"/>
  <c r="BG398" i="2"/>
  <c r="I402" i="2"/>
  <c r="BF411" i="2"/>
  <c r="Z411" i="2" s="1"/>
  <c r="AV431" i="2"/>
  <c r="BA431" i="2" s="1"/>
  <c r="J442" i="2"/>
  <c r="I448" i="2"/>
  <c r="AU448" i="2"/>
  <c r="I455" i="2"/>
  <c r="J461" i="2"/>
  <c r="AU461" i="2"/>
  <c r="I470" i="2"/>
  <c r="AU470" i="2"/>
  <c r="J474" i="2"/>
  <c r="I485" i="2"/>
  <c r="AV485" i="2"/>
  <c r="J492" i="2"/>
  <c r="AU492" i="2"/>
  <c r="I494" i="2"/>
  <c r="AV494" i="2"/>
  <c r="I502" i="2"/>
  <c r="AV502" i="2"/>
  <c r="J509" i="2"/>
  <c r="BG308" i="2"/>
  <c r="AA308" i="2" s="1"/>
  <c r="K354" i="2"/>
  <c r="E24" i="1" s="1"/>
  <c r="H24" i="1" s="1"/>
  <c r="BG380" i="2"/>
  <c r="AC380" i="2" s="1"/>
  <c r="AJ398" i="2"/>
  <c r="J402" i="2"/>
  <c r="AV405" i="2"/>
  <c r="BG419" i="2"/>
  <c r="AA419" i="2" s="1"/>
  <c r="BF427" i="2"/>
  <c r="Z427" i="2" s="1"/>
  <c r="BF434" i="2"/>
  <c r="AU455" i="2"/>
  <c r="AJ458" i="2"/>
  <c r="I460" i="2"/>
  <c r="AU460" i="2"/>
  <c r="I478" i="2"/>
  <c r="AU478" i="2"/>
  <c r="J485" i="2"/>
  <c r="AU491" i="2"/>
  <c r="J494" i="2"/>
  <c r="AR493" i="2"/>
  <c r="J502" i="2"/>
  <c r="AU506" i="2"/>
  <c r="K520" i="2"/>
  <c r="AV522" i="2"/>
  <c r="AT522" i="2" s="1"/>
  <c r="K221" i="2"/>
  <c r="AQ221" i="2"/>
  <c r="AU249" i="2"/>
  <c r="BA249" i="2" s="1"/>
  <c r="K399" i="2"/>
  <c r="E26" i="1" s="1"/>
  <c r="H26" i="1" s="1"/>
  <c r="AR463" i="2"/>
  <c r="AQ499" i="2"/>
  <c r="BA213" i="2"/>
  <c r="M221" i="2"/>
  <c r="F20" i="1" s="1"/>
  <c r="K240" i="2"/>
  <c r="E21" i="1" s="1"/>
  <c r="H21" i="1" s="1"/>
  <c r="BA251" i="2"/>
  <c r="AV277" i="2"/>
  <c r="AJ280" i="2"/>
  <c r="I293" i="2"/>
  <c r="AU293" i="2"/>
  <c r="J310" i="2"/>
  <c r="AU315" i="2"/>
  <c r="AR331" i="2"/>
  <c r="I334" i="2"/>
  <c r="AU347" i="2"/>
  <c r="BA386" i="2"/>
  <c r="BD392" i="2"/>
  <c r="AV418" i="2"/>
  <c r="BA418" i="2" s="1"/>
  <c r="AR421" i="2"/>
  <c r="AV440" i="2"/>
  <c r="BA440" i="2" s="1"/>
  <c r="AU445" i="2"/>
  <c r="I459" i="2"/>
  <c r="I467" i="2"/>
  <c r="AV467" i="2"/>
  <c r="AT467" i="2" s="1"/>
  <c r="J491" i="2"/>
  <c r="J498" i="2"/>
  <c r="AV498" i="2"/>
  <c r="I500" i="2"/>
  <c r="AU500" i="2"/>
  <c r="M499" i="2"/>
  <c r="F34" i="1" s="1"/>
  <c r="J506" i="2"/>
  <c r="AU511" i="2"/>
  <c r="M399" i="2"/>
  <c r="F26" i="1" s="1"/>
  <c r="I171" i="2"/>
  <c r="I179" i="2"/>
  <c r="BA182" i="2"/>
  <c r="AU201" i="2"/>
  <c r="AT213" i="2"/>
  <c r="J217" i="2"/>
  <c r="AV222" i="2"/>
  <c r="BA222" i="2" s="1"/>
  <c r="AT258" i="2"/>
  <c r="J305" i="2"/>
  <c r="J309" i="2"/>
  <c r="K331" i="2"/>
  <c r="E22" i="1" s="1"/>
  <c r="H22" i="1" s="1"/>
  <c r="BA340" i="2"/>
  <c r="AJ352" i="2"/>
  <c r="AS346" i="2" s="1"/>
  <c r="AU368" i="2"/>
  <c r="AT368" i="2" s="1"/>
  <c r="AU372" i="2"/>
  <c r="BA372" i="2" s="1"/>
  <c r="J390" i="2"/>
  <c r="J418" i="2"/>
  <c r="M421" i="2"/>
  <c r="F27" i="1" s="1"/>
  <c r="J429" i="2"/>
  <c r="AV432" i="2"/>
  <c r="K436" i="2"/>
  <c r="E29" i="1" s="1"/>
  <c r="H29" i="1" s="1"/>
  <c r="J445" i="2"/>
  <c r="I450" i="2"/>
  <c r="AJ455" i="2"/>
  <c r="AU458" i="2"/>
  <c r="I462" i="2"/>
  <c r="AU462" i="2"/>
  <c r="I472" i="2"/>
  <c r="AU472" i="2"/>
  <c r="AU481" i="2"/>
  <c r="K493" i="2"/>
  <c r="E33" i="1" s="1"/>
  <c r="H33" i="1" s="1"/>
  <c r="AV516" i="2"/>
  <c r="AT86" i="2"/>
  <c r="BA86" i="2"/>
  <c r="AT38" i="2"/>
  <c r="BA38" i="2"/>
  <c r="K98" i="2"/>
  <c r="E14" i="1" s="1"/>
  <c r="H14" i="1" s="1"/>
  <c r="AJ104" i="2"/>
  <c r="AT138" i="2"/>
  <c r="BA138" i="2"/>
  <c r="AT140" i="2"/>
  <c r="BA140" i="2"/>
  <c r="AT148" i="2"/>
  <c r="BA148" i="2"/>
  <c r="BA150" i="2"/>
  <c r="BD26" i="2"/>
  <c r="I92" i="2"/>
  <c r="BD99" i="2"/>
  <c r="AT108" i="2"/>
  <c r="BA108" i="2"/>
  <c r="M113" i="2"/>
  <c r="F15" i="1" s="1"/>
  <c r="BD114" i="2"/>
  <c r="AV120" i="2"/>
  <c r="BA120" i="2" s="1"/>
  <c r="BG120" i="2"/>
  <c r="AC120" i="2" s="1"/>
  <c r="BA92" i="2"/>
  <c r="J94" i="2"/>
  <c r="J95" i="2"/>
  <c r="AU91" i="2"/>
  <c r="AV91" i="2"/>
  <c r="K89" i="2"/>
  <c r="E13" i="1" s="1"/>
  <c r="H13" i="1" s="1"/>
  <c r="J97" i="2"/>
  <c r="AJ110" i="2"/>
  <c r="BA114" i="2"/>
  <c r="AT114" i="2"/>
  <c r="AR50" i="2"/>
  <c r="AV94" i="2"/>
  <c r="BF95" i="2"/>
  <c r="AU97" i="2"/>
  <c r="AT151" i="2"/>
  <c r="AT14" i="2"/>
  <c r="BA14" i="2"/>
  <c r="J38" i="2"/>
  <c r="I86" i="2"/>
  <c r="BF90" i="2"/>
  <c r="BF92" i="2"/>
  <c r="BG95" i="2"/>
  <c r="BA147" i="2"/>
  <c r="BG51" i="2"/>
  <c r="AA51" i="2" s="1"/>
  <c r="BA118" i="2"/>
  <c r="I14" i="2"/>
  <c r="BA51" i="2"/>
  <c r="AT65" i="2"/>
  <c r="J86" i="2"/>
  <c r="BG92" i="2"/>
  <c r="AJ95" i="2"/>
  <c r="AS89" i="2" s="1"/>
  <c r="AT142" i="2"/>
  <c r="BA142" i="2"/>
  <c r="BA95" i="2"/>
  <c r="AU116" i="2"/>
  <c r="BF116" i="2"/>
  <c r="AB116" i="2" s="1"/>
  <c r="AT152" i="2"/>
  <c r="BA152" i="2"/>
  <c r="BF118" i="2"/>
  <c r="AB118" i="2" s="1"/>
  <c r="BG123" i="2"/>
  <c r="AC123" i="2" s="1"/>
  <c r="AV141" i="2"/>
  <c r="I178" i="2"/>
  <c r="AU112" i="2"/>
  <c r="BF114" i="2"/>
  <c r="AB114" i="2" s="1"/>
  <c r="BG118" i="2"/>
  <c r="AC118" i="2" s="1"/>
  <c r="AU137" i="2"/>
  <c r="BF138" i="2"/>
  <c r="AB138" i="2" s="1"/>
  <c r="AV139" i="2"/>
  <c r="AT139" i="2" s="1"/>
  <c r="BG140" i="2"/>
  <c r="AC140" i="2" s="1"/>
  <c r="AU144" i="2"/>
  <c r="AV146" i="2"/>
  <c r="AT146" i="2" s="1"/>
  <c r="BF147" i="2"/>
  <c r="AB147" i="2" s="1"/>
  <c r="BD179" i="2"/>
  <c r="M174" i="2"/>
  <c r="F16" i="1" s="1"/>
  <c r="J90" i="2"/>
  <c r="AU123" i="2"/>
  <c r="AV137" i="2"/>
  <c r="AJ143" i="2"/>
  <c r="I150" i="2"/>
  <c r="I151" i="2"/>
  <c r="AV155" i="2"/>
  <c r="BG155" i="2"/>
  <c r="AC155" i="2" s="1"/>
  <c r="J177" i="2"/>
  <c r="BG177" i="2"/>
  <c r="AC177" i="2" s="1"/>
  <c r="AV177" i="2"/>
  <c r="AT177" i="2" s="1"/>
  <c r="BF26" i="2"/>
  <c r="Z26" i="2" s="1"/>
  <c r="J65" i="2"/>
  <c r="K50" i="2"/>
  <c r="AR89" i="2"/>
  <c r="AR113" i="2"/>
  <c r="I152" i="2"/>
  <c r="AV157" i="2"/>
  <c r="BF178" i="2"/>
  <c r="AB178" i="2" s="1"/>
  <c r="J99" i="2"/>
  <c r="AT145" i="2"/>
  <c r="BF148" i="2"/>
  <c r="AB148" i="2" s="1"/>
  <c r="AV149" i="2"/>
  <c r="AT149" i="2" s="1"/>
  <c r="J153" i="2"/>
  <c r="J155" i="2"/>
  <c r="AV173" i="2"/>
  <c r="BA173" i="2" s="1"/>
  <c r="BG173" i="2"/>
  <c r="AJ177" i="2"/>
  <c r="K174" i="2"/>
  <c r="E16" i="1" s="1"/>
  <c r="H16" i="1" s="1"/>
  <c r="AV159" i="2"/>
  <c r="BG159" i="2"/>
  <c r="AC159" i="2" s="1"/>
  <c r="J173" i="2"/>
  <c r="AR174" i="2"/>
  <c r="BA178" i="2"/>
  <c r="AT178" i="2"/>
  <c r="AJ195" i="2"/>
  <c r="AJ219" i="2"/>
  <c r="BD224" i="2"/>
  <c r="J152" i="2"/>
  <c r="AJ159" i="2"/>
  <c r="I193" i="2"/>
  <c r="AT193" i="2"/>
  <c r="BF197" i="2"/>
  <c r="AB197" i="2" s="1"/>
  <c r="I213" i="2"/>
  <c r="J215" i="2"/>
  <c r="AV215" i="2"/>
  <c r="AJ217" i="2"/>
  <c r="BF222" i="2"/>
  <c r="Z222" i="2" s="1"/>
  <c r="BF224" i="2"/>
  <c r="Z224" i="2" s="1"/>
  <c r="AU229" i="2"/>
  <c r="J231" i="2"/>
  <c r="BG233" i="2"/>
  <c r="AA233" i="2" s="1"/>
  <c r="AV238" i="2"/>
  <c r="J238" i="2"/>
  <c r="BD241" i="2"/>
  <c r="M240" i="2"/>
  <c r="F21" i="1" s="1"/>
  <c r="AR240" i="2"/>
  <c r="J175" i="2"/>
  <c r="I180" i="2"/>
  <c r="I182" i="2"/>
  <c r="AT182" i="2"/>
  <c r="J193" i="2"/>
  <c r="K194" i="2"/>
  <c r="E17" i="1" s="1"/>
  <c r="H17" i="1" s="1"/>
  <c r="BG197" i="2"/>
  <c r="AC197" i="2" s="1"/>
  <c r="J213" i="2"/>
  <c r="AJ215" i="2"/>
  <c r="BF217" i="2"/>
  <c r="Z217" i="2" s="1"/>
  <c r="BG224" i="2"/>
  <c r="AA224" i="2" s="1"/>
  <c r="I229" i="2"/>
  <c r="J235" i="2"/>
  <c r="AV235" i="2"/>
  <c r="BA235" i="2" s="1"/>
  <c r="J179" i="2"/>
  <c r="AT180" i="2"/>
  <c r="J189" i="2"/>
  <c r="AV189" i="2"/>
  <c r="AJ193" i="2"/>
  <c r="J201" i="2"/>
  <c r="AV201" i="2"/>
  <c r="AJ213" i="2"/>
  <c r="AT224" i="2"/>
  <c r="J229" i="2"/>
  <c r="AU239" i="2"/>
  <c r="I239" i="2"/>
  <c r="AV179" i="2"/>
  <c r="BA179" i="2" s="1"/>
  <c r="J181" i="2"/>
  <c r="AV181" i="2"/>
  <c r="AJ182" i="2"/>
  <c r="AJ189" i="2"/>
  <c r="AJ201" i="2"/>
  <c r="BF213" i="2"/>
  <c r="Z213" i="2" s="1"/>
  <c r="AU236" i="2"/>
  <c r="I236" i="2"/>
  <c r="AJ181" i="2"/>
  <c r="BF193" i="2"/>
  <c r="I197" i="2"/>
  <c r="I194" i="2" s="1"/>
  <c r="AT197" i="2"/>
  <c r="BG213" i="2"/>
  <c r="AA213" i="2" s="1"/>
  <c r="I224" i="2"/>
  <c r="BG229" i="2"/>
  <c r="AA229" i="2" s="1"/>
  <c r="AU233" i="2"/>
  <c r="BF233" i="2"/>
  <c r="Z233" i="2" s="1"/>
  <c r="AJ235" i="2"/>
  <c r="BF182" i="2"/>
  <c r="AB182" i="2" s="1"/>
  <c r="BG193" i="2"/>
  <c r="K200" i="2"/>
  <c r="E18" i="1" s="1"/>
  <c r="H18" i="1" s="1"/>
  <c r="BF180" i="2"/>
  <c r="AB180" i="2" s="1"/>
  <c r="AJ197" i="2"/>
  <c r="M200" i="2"/>
  <c r="F18" i="1" s="1"/>
  <c r="BF239" i="2"/>
  <c r="BA247" i="2"/>
  <c r="BA303" i="2"/>
  <c r="AT303" i="2"/>
  <c r="J241" i="2"/>
  <c r="J247" i="2"/>
  <c r="AT247" i="2"/>
  <c r="I251" i="2"/>
  <c r="AT255" i="2"/>
  <c r="J258" i="2"/>
  <c r="BA258" i="2"/>
  <c r="BA260" i="2"/>
  <c r="AV267" i="2"/>
  <c r="BG303" i="2"/>
  <c r="AA303" i="2" s="1"/>
  <c r="AU227" i="2"/>
  <c r="AU231" i="2"/>
  <c r="J239" i="2"/>
  <c r="AV241" i="2"/>
  <c r="J249" i="2"/>
  <c r="AT251" i="2"/>
  <c r="J253" i="2"/>
  <c r="BF280" i="2"/>
  <c r="Z280" i="2" s="1"/>
  <c r="AV312" i="2"/>
  <c r="BA312" i="2" s="1"/>
  <c r="BG312" i="2"/>
  <c r="AA312" i="2" s="1"/>
  <c r="J315" i="2"/>
  <c r="AV315" i="2"/>
  <c r="BG317" i="2"/>
  <c r="AA317" i="2" s="1"/>
  <c r="BG334" i="2"/>
  <c r="AA334" i="2" s="1"/>
  <c r="AV344" i="2"/>
  <c r="BA344" i="2" s="1"/>
  <c r="BG344" i="2"/>
  <c r="AA344" i="2" s="1"/>
  <c r="AT350" i="2"/>
  <c r="BA350" i="2"/>
  <c r="AV253" i="2"/>
  <c r="AT253" i="2" s="1"/>
  <c r="BG267" i="2"/>
  <c r="AA267" i="2" s="1"/>
  <c r="AU336" i="2"/>
  <c r="BF336" i="2"/>
  <c r="Z336" i="2" s="1"/>
  <c r="BF260" i="2"/>
  <c r="Z260" i="2" s="1"/>
  <c r="AJ273" i="2"/>
  <c r="AJ338" i="2"/>
  <c r="AS331" i="2" s="1"/>
  <c r="AJ236" i="2"/>
  <c r="BG236" i="2"/>
  <c r="BF247" i="2"/>
  <c r="Z247" i="2" s="1"/>
  <c r="BF255" i="2"/>
  <c r="Z255" i="2" s="1"/>
  <c r="AJ260" i="2"/>
  <c r="I280" i="2"/>
  <c r="I336" i="2"/>
  <c r="AV351" i="2"/>
  <c r="BG351" i="2"/>
  <c r="AJ239" i="2"/>
  <c r="AJ251" i="2"/>
  <c r="I260" i="2"/>
  <c r="AT273" i="2"/>
  <c r="AV293" i="2"/>
  <c r="AT293" i="2" s="1"/>
  <c r="AJ308" i="2"/>
  <c r="AJ309" i="2"/>
  <c r="AJ310" i="2"/>
  <c r="J317" i="2"/>
  <c r="AT317" i="2"/>
  <c r="J334" i="2"/>
  <c r="AQ331" i="2"/>
  <c r="J372" i="2"/>
  <c r="BG384" i="2"/>
  <c r="AC384" i="2" s="1"/>
  <c r="I400" i="2"/>
  <c r="BG251" i="2"/>
  <c r="AA251" i="2" s="1"/>
  <c r="BG255" i="2"/>
  <c r="AA255" i="2" s="1"/>
  <c r="BG260" i="2"/>
  <c r="AA260" i="2" s="1"/>
  <c r="BG273" i="2"/>
  <c r="AA273" i="2" s="1"/>
  <c r="BG280" i="2"/>
  <c r="AA280" i="2" s="1"/>
  <c r="BG348" i="2"/>
  <c r="BG353" i="2"/>
  <c r="AJ355" i="2"/>
  <c r="BG355" i="2"/>
  <c r="AC355" i="2" s="1"/>
  <c r="J374" i="2"/>
  <c r="J376" i="2"/>
  <c r="AT376" i="2"/>
  <c r="AJ392" i="2"/>
  <c r="BG394" i="2"/>
  <c r="AC394" i="2" s="1"/>
  <c r="AJ396" i="2"/>
  <c r="AU400" i="2"/>
  <c r="BF402" i="2"/>
  <c r="Z402" i="2" s="1"/>
  <c r="BG427" i="2"/>
  <c r="AA427" i="2" s="1"/>
  <c r="AV427" i="2"/>
  <c r="AT427" i="2" s="1"/>
  <c r="J427" i="2"/>
  <c r="BG409" i="2"/>
  <c r="AA409" i="2" s="1"/>
  <c r="AV409" i="2"/>
  <c r="AT409" i="2" s="1"/>
  <c r="J409" i="2"/>
  <c r="BG309" i="2"/>
  <c r="AA309" i="2" s="1"/>
  <c r="M331" i="2"/>
  <c r="F22" i="1" s="1"/>
  <c r="BG350" i="2"/>
  <c r="AJ368" i="2"/>
  <c r="BG368" i="2"/>
  <c r="AC368" i="2" s="1"/>
  <c r="BA378" i="2"/>
  <c r="J382" i="2"/>
  <c r="AT382" i="2"/>
  <c r="J384" i="2"/>
  <c r="AQ399" i="2"/>
  <c r="BG332" i="2"/>
  <c r="AA332" i="2" s="1"/>
  <c r="AT355" i="2"/>
  <c r="BG370" i="2"/>
  <c r="AC370" i="2" s="1"/>
  <c r="AT392" i="2"/>
  <c r="AU422" i="2"/>
  <c r="I422" i="2"/>
  <c r="BF422" i="2"/>
  <c r="Z422" i="2" s="1"/>
  <c r="BA425" i="2"/>
  <c r="BG372" i="2"/>
  <c r="AC372" i="2" s="1"/>
  <c r="BG374" i="2"/>
  <c r="AC374" i="2" s="1"/>
  <c r="AT429" i="2"/>
  <c r="J368" i="2"/>
  <c r="BG376" i="2"/>
  <c r="AC376" i="2" s="1"/>
  <c r="BA394" i="2"/>
  <c r="AU406" i="2"/>
  <c r="BF406" i="2"/>
  <c r="Z406" i="2" s="1"/>
  <c r="I406" i="2"/>
  <c r="BG382" i="2"/>
  <c r="AC382" i="2" s="1"/>
  <c r="AU423" i="2"/>
  <c r="BF423" i="2"/>
  <c r="Z423" i="2" s="1"/>
  <c r="I423" i="2"/>
  <c r="AT413" i="2"/>
  <c r="BA413" i="2"/>
  <c r="I416" i="2"/>
  <c r="I418" i="2"/>
  <c r="J419" i="2"/>
  <c r="AT431" i="2"/>
  <c r="I434" i="2"/>
  <c r="AJ462" i="2"/>
  <c r="I413" i="2"/>
  <c r="I415" i="2"/>
  <c r="AU415" i="2"/>
  <c r="J416" i="2"/>
  <c r="AV416" i="2"/>
  <c r="AT416" i="2" s="1"/>
  <c r="AS421" i="2"/>
  <c r="I431" i="2"/>
  <c r="I432" i="2"/>
  <c r="AU432" i="2"/>
  <c r="J434" i="2"/>
  <c r="AV434" i="2"/>
  <c r="BA434" i="2" s="1"/>
  <c r="AT445" i="2"/>
  <c r="AT450" i="2"/>
  <c r="K454" i="2"/>
  <c r="E30" i="1" s="1"/>
  <c r="H30" i="1" s="1"/>
  <c r="BA522" i="2"/>
  <c r="BF419" i="2"/>
  <c r="Z419" i="2" s="1"/>
  <c r="I425" i="2"/>
  <c r="M454" i="2"/>
  <c r="AR454" i="2"/>
  <c r="AJ460" i="2"/>
  <c r="AJ402" i="2"/>
  <c r="AS399" i="2" s="1"/>
  <c r="BF413" i="2"/>
  <c r="Z413" i="2" s="1"/>
  <c r="BF431" i="2"/>
  <c r="Z431" i="2" s="1"/>
  <c r="BD440" i="2"/>
  <c r="AT419" i="2"/>
  <c r="BA419" i="2"/>
  <c r="AJ440" i="2"/>
  <c r="AS436" i="2" s="1"/>
  <c r="I419" i="2"/>
  <c r="AJ467" i="2"/>
  <c r="K463" i="2"/>
  <c r="E31" i="1" s="1"/>
  <c r="H31" i="1" s="1"/>
  <c r="K473" i="2"/>
  <c r="E32" i="1" s="1"/>
  <c r="H32" i="1" s="1"/>
  <c r="K499" i="2"/>
  <c r="E34" i="1" s="1"/>
  <c r="H34" i="1" s="1"/>
  <c r="M520" i="2"/>
  <c r="AV521" i="2"/>
  <c r="AT521" i="2" s="1"/>
  <c r="AJ472" i="2"/>
  <c r="AJ476" i="2"/>
  <c r="AJ481" i="2"/>
  <c r="AJ485" i="2"/>
  <c r="AJ491" i="2"/>
  <c r="AJ494" i="2"/>
  <c r="AJ498" i="2"/>
  <c r="AJ502" i="2"/>
  <c r="AJ506" i="2"/>
  <c r="AJ511" i="2"/>
  <c r="AU514" i="2"/>
  <c r="AJ516" i="2"/>
  <c r="AU517" i="2"/>
  <c r="BF522" i="2"/>
  <c r="AV437" i="2"/>
  <c r="AV442" i="2"/>
  <c r="AV448" i="2"/>
  <c r="AV453" i="2"/>
  <c r="AT453" i="2" s="1"/>
  <c r="AV456" i="2"/>
  <c r="AV459" i="2"/>
  <c r="AV461" i="2"/>
  <c r="AV464" i="2"/>
  <c r="AV470" i="2"/>
  <c r="AV474" i="2"/>
  <c r="BA474" i="2" s="1"/>
  <c r="AV478" i="2"/>
  <c r="AT478" i="2" s="1"/>
  <c r="AV483" i="2"/>
  <c r="AV489" i="2"/>
  <c r="AV492" i="2"/>
  <c r="AV496" i="2"/>
  <c r="BA496" i="2" s="1"/>
  <c r="AV500" i="2"/>
  <c r="BA500" i="2" s="1"/>
  <c r="AV504" i="2"/>
  <c r="AV509" i="2"/>
  <c r="AV514" i="2"/>
  <c r="AV517" i="2"/>
  <c r="AJ521" i="2"/>
  <c r="AS520" i="2" s="1"/>
  <c r="BF521" i="2"/>
  <c r="AT509" i="2" l="1"/>
  <c r="I493" i="2"/>
  <c r="BA483" i="2"/>
  <c r="AT459" i="2"/>
  <c r="BA450" i="2"/>
  <c r="BA448" i="2"/>
  <c r="BA445" i="2"/>
  <c r="BA442" i="2"/>
  <c r="BA416" i="2"/>
  <c r="BA408" i="2"/>
  <c r="AT405" i="2"/>
  <c r="AT398" i="2"/>
  <c r="AT396" i="2"/>
  <c r="J389" i="2"/>
  <c r="AT374" i="2"/>
  <c r="BA368" i="2"/>
  <c r="AT366" i="2"/>
  <c r="AT353" i="2"/>
  <c r="BA352" i="2"/>
  <c r="J346" i="2"/>
  <c r="AT348" i="2"/>
  <c r="AT334" i="2"/>
  <c r="J331" i="2"/>
  <c r="AT307" i="2"/>
  <c r="BA305" i="2"/>
  <c r="BA293" i="2"/>
  <c r="AT277" i="2"/>
  <c r="AT225" i="2"/>
  <c r="AT222" i="2"/>
  <c r="AT219" i="2"/>
  <c r="AT195" i="2"/>
  <c r="AT176" i="2"/>
  <c r="BA175" i="2"/>
  <c r="AT171" i="2"/>
  <c r="AT155" i="2"/>
  <c r="J113" i="2"/>
  <c r="AT104" i="2"/>
  <c r="AS98" i="2"/>
  <c r="BA96" i="2"/>
  <c r="AT75" i="2"/>
  <c r="J50" i="2"/>
  <c r="I50" i="2"/>
  <c r="BA61" i="2"/>
  <c r="BA277" i="2"/>
  <c r="I331" i="2"/>
  <c r="I200" i="2"/>
  <c r="AT489" i="2"/>
  <c r="BA402" i="2"/>
  <c r="BA404" i="2"/>
  <c r="AT498" i="2"/>
  <c r="I389" i="2"/>
  <c r="BA26" i="2"/>
  <c r="BA75" i="2"/>
  <c r="BA384" i="2"/>
  <c r="J354" i="2"/>
  <c r="AT249" i="2"/>
  <c r="AT504" i="2"/>
  <c r="AT470" i="2"/>
  <c r="BA437" i="2"/>
  <c r="AT267" i="2"/>
  <c r="BA141" i="2"/>
  <c r="I13" i="2"/>
  <c r="J13" i="2"/>
  <c r="I520" i="2"/>
  <c r="BA461" i="2"/>
  <c r="AT372" i="2"/>
  <c r="AT474" i="2"/>
  <c r="BA464" i="2"/>
  <c r="BA409" i="2"/>
  <c r="AT235" i="2"/>
  <c r="I174" i="2"/>
  <c r="I354" i="2"/>
  <c r="J520" i="2"/>
  <c r="BA498" i="2"/>
  <c r="BA492" i="2"/>
  <c r="AS454" i="2"/>
  <c r="BA332" i="2"/>
  <c r="J98" i="2"/>
  <c r="J499" i="2"/>
  <c r="I346" i="2"/>
  <c r="BA411" i="2"/>
  <c r="BA63" i="2"/>
  <c r="BA139" i="2"/>
  <c r="BA146" i="2"/>
  <c r="AT483" i="2"/>
  <c r="AT390" i="2"/>
  <c r="BA315" i="2"/>
  <c r="BA155" i="2"/>
  <c r="AS113" i="2"/>
  <c r="AT516" i="2"/>
  <c r="BA94" i="2"/>
  <c r="AT141" i="2"/>
  <c r="AT476" i="2"/>
  <c r="AT437" i="2"/>
  <c r="J436" i="2"/>
  <c r="BA388" i="2"/>
  <c r="AT388" i="2"/>
  <c r="AT310" i="2"/>
  <c r="BA456" i="2"/>
  <c r="BA427" i="2"/>
  <c r="BA342" i="2"/>
  <c r="AT315" i="2"/>
  <c r="I240" i="2"/>
  <c r="J221" i="2"/>
  <c r="AT173" i="2"/>
  <c r="AT90" i="2"/>
  <c r="AT94" i="2"/>
  <c r="BA472" i="2"/>
  <c r="AT472" i="2"/>
  <c r="BA516" i="2"/>
  <c r="I499" i="2"/>
  <c r="BA467" i="2"/>
  <c r="K220" i="2"/>
  <c r="E19" i="1" s="1"/>
  <c r="J19" i="1" s="1"/>
  <c r="E20" i="1"/>
  <c r="H20" i="1" s="1"/>
  <c r="I473" i="2"/>
  <c r="I436" i="2"/>
  <c r="AT153" i="2"/>
  <c r="BA481" i="2"/>
  <c r="AT481" i="2"/>
  <c r="BA491" i="2"/>
  <c r="AT491" i="2"/>
  <c r="AT496" i="2"/>
  <c r="BA504" i="2"/>
  <c r="BA470" i="2"/>
  <c r="AT440" i="2"/>
  <c r="AS221" i="2"/>
  <c r="AS200" i="2"/>
  <c r="AS174" i="2"/>
  <c r="K523" i="2"/>
  <c r="AT63" i="2"/>
  <c r="BA125" i="2"/>
  <c r="BA143" i="2"/>
  <c r="AT143" i="2"/>
  <c r="BA110" i="2"/>
  <c r="AT110" i="2"/>
  <c r="AT500" i="2"/>
  <c r="AT434" i="2"/>
  <c r="BA455" i="2"/>
  <c r="AT455" i="2"/>
  <c r="J421" i="2"/>
  <c r="AS389" i="2"/>
  <c r="AS240" i="2"/>
  <c r="BA177" i="2"/>
  <c r="BA462" i="2"/>
  <c r="AT462" i="2"/>
  <c r="K519" i="2"/>
  <c r="K518" i="2"/>
  <c r="E35" i="1" s="1"/>
  <c r="J35" i="1" s="1"/>
  <c r="E36" i="1"/>
  <c r="H36" i="1" s="1"/>
  <c r="BA502" i="2"/>
  <c r="AT502" i="2"/>
  <c r="I463" i="2"/>
  <c r="M220" i="2"/>
  <c r="F19" i="1" s="1"/>
  <c r="I113" i="2"/>
  <c r="I89" i="2"/>
  <c r="BA506" i="2"/>
  <c r="AT506" i="2"/>
  <c r="AT418" i="2"/>
  <c r="J473" i="2"/>
  <c r="BA494" i="2"/>
  <c r="AT494" i="2"/>
  <c r="J493" i="2"/>
  <c r="BA380" i="2"/>
  <c r="AT380" i="2"/>
  <c r="BA458" i="2"/>
  <c r="AT458" i="2"/>
  <c r="BA511" i="2"/>
  <c r="AT511" i="2"/>
  <c r="BA460" i="2"/>
  <c r="AT460" i="2"/>
  <c r="J454" i="2"/>
  <c r="AT330" i="2"/>
  <c r="BA330" i="2"/>
  <c r="AT464" i="2"/>
  <c r="I221" i="2"/>
  <c r="J200" i="2"/>
  <c r="BA149" i="2"/>
  <c r="BA347" i="2"/>
  <c r="AT347" i="2"/>
  <c r="BA485" i="2"/>
  <c r="AT485" i="2"/>
  <c r="I454" i="2"/>
  <c r="AT461" i="2"/>
  <c r="AT91" i="2"/>
  <c r="BA91" i="2"/>
  <c r="BA489" i="2"/>
  <c r="BA459" i="2"/>
  <c r="K12" i="2"/>
  <c r="E10" i="1" s="1"/>
  <c r="J10" i="1" s="1"/>
  <c r="E12" i="1"/>
  <c r="H12" i="1" s="1"/>
  <c r="AS463" i="2"/>
  <c r="BA521" i="2"/>
  <c r="AS194" i="2"/>
  <c r="J89" i="2"/>
  <c r="AT231" i="2"/>
  <c r="BA231" i="2"/>
  <c r="BA123" i="2"/>
  <c r="AT123" i="2"/>
  <c r="AS499" i="2"/>
  <c r="AT448" i="2"/>
  <c r="BA233" i="2"/>
  <c r="AT233" i="2"/>
  <c r="BA189" i="2"/>
  <c r="AT189" i="2"/>
  <c r="BA509" i="2"/>
  <c r="AT159" i="2"/>
  <c r="BA159" i="2"/>
  <c r="BA157" i="2"/>
  <c r="AT157" i="2"/>
  <c r="AT116" i="2"/>
  <c r="BA116" i="2"/>
  <c r="BA514" i="2"/>
  <c r="AT514" i="2"/>
  <c r="BA453" i="2"/>
  <c r="AT423" i="2"/>
  <c r="BA423" i="2"/>
  <c r="AS493" i="2"/>
  <c r="AT456" i="2"/>
  <c r="BA478" i="2"/>
  <c r="AT442" i="2"/>
  <c r="J399" i="2"/>
  <c r="AT400" i="2"/>
  <c r="BA400" i="2"/>
  <c r="BA351" i="2"/>
  <c r="AT351" i="2"/>
  <c r="AT344" i="2"/>
  <c r="BA97" i="2"/>
  <c r="AT97" i="2"/>
  <c r="AT492" i="2"/>
  <c r="BA253" i="2"/>
  <c r="AT227" i="2"/>
  <c r="BA227" i="2"/>
  <c r="J240" i="2"/>
  <c r="M518" i="2"/>
  <c r="F35" i="1" s="1"/>
  <c r="M519" i="2"/>
  <c r="F36" i="1"/>
  <c r="BA517" i="2"/>
  <c r="AT517" i="2"/>
  <c r="AT432" i="2"/>
  <c r="BA432" i="2"/>
  <c r="AT415" i="2"/>
  <c r="BA415" i="2"/>
  <c r="AT406" i="2"/>
  <c r="BA406" i="2"/>
  <c r="BA336" i="2"/>
  <c r="AT336" i="2"/>
  <c r="AT238" i="2"/>
  <c r="BA238" i="2"/>
  <c r="BA137" i="2"/>
  <c r="AT137" i="2"/>
  <c r="M435" i="2"/>
  <c r="F28" i="1" s="1"/>
  <c r="F30" i="1"/>
  <c r="K435" i="2"/>
  <c r="E28" i="1" s="1"/>
  <c r="J28" i="1" s="1"/>
  <c r="I421" i="2"/>
  <c r="AS354" i="2"/>
  <c r="BA241" i="2"/>
  <c r="AT241" i="2"/>
  <c r="BA236" i="2"/>
  <c r="AT236" i="2"/>
  <c r="BA201" i="2"/>
  <c r="AT201" i="2"/>
  <c r="AT179" i="2"/>
  <c r="AT215" i="2"/>
  <c r="BA215" i="2"/>
  <c r="M12" i="2"/>
  <c r="F10" i="1" s="1"/>
  <c r="AT422" i="2"/>
  <c r="BA422" i="2"/>
  <c r="AT312" i="2"/>
  <c r="BA181" i="2"/>
  <c r="AT181" i="2"/>
  <c r="BA239" i="2"/>
  <c r="AT239" i="2"/>
  <c r="AS473" i="2"/>
  <c r="I399" i="2"/>
  <c r="J174" i="2"/>
  <c r="AT229" i="2"/>
  <c r="BA229" i="2"/>
  <c r="AT120" i="2"/>
  <c r="AT144" i="2"/>
  <c r="BA144" i="2"/>
  <c r="AT112" i="2"/>
  <c r="BA112" i="2"/>
  <c r="J435" i="2" l="1"/>
  <c r="I12" i="2"/>
  <c r="I519" i="2"/>
  <c r="I518" i="2"/>
  <c r="J518" i="2"/>
  <c r="J519" i="2"/>
  <c r="J220" i="2"/>
  <c r="E37" i="1"/>
  <c r="E38" i="1" s="1"/>
  <c r="E39" i="1" s="1"/>
  <c r="I435" i="2"/>
  <c r="J12" i="2"/>
  <c r="I220" i="2"/>
</calcChain>
</file>

<file path=xl/sharedStrings.xml><?xml version="1.0" encoding="utf-8"?>
<sst xmlns="http://schemas.openxmlformats.org/spreadsheetml/2006/main" count="3390" uniqueCount="993">
  <si>
    <t>Název stavby:</t>
  </si>
  <si>
    <t>Doba výstavby:</t>
  </si>
  <si>
    <t>Objednatel:</t>
  </si>
  <si>
    <t>Druh stavby:</t>
  </si>
  <si>
    <t>Začátek výstavby:</t>
  </si>
  <si>
    <t>Projektant:</t>
  </si>
  <si>
    <t>Lokalita:</t>
  </si>
  <si>
    <t>Konec výstavby:</t>
  </si>
  <si>
    <t>Zhotovitel:</t>
  </si>
  <si>
    <t>JKSO:</t>
  </si>
  <si>
    <t>Zpracováno dne:</t>
  </si>
  <si>
    <t>Zpracoval:</t>
  </si>
  <si>
    <t xml:space="preserve"> </t>
  </si>
  <si>
    <t>Náklady (Kč)</t>
  </si>
  <si>
    <t>Hmotnost (t)</t>
  </si>
  <si>
    <t>Objekt</t>
  </si>
  <si>
    <t>Kód</t>
  </si>
  <si>
    <t>Zkrácený popis</t>
  </si>
  <si>
    <t>Dodávka</t>
  </si>
  <si>
    <t>Montáž</t>
  </si>
  <si>
    <t>Celkem</t>
  </si>
  <si>
    <t>01</t>
  </si>
  <si>
    <t/>
  </si>
  <si>
    <t>VÝMĚNA VÝPLNÍ OTVORŮ</t>
  </si>
  <si>
    <t>F</t>
  </si>
  <si>
    <t>61</t>
  </si>
  <si>
    <t>Úprava povrchů vnitřní</t>
  </si>
  <si>
    <t>T</t>
  </si>
  <si>
    <t>96</t>
  </si>
  <si>
    <t>Bourání konstrukcí</t>
  </si>
  <si>
    <t>099</t>
  </si>
  <si>
    <t>Přesuny hmot HSV a sutí</t>
  </si>
  <si>
    <t>764</t>
  </si>
  <si>
    <t>Konstrukce klempířské</t>
  </si>
  <si>
    <t>766</t>
  </si>
  <si>
    <t>Konstrukce truhlářské</t>
  </si>
  <si>
    <t>786</t>
  </si>
  <si>
    <t>Zastiňující technika</t>
  </si>
  <si>
    <t>784</t>
  </si>
  <si>
    <t>Malby</t>
  </si>
  <si>
    <t>95</t>
  </si>
  <si>
    <t>Ostatní a dokončovací práce</t>
  </si>
  <si>
    <t>02</t>
  </si>
  <si>
    <t>ZATEPLENÍ FASÁD</t>
  </si>
  <si>
    <t>11</t>
  </si>
  <si>
    <t>Přípravné a přidružené práce</t>
  </si>
  <si>
    <t>62</t>
  </si>
  <si>
    <t>Úprava povrchů vnější</t>
  </si>
  <si>
    <t>767</t>
  </si>
  <si>
    <t>Konstrukce zámečnické</t>
  </si>
  <si>
    <t>94</t>
  </si>
  <si>
    <t>Lešení a stavební výtahy</t>
  </si>
  <si>
    <t>03</t>
  </si>
  <si>
    <t>TERASA 4.NP</t>
  </si>
  <si>
    <t>711</t>
  </si>
  <si>
    <t>Izolace proti vodě</t>
  </si>
  <si>
    <t>712</t>
  </si>
  <si>
    <t>Izolace střech (povlakové krytiny)</t>
  </si>
  <si>
    <t>713</t>
  </si>
  <si>
    <t>Izolace tepelné</t>
  </si>
  <si>
    <t>771</t>
  </si>
  <si>
    <t>Podlahy z dlaždic</t>
  </si>
  <si>
    <t>N</t>
  </si>
  <si>
    <t>Nezařazeno</t>
  </si>
  <si>
    <t>09VRN</t>
  </si>
  <si>
    <t>Ostatní náklady</t>
  </si>
  <si>
    <t>Celkem:</t>
  </si>
  <si>
    <t>Stavební rozpočet</t>
  </si>
  <si>
    <t>ZATEPLENÍ ČÁSTI BUDOVY MĚÚ SUMPERK - JESENICKÁ 31</t>
  </si>
  <si>
    <t>Město Šumperk</t>
  </si>
  <si>
    <t>ing. arch. Petr Doležal</t>
  </si>
  <si>
    <t>8016913</t>
  </si>
  <si>
    <t>Č</t>
  </si>
  <si>
    <t>Zkrácený popis / Varianta</t>
  </si>
  <si>
    <t>MJ</t>
  </si>
  <si>
    <t>Množství</t>
  </si>
  <si>
    <t>Cena/MJ</t>
  </si>
  <si>
    <t>Cenová</t>
  </si>
  <si>
    <t>ISWORK</t>
  </si>
  <si>
    <t>GROUPCODE</t>
  </si>
  <si>
    <t>VATTAX</t>
  </si>
  <si>
    <t>Rozměry</t>
  </si>
  <si>
    <t>(Kč)</t>
  </si>
  <si>
    <t>Jednot.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</si>
  <si>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</si>
  <si>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</si>
  <si>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</si>
  <si>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</si>
  <si>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</si>
  <si>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</si>
  <si>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</si>
  <si>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</si>
  <si>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</si>
  <si>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</si>
  <si>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</si>
  <si>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</si>
  <si>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</si>
  <si>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>1</t>
  </si>
  <si>
    <t>612409991R00-R1</t>
  </si>
  <si>
    <t>Zednické zapravení interiérového ostění hl. 400 mm; s použitím suché maltové směsi</t>
  </si>
  <si>
    <t>m</t>
  </si>
  <si>
    <t>21</t>
  </si>
  <si>
    <t>firemní</t>
  </si>
  <si>
    <t>61_</t>
  </si>
  <si>
    <t>01_6_</t>
  </si>
  <si>
    <t>01_</t>
  </si>
  <si>
    <t>(31+19+7+6)*2*(1,20+1,50)</t>
  </si>
  <si>
    <t>okna poz.O1a-O1d</t>
  </si>
  <si>
    <t>(6+5)*2*(0,60+0,75)</t>
  </si>
  <si>
    <t>okna poz.O2a-O2b</t>
  </si>
  <si>
    <t>2*2*(1,33+2,35)</t>
  </si>
  <si>
    <t>okna poz.O3</t>
  </si>
  <si>
    <t>2*2*(2,30+1,50)</t>
  </si>
  <si>
    <t>okna poz.O4</t>
  </si>
  <si>
    <t>1*2*(1,20+1,50)</t>
  </si>
  <si>
    <t>okna poz.O5</t>
  </si>
  <si>
    <t>1*2*(0,60+1,50)</t>
  </si>
  <si>
    <t>okna poz.O6</t>
  </si>
  <si>
    <t>okna poz.O7</t>
  </si>
  <si>
    <t>1*2*(1,50+8,35)</t>
  </si>
  <si>
    <t>okna poz.O8</t>
  </si>
  <si>
    <t>okna poz.O9</t>
  </si>
  <si>
    <t>1*2*(1,52+4,36+2,30)</t>
  </si>
  <si>
    <t>sestava oken poz.O10</t>
  </si>
  <si>
    <t>1*2*(1,05+2,35)</t>
  </si>
  <si>
    <t>dveře poz.O11</t>
  </si>
  <si>
    <t>2</t>
  </si>
  <si>
    <t>612473186R00</t>
  </si>
  <si>
    <t>Příplatek za zabudované rohovníky pro vnitřní omítky; ostění+nadpraží+parapet; vč. dodávky</t>
  </si>
  <si>
    <t>RTS I / 2024</t>
  </si>
  <si>
    <t>3</t>
  </si>
  <si>
    <t>610991004R00</t>
  </si>
  <si>
    <t>Začišťovací okenní lišta pro vnitřní omítku tl.15 mm; vč. dodávky lišty</t>
  </si>
  <si>
    <t>(31+19+7+6)*(1,20+2*1,50)</t>
  </si>
  <si>
    <t>(6+5)*(0,60+2*0,75)</t>
  </si>
  <si>
    <t>2*(1,33+2*2,35)</t>
  </si>
  <si>
    <t>2*(2,30+2*1,50)</t>
  </si>
  <si>
    <t>1*(1,20+2*1,50)</t>
  </si>
  <si>
    <t>1*(0,60+2*1,50)</t>
  </si>
  <si>
    <t>1*(1,50+2*8,35)</t>
  </si>
  <si>
    <t>1*(1,52+4,36+2*2,30)</t>
  </si>
  <si>
    <t>1*(1,05+2*2,35)</t>
  </si>
  <si>
    <t>4</t>
  </si>
  <si>
    <t>968083003R00</t>
  </si>
  <si>
    <t>Vybourání plastových oken do 4 m2</t>
  </si>
  <si>
    <t>m2</t>
  </si>
  <si>
    <t>96_</t>
  </si>
  <si>
    <t>01_9_</t>
  </si>
  <si>
    <t>(13+18+18+15)*(1,20*1,50)</t>
  </si>
  <si>
    <t>okna poz.O.01</t>
  </si>
  <si>
    <t>(3+3+3+2)*(0,60*0,75)</t>
  </si>
  <si>
    <t>okna poz.O.02</t>
  </si>
  <si>
    <t>(0+1+1+0)*(1,33*2,35)</t>
  </si>
  <si>
    <t>okna poz.O.03</t>
  </si>
  <si>
    <t>(0+0+0+2)*(2,30*1,50)</t>
  </si>
  <si>
    <t>okna poz.O.04</t>
  </si>
  <si>
    <t>(0+0+0+1)*(1,20*1,50)</t>
  </si>
  <si>
    <t>okna poz.O.05</t>
  </si>
  <si>
    <t>(0+0+0+1)*(0,60*1,50)</t>
  </si>
  <si>
    <t>okna poz.O.06</t>
  </si>
  <si>
    <t>okna poz.O.07</t>
  </si>
  <si>
    <t>(0+1+0+0)*(1,50*8,35)</t>
  </si>
  <si>
    <t>okna poz.O.08</t>
  </si>
  <si>
    <t>okna poz.O.09</t>
  </si>
  <si>
    <t>5</t>
  </si>
  <si>
    <t>968083012R00</t>
  </si>
  <si>
    <t>Vybourání plastových prosklených dveří pl.nad 2 m2</t>
  </si>
  <si>
    <t>(1+0+0+0)*(1,05*2,35)</t>
  </si>
  <si>
    <t>vstupní dveře poz.O.11</t>
  </si>
  <si>
    <t>6</t>
  </si>
  <si>
    <t>968083033R00</t>
  </si>
  <si>
    <t>Vybourání plastových stěn plochy nad 4 m2</t>
  </si>
  <si>
    <t>(0+0+0+1)*((1,52+4,36)*2,30)</t>
  </si>
  <si>
    <t>prosklená stěna poz.O.10</t>
  </si>
  <si>
    <t>7</t>
  </si>
  <si>
    <t>968096001R00</t>
  </si>
  <si>
    <t>Bourání parapetů plastových š. do 20 cm</t>
  </si>
  <si>
    <t>(13+18+18+15)*1,20</t>
  </si>
  <si>
    <t>(3+3+3+2)*0,60</t>
  </si>
  <si>
    <t>(0+1+1+0)*1,33</t>
  </si>
  <si>
    <t>(0+0+0+2)*2,30</t>
  </si>
  <si>
    <t>(0+0+0+1)*1,20</t>
  </si>
  <si>
    <t>(0+0+0+1)*0,60</t>
  </si>
  <si>
    <t>(0+1+0+0)*1,50</t>
  </si>
  <si>
    <t>8</t>
  </si>
  <si>
    <t>764410850R00</t>
  </si>
  <si>
    <t>Demontáž oplechování parapetů, rš od 100 do 330 mm</t>
  </si>
  <si>
    <t>RTS II / 2023</t>
  </si>
  <si>
    <t>(2+0+0+0)*1,20</t>
  </si>
  <si>
    <t>falešná okna</t>
  </si>
  <si>
    <t>9</t>
  </si>
  <si>
    <t>970051030R00</t>
  </si>
  <si>
    <t>Vrtání jádrové do ŽB d 30 mm</t>
  </si>
  <si>
    <t>Varianta:</t>
  </si>
  <si>
    <t>přes skládaný keramobeton. překlad</t>
  </si>
  <si>
    <t>53*0,45</t>
  </si>
  <si>
    <t>pro průchodky ručního ovládání venkovních žaluzií</t>
  </si>
  <si>
    <t>10</t>
  </si>
  <si>
    <t>998011002R00</t>
  </si>
  <si>
    <t>Přesun hmot pro budovy zděné výšky do 12 m</t>
  </si>
  <si>
    <t>t</t>
  </si>
  <si>
    <t>099_</t>
  </si>
  <si>
    <t>01_0_</t>
  </si>
  <si>
    <t>979011111R00</t>
  </si>
  <si>
    <t>Svislá doprava suti a vybour. hmot - za 2.NP a 1.PP</t>
  </si>
  <si>
    <t>12</t>
  </si>
  <si>
    <t>979011121R00</t>
  </si>
  <si>
    <t>Svislá doprava suti a vybour. hmot - příplatek za každé další podlaží</t>
  </si>
  <si>
    <t>2*8,88</t>
  </si>
  <si>
    <t>13</t>
  </si>
  <si>
    <t>979082111R00-R1</t>
  </si>
  <si>
    <t>Vnitrostaveništní doprava suti do 25 m</t>
  </si>
  <si>
    <t>14</t>
  </si>
  <si>
    <t>979083116R00</t>
  </si>
  <si>
    <t>Vodorovné přemístění suti na skládku do 5000 m</t>
  </si>
  <si>
    <t>15</t>
  </si>
  <si>
    <t>979990163R00</t>
  </si>
  <si>
    <t>Poplatek za uložení suti - plast + sklo (skup. 170904)</t>
  </si>
  <si>
    <t>16</t>
  </si>
  <si>
    <t>979951111R00</t>
  </si>
  <si>
    <t>Výkup kovů - železný šrot tl. do 4 mm</t>
  </si>
  <si>
    <t>17</t>
  </si>
  <si>
    <t>764411120R00</t>
  </si>
  <si>
    <t>D+M Oplechování parapetů z tažených Al profilů, š. 195 mm; barva tm.šedá</t>
  </si>
  <si>
    <t>764_</t>
  </si>
  <si>
    <t>01_76_</t>
  </si>
  <si>
    <t>51*1,20</t>
  </si>
  <si>
    <t>poz.K1</t>
  </si>
  <si>
    <t>11*0,60</t>
  </si>
  <si>
    <t>poz.K2</t>
  </si>
  <si>
    <t>2*1,33</t>
  </si>
  <si>
    <t>poz.K3</t>
  </si>
  <si>
    <t>2*1,50</t>
  </si>
  <si>
    <t>poz.K7</t>
  </si>
  <si>
    <t>18</t>
  </si>
  <si>
    <t>764411126R00</t>
  </si>
  <si>
    <t>D+M Oplechování parapetů z tažených Al profilů, š. 300 mm; barva tm.šedá</t>
  </si>
  <si>
    <t>2*2,30</t>
  </si>
  <si>
    <t>poz.K4</t>
  </si>
  <si>
    <t>16*1,50</t>
  </si>
  <si>
    <t>poz.K5</t>
  </si>
  <si>
    <t>1*0,60</t>
  </si>
  <si>
    <t>poz.K6</t>
  </si>
  <si>
    <t>19</t>
  </si>
  <si>
    <t>764411155R00</t>
  </si>
  <si>
    <t>Boční krytky, AL, pro šířku parapetu 195-240 mm; barva tm.šedá</t>
  </si>
  <si>
    <t>pár</t>
  </si>
  <si>
    <t>51+11+2+2</t>
  </si>
  <si>
    <t>pro poz.K1, K2, K3, K7</t>
  </si>
  <si>
    <t>20</t>
  </si>
  <si>
    <t>764411157R00</t>
  </si>
  <si>
    <t>Boční krytky, AL, pro šířku parapetu 260-360 mm; barva tm.šedá</t>
  </si>
  <si>
    <t>2+16+1</t>
  </si>
  <si>
    <t>pro poz.K4, K5, K6</t>
  </si>
  <si>
    <t>998764102R00</t>
  </si>
  <si>
    <t>Přesun hmot pro klempířské konstr., výšky do 12 m</t>
  </si>
  <si>
    <t>22</t>
  </si>
  <si>
    <t>766629301R00</t>
  </si>
  <si>
    <t>Montáž oken plastových plochy do 1,50 m2, s dodatečným vypěněním spáry</t>
  </si>
  <si>
    <t>kus</t>
  </si>
  <si>
    <t>766_</t>
  </si>
  <si>
    <t>6+5+1</t>
  </si>
  <si>
    <t>poz. O2a+O2b+O6</t>
  </si>
  <si>
    <t>23</t>
  </si>
  <si>
    <t>766629302R00</t>
  </si>
  <si>
    <t>Montáž oken plastových plochy do 2,70 m2, s dodatečným vypěněním spáry</t>
  </si>
  <si>
    <t>31+19+7+6+1+1</t>
  </si>
  <si>
    <t>poz. O1a+O1b+O1c+O1d+O5+O7</t>
  </si>
  <si>
    <t>24</t>
  </si>
  <si>
    <t>766629303R00</t>
  </si>
  <si>
    <t>Montáž oken plastových plochy do 4,50 m2, s dodatečným vypěněním spáry</t>
  </si>
  <si>
    <t>2+2</t>
  </si>
  <si>
    <t>poz. O3+O4</t>
  </si>
  <si>
    <t>25</t>
  </si>
  <si>
    <t>766629310R00</t>
  </si>
  <si>
    <t>Montáž plastových stěn prosklených, s dodatečným vypěněním spáry</t>
  </si>
  <si>
    <t>1,50*8,35+1,50*8,35</t>
  </si>
  <si>
    <t>poz. O8+O9</t>
  </si>
  <si>
    <t>(1,52+4,36)*2,30</t>
  </si>
  <si>
    <t>poz. O10</t>
  </si>
  <si>
    <t>26</t>
  </si>
  <si>
    <t>766711031RT3</t>
  </si>
  <si>
    <t>Montáž vstupních dveří, s dodatečným vypěněním spáry</t>
  </si>
  <si>
    <t>2*(1,05+2,35)</t>
  </si>
  <si>
    <t>poz. O11</t>
  </si>
  <si>
    <t>27</t>
  </si>
  <si>
    <t>766601213RT2</t>
  </si>
  <si>
    <t>D+M Těsnění okenní spáry, ostění, PT folie + PP folie, š.100mm</t>
  </si>
  <si>
    <t>28</t>
  </si>
  <si>
    <t>766601161R00</t>
  </si>
  <si>
    <t>D+M Montáž těsnění připoj. spáry, další expanzní páska</t>
  </si>
  <si>
    <t>29</t>
  </si>
  <si>
    <t>61143800-R01</t>
  </si>
  <si>
    <t>Okno plastové jednokřídlé, OS; rozm.1200x1500 mm; poz.O1a; komplet vč. kování a příslušenství; specifikace v PD příloha D.1.1-17</t>
  </si>
  <si>
    <t>30</t>
  </si>
  <si>
    <t>61143800-R02</t>
  </si>
  <si>
    <t>Okno plastové jednokřídlé, OS; rozm.1200x1500 mm; poz.O1b; komplet vč. kování a příslušenství; specifikace v PD příloha D.1.1-17</t>
  </si>
  <si>
    <t>31</t>
  </si>
  <si>
    <t>61143800-R03</t>
  </si>
  <si>
    <t>Okno plastové jednokřídlé, OS; rozm.1200x1500 mm; poz.O1c; komplet vč. kování a příslušenství; specifikace v PD příloha D.1.1-17</t>
  </si>
  <si>
    <t>32</t>
  </si>
  <si>
    <t>61143800-R04</t>
  </si>
  <si>
    <t>Okno plastové jednokřídlé, OS; rozm.1200x1500 mm; poz.O1d; komplet vč. kování a příslušenství; specifikace v PD příloha D.1.1-17</t>
  </si>
  <si>
    <t>33</t>
  </si>
  <si>
    <t>61143800-R05</t>
  </si>
  <si>
    <t>Okno plastové jednokřídlé, OS; rozm.600x750 mm; poz.O2a; komplet vč. kování a příslušenství; specifikace v PD příloha D.1.1-17</t>
  </si>
  <si>
    <t>34</t>
  </si>
  <si>
    <t>61143800-R06</t>
  </si>
  <si>
    <t>Okno plastové jednokřídlé, OS; rozm.600x750 mm; poz.O2b; komplet vč. kování a příslušenství; specifikace v PD příloha D.1.1-17</t>
  </si>
  <si>
    <t>35</t>
  </si>
  <si>
    <t>61143800-R07</t>
  </si>
  <si>
    <t>Okno plastové dvoukřídlé, FIX+OS; rozm.1330x2350 mm; poz.O3; komplet vč. kování a příslušenství; specifikace v PD příloha D.1.1-17</t>
  </si>
  <si>
    <t>36</t>
  </si>
  <si>
    <t>61143800-R08</t>
  </si>
  <si>
    <t>Okno plastové dvoukřídlé, S+OS; rozm.2300x1500 mm; poz.O4; komplet vč. kování a příslušenství; specifikace v PD příloha D.1.1-17</t>
  </si>
  <si>
    <t>37</t>
  </si>
  <si>
    <t>61143800-R09</t>
  </si>
  <si>
    <t>Okno plastové dvoukřídlé, OS+OS; rozm.1200x1500 mm; poz.O5; komplet vč. kování a příslušenství; specifikace v PD příloha D.1.1-17</t>
  </si>
  <si>
    <t>38</t>
  </si>
  <si>
    <t>61143800-R10</t>
  </si>
  <si>
    <t>Okno plastové jednokřídlé, OS; rozm.600x1500 mm; poz.O6; komplet vč. kování a příslušenství; specifikace v PD příloha D.1.1-17</t>
  </si>
  <si>
    <t>39</t>
  </si>
  <si>
    <t>61143800-R11</t>
  </si>
  <si>
    <t>Okno plastové jednokřídlé, FIX panel; rozm.1200x1500 mm; poz.O7; komplet vč. kování a příslušenství; specifikace v PD příloha D.1.1-17</t>
  </si>
  <si>
    <t>40</t>
  </si>
  <si>
    <t>61143800-R12</t>
  </si>
  <si>
    <t>Okno plastové schodišťové, 5xFIX+3xOS+1S motor.; rozm.1500x8350 mm; poz.O8; komplet vč. kování a příslušenství; specifikace v PD příloha D.1.1-17</t>
  </si>
  <si>
    <t>41</t>
  </si>
  <si>
    <t>61143800-R13</t>
  </si>
  <si>
    <t>Okno plastové schodišťové, 8xFIX+1S motor.; rozm.1500x8350 mm; poz.O9; komplet vč. kování a příslušenství; specifikace v PD příloha D.1.1-17</t>
  </si>
  <si>
    <t>42</t>
  </si>
  <si>
    <t>61143800-R14</t>
  </si>
  <si>
    <t>Balkon. sestava plast.oken rohová, 2xFIX+1xPOS.; rozm.5880x2300 mm; poz.O10; komplet vč. kování a příslušenství; specifikace v PD příloha D.1.1-17</t>
  </si>
  <si>
    <t>43</t>
  </si>
  <si>
    <t>61143800-R15</t>
  </si>
  <si>
    <t>Dveře vchodové jednokřídlé, plast.; rozm.1050x2350 mm; poz.O11; komplet vč. kování a příslušenství; specifikace v PD příloha D.1.1-17</t>
  </si>
  <si>
    <t>44</t>
  </si>
  <si>
    <t>766694111R00</t>
  </si>
  <si>
    <t>Montáž parapetních desek š.do 30 cm,dl.do 100 cm</t>
  </si>
  <si>
    <t>po okna na poz.O2a+O2b+O6</t>
  </si>
  <si>
    <t>45</t>
  </si>
  <si>
    <t>766694112R00</t>
  </si>
  <si>
    <t>Montáž parapetních desek š.do 30 cm,dl.do 160 cm</t>
  </si>
  <si>
    <t>31+19+7+6+2+1+1</t>
  </si>
  <si>
    <t>pro okna na poz.O1a+O1b+O1c+O1d+O3+O5+O7</t>
  </si>
  <si>
    <t>46</t>
  </si>
  <si>
    <t>766694113R00</t>
  </si>
  <si>
    <t>Montáž parapetních desek š.do 30 cm,dl.do 260 cm</t>
  </si>
  <si>
    <t>pro okna na poz.O4</t>
  </si>
  <si>
    <t>47</t>
  </si>
  <si>
    <t>60775515</t>
  </si>
  <si>
    <t>Parapet interiér PVC komůrkový, šíře 400 mm, barva bílá</t>
  </si>
  <si>
    <t>31*1,20</t>
  </si>
  <si>
    <t>po okna na poz.O1a</t>
  </si>
  <si>
    <t>19*1,20</t>
  </si>
  <si>
    <t>po okna na poz.O1b</t>
  </si>
  <si>
    <t>7*1,20</t>
  </si>
  <si>
    <t>po okna na poz.O1c</t>
  </si>
  <si>
    <t>6*1,20</t>
  </si>
  <si>
    <t>po okna na poz.O1d</t>
  </si>
  <si>
    <t>6*0,60</t>
  </si>
  <si>
    <t>po okna na poz.O2a</t>
  </si>
  <si>
    <t>5*0,60</t>
  </si>
  <si>
    <t>po okna na poz.O2b</t>
  </si>
  <si>
    <t>po okna na poz.O3</t>
  </si>
  <si>
    <t>po okna na poz.O4</t>
  </si>
  <si>
    <t>1*1,20</t>
  </si>
  <si>
    <t>po okna na poz.O5</t>
  </si>
  <si>
    <t>po okna na poz.O6</t>
  </si>
  <si>
    <t>po okna na poz.O7</t>
  </si>
  <si>
    <t>48</t>
  </si>
  <si>
    <t>60775550.A</t>
  </si>
  <si>
    <t>Krytka boční pro PVC parapety, šířka 400 mm, oboustranná, barva bílá</t>
  </si>
  <si>
    <t>2*(31+19+7+6+6+5+2+2+1+1+1)</t>
  </si>
  <si>
    <t>pro okna na poz.O1a-O7</t>
  </si>
  <si>
    <t>49</t>
  </si>
  <si>
    <t>998766102R00</t>
  </si>
  <si>
    <t>Přesun hmot pro truhlářské konstr., výšky do 12 m</t>
  </si>
  <si>
    <t>50</t>
  </si>
  <si>
    <t>786623000R00-R1</t>
  </si>
  <si>
    <t>D+M Venkovní žaluzie AL, pro okno 1200x1500 mm, manuál.; poz.VŽ1; komplet vč.ovládání a příslušenství; specifikace v PD příloha D.1.1-21</t>
  </si>
  <si>
    <t>786_</t>
  </si>
  <si>
    <t>01_78_</t>
  </si>
  <si>
    <t>51</t>
  </si>
  <si>
    <t>786623000R00-R2</t>
  </si>
  <si>
    <t>D+M Venkovní žaluzie AL, pro okno 1330x2350 mm, manuál.; poz.VŽ2; komplet vč.ovládání a příslušenství; specifikace v PD příloha D.1.1-21</t>
  </si>
  <si>
    <t>52</t>
  </si>
  <si>
    <t>786623000R00-R3</t>
  </si>
  <si>
    <t>D+M Venkovní žaluzie AL, pro okno 1200x1500 mm, el.pohon.; poz.VŽ3; komplet vč.ovládání a příslušenství; specifikace v PD příloha D.1.1-21</t>
  </si>
  <si>
    <t>53</t>
  </si>
  <si>
    <t>786623000R00-R4</t>
  </si>
  <si>
    <t>D+M Venkovní žaluzie AL, pro okno 2300x1500 mm, el.pohon.; poz.VŽ4; komplet vč.ovládání a příslušenství; specifikace v PD příloha D.1.1-21</t>
  </si>
  <si>
    <t>54</t>
  </si>
  <si>
    <t>786623000R00-R5</t>
  </si>
  <si>
    <t>D+M Venkovní žaluzie AL, pro okno 1500x2100 mm, el.pohon.; poz.VŽ5; komplet vč.ovládání a příslušenství; specifikace v PD příloha D.1.1-21</t>
  </si>
  <si>
    <t>55</t>
  </si>
  <si>
    <t>786623000R00-R6</t>
  </si>
  <si>
    <t>D+M Venkovní žaluzie AL, pro okno 4350x2100 mm, el.pohon.; poz.VŽ6; komplet vč.ovládání a příslušenství; specifikace v PD příloha D.1.1-21</t>
  </si>
  <si>
    <t>56</t>
  </si>
  <si>
    <t>650000000R00-R1</t>
  </si>
  <si>
    <t>D+M Elektroinstalace pro žaluzie ve 4.NP; úprava stáv. zasuvkového okruhu; rozvody v chrán. pod ETICS</t>
  </si>
  <si>
    <t>kompl</t>
  </si>
  <si>
    <t>57</t>
  </si>
  <si>
    <t>786622211RT2</t>
  </si>
  <si>
    <t>D+M Žaluzie horizontální vnitřní, AL lamely, barva RAL 9006</t>
  </si>
  <si>
    <t>22*(1,00*1,30)</t>
  </si>
  <si>
    <t>po okna na poz.O1a, sklo 1,00*1,30 m</t>
  </si>
  <si>
    <t>14*(1,00*1,30)</t>
  </si>
  <si>
    <t>po okna na poz.O1b, sklo 1,00*1,30 m</t>
  </si>
  <si>
    <t>7*(1,00*1,30)</t>
  </si>
  <si>
    <t>po okna na poz.O1c, sklo 1,00*1,30 m</t>
  </si>
  <si>
    <t>6*(1,00*1,30)</t>
  </si>
  <si>
    <t>po okna na poz.O1d, sklo 1,00*1,30 m</t>
  </si>
  <si>
    <t>2*(1,15*1,35)</t>
  </si>
  <si>
    <t>po okna na poz.O3, sklo 1,15*1,35 m</t>
  </si>
  <si>
    <t>2*(1,15*0,70)</t>
  </si>
  <si>
    <t>po okna na poz.O3, sklo 1,15*0,70 m</t>
  </si>
  <si>
    <t>58</t>
  </si>
  <si>
    <t>786622000R00-R1</t>
  </si>
  <si>
    <t>Vnitřní vertikální žaluzie; demontáž, vyčištění, oprava, zpětná montáž</t>
  </si>
  <si>
    <t>7*(1,30*1,70)</t>
  </si>
  <si>
    <t>č.m. 334 - okna na poz. O1a</t>
  </si>
  <si>
    <t>4*(1,30*1,70)</t>
  </si>
  <si>
    <t>č.m. 334 - okna na poz. O1b</t>
  </si>
  <si>
    <t>(1,60+4,50)*2,40</t>
  </si>
  <si>
    <t>č.m. 334 - okna na poz. O10</t>
  </si>
  <si>
    <t>59</t>
  </si>
  <si>
    <t>998786102R00</t>
  </si>
  <si>
    <t>Přesun hmot pro zastiň. techniku, výšky do 12 m</t>
  </si>
  <si>
    <t>60</t>
  </si>
  <si>
    <t>784450020RA0</t>
  </si>
  <si>
    <t>Malba z malířské směsi; 1x penetrace, 2x výmalba extrabílá</t>
  </si>
  <si>
    <t>784_</t>
  </si>
  <si>
    <t>374,99*0,40</t>
  </si>
  <si>
    <t>ostění oken po zedn. zapravení</t>
  </si>
  <si>
    <t>784950030RAA</t>
  </si>
  <si>
    <t>Oprava maleb z malířských směsí; oškrábání, umytí, vyhlazení, 2x malba</t>
  </si>
  <si>
    <t>4*(55,00*2,70)</t>
  </si>
  <si>
    <t>interiér. obvodové stěny 1.NP-4.NP - plochy brutto</t>
  </si>
  <si>
    <t>-(65*1,80+11*0,45+2*3,13+2*3,45+0,90+2*12,53+13,52+2,47+8,25)</t>
  </si>
  <si>
    <t>odpočet otvorů</t>
  </si>
  <si>
    <t>610991111R00</t>
  </si>
  <si>
    <t>Zakrývání výplní otvorů, včetně odstranění a likvidace; vč. PE fólie</t>
  </si>
  <si>
    <t>95_</t>
  </si>
  <si>
    <t>(31+19+7+6)*(1,20*1,50)</t>
  </si>
  <si>
    <t>(6+5)*(0,60*0,75)</t>
  </si>
  <si>
    <t>2*(1,33*2,35)</t>
  </si>
  <si>
    <t>2*(2,30*1,50)</t>
  </si>
  <si>
    <t>1*(1,20*1,50</t>
  </si>
  <si>
    <t>1*(0,60*1,50)</t>
  </si>
  <si>
    <t>1*(1,20*1,50)</t>
  </si>
  <si>
    <t>1*(1,50*8,35)</t>
  </si>
  <si>
    <t>1*(1,52*2,30+4,36*2,30)</t>
  </si>
  <si>
    <t>1*(1,05*2,35)</t>
  </si>
  <si>
    <t>63</t>
  </si>
  <si>
    <t>784011222RT2</t>
  </si>
  <si>
    <t>Zakrytí podlah, včetně odstranění; vč. papírové lepenky</t>
  </si>
  <si>
    <t>4*((20,50+11,80+20,50+1,80+1,80)*1,50)</t>
  </si>
  <si>
    <t>počítána šíře 1,50m při obvod. stěnách; 1.NP-4.NP</t>
  </si>
  <si>
    <t>64</t>
  </si>
  <si>
    <t>784011221RT2</t>
  </si>
  <si>
    <t>Zakrytí předmětů, včetně odstranění; vč. PE fólie</t>
  </si>
  <si>
    <t>65</t>
  </si>
  <si>
    <t>952901111R00</t>
  </si>
  <si>
    <t>Vyčištění budov o výšce podlaží do 4 m</t>
  </si>
  <si>
    <t>4*254</t>
  </si>
  <si>
    <t>1NP-4.NP</t>
  </si>
  <si>
    <t>66</t>
  </si>
  <si>
    <t>999281108R00</t>
  </si>
  <si>
    <t>Přesun hmot pro opravy a údržbu do výšky 12 m</t>
  </si>
  <si>
    <t>67</t>
  </si>
  <si>
    <t>113106121R00</t>
  </si>
  <si>
    <t>Rozebrání dlažeb z betonových dlaždic na sucho</t>
  </si>
  <si>
    <t>11_</t>
  </si>
  <si>
    <t>02_1_</t>
  </si>
  <si>
    <t>02_</t>
  </si>
  <si>
    <t>2,00*5,00+12,50*1,50+7,30*2,00</t>
  </si>
  <si>
    <t>chodníky</t>
  </si>
  <si>
    <t>68</t>
  </si>
  <si>
    <t>979054441R00</t>
  </si>
  <si>
    <t>Očištění vybouraných dlaždic; včetně vytřídění pro zpětné použití</t>
  </si>
  <si>
    <t>69</t>
  </si>
  <si>
    <t>113107320R00</t>
  </si>
  <si>
    <t>Odstranění podkladu pl. 50 m2, kam. těžené tl.20 cm; pro zpětné použití</t>
  </si>
  <si>
    <t>(8,05+1,85+4,70+7,95+12,50+5,95+2*2,00+9,10+5,85)*1,00</t>
  </si>
  <si>
    <t>obvod 1.NP, v pásu š. 1,0 m</t>
  </si>
  <si>
    <t>70</t>
  </si>
  <si>
    <t>639571311R00</t>
  </si>
  <si>
    <t>D+M Okapový chodník - textilie proti prorůstání 45g/m2</t>
  </si>
  <si>
    <t>(8,05+7,95+5,85)*0,60</t>
  </si>
  <si>
    <t>v původním rozsahu</t>
  </si>
  <si>
    <t>71</t>
  </si>
  <si>
    <t>174101102R00-R1</t>
  </si>
  <si>
    <t>Zásyp okapových chodníků kačírkem, ruční provedení, materiál původní</t>
  </si>
  <si>
    <t>m3</t>
  </si>
  <si>
    <t>(8,05+7,95+5,85)*0,60*0,20</t>
  </si>
  <si>
    <t>zpětný zásyp v původním rozsahu</t>
  </si>
  <si>
    <t>72</t>
  </si>
  <si>
    <t>596215021R00</t>
  </si>
  <si>
    <t>Kladení zámkové dlažby tl. 6 cm do drtě tl. 4 cm</t>
  </si>
  <si>
    <t>zpětné zadláždění chodníků</t>
  </si>
  <si>
    <t>73</t>
  </si>
  <si>
    <t>59245110</t>
  </si>
  <si>
    <t>Dlažba skladebná betonová, rozm. 200x100x60 mm, přírodní barva</t>
  </si>
  <si>
    <t>10,00</t>
  </si>
  <si>
    <t>předpoklad náhrady za poškozé dlaždice</t>
  </si>
  <si>
    <t>74</t>
  </si>
  <si>
    <t>75</t>
  </si>
  <si>
    <t>1,38</t>
  </si>
  <si>
    <t>předpoklad rozsahu poškozených dlaždic</t>
  </si>
  <si>
    <t>76</t>
  </si>
  <si>
    <t>979999999R00</t>
  </si>
  <si>
    <t>Poplatek za ukládku, suť do 10 % příměsí (skup.170107)</t>
  </si>
  <si>
    <t>77</t>
  </si>
  <si>
    <t>998223011R00</t>
  </si>
  <si>
    <t>Přesun hmot, pozemní komunikace, kryt dlážděný</t>
  </si>
  <si>
    <t>78</t>
  </si>
  <si>
    <t>622904112R00</t>
  </si>
  <si>
    <t>Očištění fasád tlakovou vodou složitost 1 - 2</t>
  </si>
  <si>
    <t>62_</t>
  </si>
  <si>
    <t>02_6_</t>
  </si>
  <si>
    <t>(8,05+1,85+4,70+7,95+12,50+5,95+2*2,00+9,10+5,85)*3,30</t>
  </si>
  <si>
    <t>obvodové stěny 1.NP - plochy brutto</t>
  </si>
  <si>
    <t>(8,05+4,70+1,85+7,95+12,50+5,90+2*2,00+9,10+5,85)*3,00</t>
  </si>
  <si>
    <t>obvodové stěny 2.NP - plochy brutto</t>
  </si>
  <si>
    <t>obvodové stěny 3.NP - plochy brutto</t>
  </si>
  <si>
    <t>(8,05+1,85+4,70+7,95+12,30+5,85+2*2,00+9,10+5,85)*3,00</t>
  </si>
  <si>
    <t>obvodové stěny 4.NP - plochy brutto</t>
  </si>
  <si>
    <t>79</t>
  </si>
  <si>
    <t>622904212R00</t>
  </si>
  <si>
    <t>Očištění organických nečiistot z fasád slož.1-2</t>
  </si>
  <si>
    <t>550,88*0,1</t>
  </si>
  <si>
    <t>10% z celkové plochy fasád</t>
  </si>
  <si>
    <t>80</t>
  </si>
  <si>
    <t>622477121R00-R1</t>
  </si>
  <si>
    <t>Oprava vnější omítky hladké stěn, sl.II; do 5 %, SMS</t>
  </si>
  <si>
    <t>462,57+46,40</t>
  </si>
  <si>
    <t>příprava podkladu pro KZS</t>
  </si>
  <si>
    <t>81</t>
  </si>
  <si>
    <t>624961113R00</t>
  </si>
  <si>
    <t>Těsnění spár PE těsnicí šňůrou průměru 40 mm; vč. odstranění původní výplně a vyčištění spáry</t>
  </si>
  <si>
    <t>2*12,30</t>
  </si>
  <si>
    <t>dilatační spára se starou budovou</t>
  </si>
  <si>
    <t>82</t>
  </si>
  <si>
    <t>624602115R00</t>
  </si>
  <si>
    <t>Tmelení spár š. 30 mm hl. 2,1 mm elastickým tmelem</t>
  </si>
  <si>
    <t>83</t>
  </si>
  <si>
    <t>622312123R00-R1</t>
  </si>
  <si>
    <t>D+M KZS sokl: penetrace, tmel, soklový EPS 150 P tl.120 mm, hmoždinky, broušení, 2x stěrka s perlinkou, můstek, mozaiková omítka</t>
  </si>
  <si>
    <t>(8,05+1,85+4,70+7,95+12,50+5,95+9,10+5,85)*0,80</t>
  </si>
  <si>
    <t>-(3,60+1,05)*0,80</t>
  </si>
  <si>
    <t>84</t>
  </si>
  <si>
    <t>622312119R00-R1</t>
  </si>
  <si>
    <t>D+M KZS sokl: penetrace, tmel, soklový EPS 150 P tl.40 mm, hmoždinky, broušení, 2x stěrka s perlinkou, můstek, mozaiková omítka</t>
  </si>
  <si>
    <t>(2*2,00)*0,80</t>
  </si>
  <si>
    <t>85</t>
  </si>
  <si>
    <t>622312135RT3-R1</t>
  </si>
  <si>
    <t>D+M KZS fasáda: penetrace, tmel, EPS F tl.160 mm, zapuštěné hmoždinky, kašírování, stěrka s perlinkou, můstek, silikon. omítka zrno 1,5 mm</t>
  </si>
  <si>
    <t>s omítkou SH silikonovou, zrno 1,5 mm</t>
  </si>
  <si>
    <t>(8,05+1,85+4,70+7,95+12,50+5,95+9,10+5,85)*2,80</t>
  </si>
  <si>
    <t>(8,05+4,70+1,85+7,95+12,50+5,90+9,10+5,85)*3,00</t>
  </si>
  <si>
    <t>(8,05+1,85+4,70+7,95+12,30+5,85+9,10+5,85)*2,80</t>
  </si>
  <si>
    <t>86</t>
  </si>
  <si>
    <t>622312130RT3-R1</t>
  </si>
  <si>
    <t>D+M KZS fasáda: penetrace, tmel, EPS F tl.40 mm, zapuštěné hmoždinky, kašírování, stěrka s perlinkou, můstek, silikon. omítka zrno 1,5 mm</t>
  </si>
  <si>
    <t>2*2,00*2,80</t>
  </si>
  <si>
    <t>2*2,00*3,00</t>
  </si>
  <si>
    <t>87</t>
  </si>
  <si>
    <t>622312130RT3-R2</t>
  </si>
  <si>
    <t>D+M KZS podhled: penetrace, tmel, EPS F tl.40 mm, zapuštěné hmoždinky, kašírování, stěrka s perlinkou, můstek, silikon. omítka zrno 1,5 mm</t>
  </si>
  <si>
    <t>1,85*4,70</t>
  </si>
  <si>
    <t>1.NP - závětří hl. vstupu</t>
  </si>
  <si>
    <t>(21,10+14,85+6,15+2*2,80+9,90+6,00)*(0,70+0,35)</t>
  </si>
  <si>
    <t>4.NP - podbití přesahu střechy</t>
  </si>
  <si>
    <t>88</t>
  </si>
  <si>
    <t>622391113R00</t>
  </si>
  <si>
    <t>Příplatek za počet hmoždinek 10 ks/m2</t>
  </si>
  <si>
    <t>155,82</t>
  </si>
  <si>
    <t>plochy KZS ve 4.NP</t>
  </si>
  <si>
    <t>-(16*1,80+2*0,45+2*3,45+13,52)</t>
  </si>
  <si>
    <t>89</t>
  </si>
  <si>
    <t>622312150RT3-R1</t>
  </si>
  <si>
    <t>D+M KZS povrchová úprava ostění v EPS, silikon. omítka; vč. dodávky materiálu</t>
  </si>
  <si>
    <t>(31+19+7+6)*2*(1,20+1,50)*0,16</t>
  </si>
  <si>
    <t>(6+5)*2*(0,60+0,75)*0,16</t>
  </si>
  <si>
    <t>2*2*(1,33+2,35)*0,16</t>
  </si>
  <si>
    <t>2*2*(2,30+1,50)*0,16</t>
  </si>
  <si>
    <t>1*2*(1,20+1,50)*0,16</t>
  </si>
  <si>
    <t>1*2*(0,60+1,50)*0,16</t>
  </si>
  <si>
    <t>1*2*(1,50+8,35)*0,16</t>
  </si>
  <si>
    <t>1*2*(1,52+4,36+2,30)*0,16</t>
  </si>
  <si>
    <t>1*2*(1,05+2,35)*0,16</t>
  </si>
  <si>
    <t>90</t>
  </si>
  <si>
    <t>622312160R00-R1</t>
  </si>
  <si>
    <t>D+M KZS úprava parapetu z EPS, XPS; vč. dodávky materiálu</t>
  </si>
  <si>
    <t>(31+19+7+6)*1,20*0,16</t>
  </si>
  <si>
    <t>(6+5)*0,60*0,16</t>
  </si>
  <si>
    <t>2*1,33*0,16</t>
  </si>
  <si>
    <t>2*2,30*0,16</t>
  </si>
  <si>
    <t>1*1,20*0,16</t>
  </si>
  <si>
    <t>1*0,60*0,16</t>
  </si>
  <si>
    <t>1*1,50*0,16</t>
  </si>
  <si>
    <t>91</t>
  </si>
  <si>
    <t>622311033R00</t>
  </si>
  <si>
    <t>D+M Zakládací sada ETICS, profil soklový + okapní profil PVC, pro tl. izolantu 100-170 mm</t>
  </si>
  <si>
    <t>8,05+1,85+4,70+7,95+12,50+5,95+9,10+5,85-1,05-3,60</t>
  </si>
  <si>
    <t>pro izolant tl.160 mm</t>
  </si>
  <si>
    <t>92</t>
  </si>
  <si>
    <t>622312113R00</t>
  </si>
  <si>
    <t>D+M dilatační profil KZS; koutový</t>
  </si>
  <si>
    <t>93</t>
  </si>
  <si>
    <t>953922111R00-R1</t>
  </si>
  <si>
    <t>D+M ventilační mřížky pro KZS, PVC; vnitřní+potrubí+vnější; vč. demontáže stáv. ventilační mřížek</t>
  </si>
  <si>
    <t>622300175RT2</t>
  </si>
  <si>
    <t>D+M Montáž elekroinstalační krabice PVC do zateplení; vč. dodávky krabice 120x120x200 mm</t>
  </si>
  <si>
    <t>622300176RT2</t>
  </si>
  <si>
    <t>D+M Osazení montážní desky PVC do zateplení, vč. dodávky desky 120x120x200 mm</t>
  </si>
  <si>
    <t>622481291R00-R1</t>
  </si>
  <si>
    <t>D+M Montáž další lišty do KZS, výztužné rohové; vč. dodávky lišty</t>
  </si>
  <si>
    <t>6*2,80</t>
  </si>
  <si>
    <t>nároží 1.NP</t>
  </si>
  <si>
    <t>97</t>
  </si>
  <si>
    <t>63180006-R1</t>
  </si>
  <si>
    <t>Příplatek za použití pancéřové výztužné tkaniny; oko 6 x 6 mm, plošná hmotnost 340 g/m2</t>
  </si>
  <si>
    <t>-(13*1,80+3*0,45+2,47+8,25)</t>
  </si>
  <si>
    <t>98</t>
  </si>
  <si>
    <t>622471931R00</t>
  </si>
  <si>
    <t>Příplatek za vícebarevné provádění fasád</t>
  </si>
  <si>
    <t>462,57+46,40+75,48</t>
  </si>
  <si>
    <t>99</t>
  </si>
  <si>
    <t>620991121R00</t>
  </si>
  <si>
    <t>Zakrývání výplní vnějších otvorů z lešení; vč. dodávky pásky a fólie; vč. odstranění</t>
  </si>
  <si>
    <t>1*(3,60*2,30)</t>
  </si>
  <si>
    <t>dveřní stěna hl. vstupu</t>
  </si>
  <si>
    <t>100</t>
  </si>
  <si>
    <t>101</t>
  </si>
  <si>
    <t>764421850R00</t>
  </si>
  <si>
    <t>Demontáž oplechování říms, rš od 250 do 330 mm</t>
  </si>
  <si>
    <t>02_9_</t>
  </si>
  <si>
    <t>18,03</t>
  </si>
  <si>
    <t>odskok fasády, mezi okny ve 4.NP</t>
  </si>
  <si>
    <t>102</t>
  </si>
  <si>
    <t>764430850R00</t>
  </si>
  <si>
    <t>Demontáž oplechování zdí, rš 600 mm</t>
  </si>
  <si>
    <t>4,85+1,23+0,66</t>
  </si>
  <si>
    <t>parapet terasy ve 4.NP</t>
  </si>
  <si>
    <t>103</t>
  </si>
  <si>
    <t>764454802R00</t>
  </si>
  <si>
    <t>Demontáž odpadních trub kruhových, D 120 mm</t>
  </si>
  <si>
    <t>4*(11,70+0,70)</t>
  </si>
  <si>
    <t>104</t>
  </si>
  <si>
    <t>764453844R00</t>
  </si>
  <si>
    <t>Demontáž kolen horních dvojitých,120 a 150 mm</t>
  </si>
  <si>
    <t>4*2</t>
  </si>
  <si>
    <t>105</t>
  </si>
  <si>
    <t>764453875R00</t>
  </si>
  <si>
    <t>Demontáž odskoků odpad. trub str.nebo D až 200 mm</t>
  </si>
  <si>
    <t>4*1</t>
  </si>
  <si>
    <t>106</t>
  </si>
  <si>
    <t>764359810R00</t>
  </si>
  <si>
    <t>Demontáž kotlíku kónického, sklon do 30°</t>
  </si>
  <si>
    <t>107</t>
  </si>
  <si>
    <t>764352810R00</t>
  </si>
  <si>
    <t>Demontáž žlabů půlkruh. rovných, rš 330 mm, do 30°</t>
  </si>
  <si>
    <t>21,90+14,40+6,30+1,70+10,40+1,70+5,20</t>
  </si>
  <si>
    <t>108</t>
  </si>
  <si>
    <t>02_0_</t>
  </si>
  <si>
    <t>109</t>
  </si>
  <si>
    <t>2*0,44</t>
  </si>
  <si>
    <t>110</t>
  </si>
  <si>
    <t>111</t>
  </si>
  <si>
    <t>112</t>
  </si>
  <si>
    <t>Poplatek za ukládku suť do 10 % příměsí (skup.170107)</t>
  </si>
  <si>
    <t>113</t>
  </si>
  <si>
    <t>114</t>
  </si>
  <si>
    <t>764411100R00-R1</t>
  </si>
  <si>
    <t>D+M Oplechování říms z tažených Al profilů, š.150 mm; pilířky mezi okny 4.NP; barva tm.šedá</t>
  </si>
  <si>
    <t>02_76_</t>
  </si>
  <si>
    <t>2*0,84</t>
  </si>
  <si>
    <t>poz.K8</t>
  </si>
  <si>
    <t>8*0,63</t>
  </si>
  <si>
    <t>poz.K9</t>
  </si>
  <si>
    <t>1*0,72</t>
  </si>
  <si>
    <t>poz.K10</t>
  </si>
  <si>
    <t>1*0,74</t>
  </si>
  <si>
    <t>poz.K11</t>
  </si>
  <si>
    <t>2*1,03</t>
  </si>
  <si>
    <t>poz.K12</t>
  </si>
  <si>
    <t>2*1,13</t>
  </si>
  <si>
    <t>poz.K13</t>
  </si>
  <si>
    <t>2*0,53</t>
  </si>
  <si>
    <t>poz.K14</t>
  </si>
  <si>
    <t>2*0,88</t>
  </si>
  <si>
    <t>poz.K15</t>
  </si>
  <si>
    <t>1*1,13</t>
  </si>
  <si>
    <t>poz.K16</t>
  </si>
  <si>
    <t>1*1,58</t>
  </si>
  <si>
    <t>poz.K17</t>
  </si>
  <si>
    <t>115</t>
  </si>
  <si>
    <t>764411171R00</t>
  </si>
  <si>
    <t>D+M Spojení oplechování z taženého AL, rovné, pro šířky 50-360 mm; barva tm.šedá</t>
  </si>
  <si>
    <t>2+8+1+1+2+2+2+1+1</t>
  </si>
  <si>
    <t>pro poz.K8-K11, K13-K17</t>
  </si>
  <si>
    <t>116</t>
  </si>
  <si>
    <t>764411181R00</t>
  </si>
  <si>
    <t>D+M Spojení oplechování z taženého AL, rohové, pro šířky 50-360 mm; barva tm.šedá</t>
  </si>
  <si>
    <t>pro poz. K12</t>
  </si>
  <si>
    <t>117</t>
  </si>
  <si>
    <t>764411100R00-R2</t>
  </si>
  <si>
    <t>D+M Oplechování zídky z tažených Al profilů, š.420 mm; barva tm.šedá</t>
  </si>
  <si>
    <t>4,85</t>
  </si>
  <si>
    <t>poz.K18</t>
  </si>
  <si>
    <t>118</t>
  </si>
  <si>
    <t>764411100R00-R3</t>
  </si>
  <si>
    <t>D+M Oplechování zídky z tažených Al profilů, š.520 mm; barva tm.šedá</t>
  </si>
  <si>
    <t>1,23</t>
  </si>
  <si>
    <t>poz.K20</t>
  </si>
  <si>
    <t>119</t>
  </si>
  <si>
    <t>764411100R00-R4</t>
  </si>
  <si>
    <t>D+M Oplechování zídky z tažených Al profilů, š.620 mm; barva tm.šedá</t>
  </si>
  <si>
    <t>0,66</t>
  </si>
  <si>
    <t>poz.K19</t>
  </si>
  <si>
    <t>120</t>
  </si>
  <si>
    <t>764411100R00-R5</t>
  </si>
  <si>
    <t>D+M Spojení oplechování z taženého AL, rohové, pro šířky 400-650 mm; barva tm.šedá</t>
  </si>
  <si>
    <t>pro poz. K19</t>
  </si>
  <si>
    <t>121</t>
  </si>
  <si>
    <t>764454203R00</t>
  </si>
  <si>
    <t>D+M Odpadní trouby z Pz plechu, kruhové, D 120 mm; barva tm. šedá</t>
  </si>
  <si>
    <t>k poz.K21</t>
  </si>
  <si>
    <t>122</t>
  </si>
  <si>
    <t>764454293R00-R1</t>
  </si>
  <si>
    <t>D+M Koleno svod. trouby z Pz plechu, kruhové, D 120 mm; barva tm. šedá</t>
  </si>
  <si>
    <t>4*4</t>
  </si>
  <si>
    <t>k poz. K21</t>
  </si>
  <si>
    <t>123</t>
  </si>
  <si>
    <t>764454294R00-R1</t>
  </si>
  <si>
    <t>D+M Odskok svod. trouby z Pz plechu, kruhové, D 120 mm; barva tm. šedá</t>
  </si>
  <si>
    <t>124</t>
  </si>
  <si>
    <t>764359212R00</t>
  </si>
  <si>
    <t>D+M Kotlík z Pz plechu kónický pro trouby D do 125 mm, barva tm. šedá</t>
  </si>
  <si>
    <t>125</t>
  </si>
  <si>
    <t>764352203R00</t>
  </si>
  <si>
    <t>D+M Žlaby z Pz plechu podokapní půlkruhové, rš 330 mm; barva tm. šedá</t>
  </si>
  <si>
    <t>126</t>
  </si>
  <si>
    <t>127</t>
  </si>
  <si>
    <t>767000000000-R1</t>
  </si>
  <si>
    <t>D+M náhrada stříšky hlavního vstupu;  D.1.1-20 - prvek ozn. Z1</t>
  </si>
  <si>
    <t>767_</t>
  </si>
  <si>
    <t>- kompletní náhrada stávajícího prvku, tvar a rozměry zachovány
- konstrukce z uzavřených nerezových profilů, kotvy upraveny pro kotvení přes zateplovavcí sytém
- výplň: vrstvené bezpečnostní sklo z 2 x ESG, čiré
- včetně kotevních prvků
- včetně demontáže a likvidace původního prvku</t>
  </si>
  <si>
    <t>128</t>
  </si>
  <si>
    <t>D+M náhrada stříšky zadního vstupu;  D.1.1-20 - prvek ozn. Z2</t>
  </si>
  <si>
    <t>129</t>
  </si>
  <si>
    <t>D+M náhrada stříšky nad lodžií ve 4.NP;  D.1.1-20 - prvek ozn. Z3</t>
  </si>
  <si>
    <t>- kompletní náhrada stávajícího prvku, tvar a rozměry zachovány
- konstrukce z uzavřených nerezových profilů, kotvy upraveny pro kotvení přes zateplovavcí sytém
- výplň: vrstvené bezpečnostní sklo z 2 x ESG, čiré
- součástí vlajkový stožár z nerezové trubky s mechanickým lanovým systémem pro zavěšení vlajky
- včetně kotevních prvků
- včetně demontáže a likvidace původního prvku</t>
  </si>
  <si>
    <t>130</t>
  </si>
  <si>
    <t>D+M náhrada zábradlí na lodžii ve 4.NP;  D.1.1-20 - prvek ozn. Z4</t>
  </si>
  <si>
    <t>- kompletní náhrada stávajícího prvku, tvar a rozměry zachovány
- konstrukce z uzavřených nerezových kulatých tyčí, 2x vodorovná tyč, horní hrana 1100 mm nad podlahou lodžie
- sloupky kruhové, boční kotvení z vnitřní strany lodžiové stěny
- včetně kotevních prvků</t>
  </si>
  <si>
    <t>131</t>
  </si>
  <si>
    <t>998767102R00</t>
  </si>
  <si>
    <t>Přesun hmot pro zámečnické konstr., výšky do 12 m</t>
  </si>
  <si>
    <t>132</t>
  </si>
  <si>
    <t>941941032R00</t>
  </si>
  <si>
    <t>Montáž lešení leh.řad.s podlahami, š. 1 m, v. do 30 m; vč. nákladů na dopravu</t>
  </si>
  <si>
    <t>94_</t>
  </si>
  <si>
    <t>(21,50+15,10+6,20+2,00+9,40+2,00+5,80)*12,00</t>
  </si>
  <si>
    <t>133</t>
  </si>
  <si>
    <t>941941192R00</t>
  </si>
  <si>
    <t>Příplatek za každý měsíc použití lešení</t>
  </si>
  <si>
    <t>3*744</t>
  </si>
  <si>
    <t>3 měsíce</t>
  </si>
  <si>
    <t>134</t>
  </si>
  <si>
    <t>941941832R00</t>
  </si>
  <si>
    <t>Demontáž lešení leh.řad.s podlahami, š.1 m, v. do 30 m; vč. nákladů na dopravu</t>
  </si>
  <si>
    <t>135</t>
  </si>
  <si>
    <t>944944011R00</t>
  </si>
  <si>
    <t>Montáž ochranné sítě z umělých vláken</t>
  </si>
  <si>
    <t>136</t>
  </si>
  <si>
    <t>944944031R00</t>
  </si>
  <si>
    <t>Příplatek za každý měsíc použití sítí k pol. 4011</t>
  </si>
  <si>
    <t>137</t>
  </si>
  <si>
    <t>944944081R00</t>
  </si>
  <si>
    <t>Demontáž ochranné sítě z umělých vláken</t>
  </si>
  <si>
    <t>138</t>
  </si>
  <si>
    <t>944945013R00</t>
  </si>
  <si>
    <t>Montáž záchytné stříšky H 4,5 m, šířky nad 2 m</t>
  </si>
  <si>
    <t>3,60</t>
  </si>
  <si>
    <t>hlavní vstup</t>
  </si>
  <si>
    <t>139</t>
  </si>
  <si>
    <t>944945192R00</t>
  </si>
  <si>
    <t>Příplatek za každý měsíc použití stříšky, k pol. 5012</t>
  </si>
  <si>
    <t>3*3,60</t>
  </si>
  <si>
    <t>140</t>
  </si>
  <si>
    <t>944945813R00</t>
  </si>
  <si>
    <t>Demontáž záchytné stříšky H 4,5 m, šířky nad 2 m</t>
  </si>
  <si>
    <t>141</t>
  </si>
  <si>
    <t>945941003R00</t>
  </si>
  <si>
    <t>Montáž a revize závěsné klece; vč. nákladů na dopravu</t>
  </si>
  <si>
    <t>142</t>
  </si>
  <si>
    <t>945941101R00</t>
  </si>
  <si>
    <t>Závěsná klec délky do 1,2 m, elektrická, výška do 50 m</t>
  </si>
  <si>
    <t>den</t>
  </si>
  <si>
    <t>143</t>
  </si>
  <si>
    <t>945941803R00</t>
  </si>
  <si>
    <t>Demontáž závěsné klece; vč. nákladů na dopravu</t>
  </si>
  <si>
    <t>144</t>
  </si>
  <si>
    <t>941955001R00</t>
  </si>
  <si>
    <t>Lešení lehké pomocné, výška podlahy do 1,2 m</t>
  </si>
  <si>
    <t>4*(55,00*1,00)</t>
  </si>
  <si>
    <t>interiér. obvodové stěny 1.NP-4.NP; š. 1,0 m</t>
  </si>
  <si>
    <t>145</t>
  </si>
  <si>
    <t>953000000-R1</t>
  </si>
  <si>
    <t>Náhrada dvířek rozvod. skříně,  rozm. ca 0,45x0,60 m; vč. komplet č. rámu a prodloužení pro KZS tl.160 mm</t>
  </si>
  <si>
    <t>146</t>
  </si>
  <si>
    <t>953000000-R2</t>
  </si>
  <si>
    <t>Demontáž a zpětné osazení venkovní split. jednotky chlazení; vč. úpravy kotvení a konzol</t>
  </si>
  <si>
    <t>včetně odstavení, odpojení, zpětného připojení, revize a uvedení do provozu</t>
  </si>
  <si>
    <t>147</t>
  </si>
  <si>
    <t>953000000-R3</t>
  </si>
  <si>
    <t>Demontáž a zpětné osazení svítidla veřejného osvětlení; vč. úpravy kotvení a konzol</t>
  </si>
  <si>
    <t>včetně odpojení, zpětného připojení, revize a uvedení do provozu</t>
  </si>
  <si>
    <t>148</t>
  </si>
  <si>
    <t>953000000-R4</t>
  </si>
  <si>
    <t>Demontáž a zpětné osazení svítidla venk. domovního osvětlení; vč. úpravy kotvení a konzol</t>
  </si>
  <si>
    <t>149</t>
  </si>
  <si>
    <t>953000000-R5</t>
  </si>
  <si>
    <t>Demontáž a zpětné osazení konc. prvků domovních elektroinstalací; vč. úpravy kotvení a konzol</t>
  </si>
  <si>
    <t>soubor</t>
  </si>
  <si>
    <t>150</t>
  </si>
  <si>
    <t>953000000-R6</t>
  </si>
  <si>
    <t>Demontáže a zpětné osazení ostatních prvků na fasádě jinde neuvedených - plechové značky, cedule, štítky atp.</t>
  </si>
  <si>
    <t>151</t>
  </si>
  <si>
    <t>953000000-R7</t>
  </si>
  <si>
    <t>Demontáž a zpětné osazení svodového vedení bleskovodu; vč. úpravy kotvení a konzol</t>
  </si>
  <si>
    <t>152</t>
  </si>
  <si>
    <t>999281148R00</t>
  </si>
  <si>
    <t>Přesun hmot pro opravy a údržbu do v. 12 m</t>
  </si>
  <si>
    <t>153</t>
  </si>
  <si>
    <t>965081713RT1</t>
  </si>
  <si>
    <t>Bourání dlažeb keramických tl.10 mm, nad 1 m2</t>
  </si>
  <si>
    <t>03_9_</t>
  </si>
  <si>
    <t>03_</t>
  </si>
  <si>
    <t>ručně, dlaždice keramické</t>
  </si>
  <si>
    <t>1,65*4,30</t>
  </si>
  <si>
    <t>terasa 4.NP</t>
  </si>
  <si>
    <t>154</t>
  </si>
  <si>
    <t>965081702R00</t>
  </si>
  <si>
    <t>Bourání soklíků z dlažeb keramických</t>
  </si>
  <si>
    <t>1,65+4,30+2*0,40</t>
  </si>
  <si>
    <t>155</t>
  </si>
  <si>
    <t>965042141RT3</t>
  </si>
  <si>
    <t>Bourání mazanin betonových tl. 8 cm, nad 4 m2</t>
  </si>
  <si>
    <t>pneumat. kladivo, tl. mazaniny 5 - 8 cm</t>
  </si>
  <si>
    <t>1,65*4,30*0,08</t>
  </si>
  <si>
    <t>156</t>
  </si>
  <si>
    <t>712300832RT1</t>
  </si>
  <si>
    <t>Odstranění povlakové krytiny střech do 10°, 2 vrstvy - hydroizolace</t>
  </si>
  <si>
    <t>z ploch jednotlivě do 10 m2</t>
  </si>
  <si>
    <t>157</t>
  </si>
  <si>
    <t>713104311R00</t>
  </si>
  <si>
    <t>Odstranění tepelné izolace střech plochých, lepené, z desek EPS, tl. do 100 mm</t>
  </si>
  <si>
    <t>158</t>
  </si>
  <si>
    <t>712300831RT1</t>
  </si>
  <si>
    <t>Odstranění povlakové krytiny střech do 10°, 1 vrstva - parotěs</t>
  </si>
  <si>
    <t>159</t>
  </si>
  <si>
    <t>721210822R00</t>
  </si>
  <si>
    <t>Demontáž střešní vpusti, terasová DN 75 mm</t>
  </si>
  <si>
    <t>160</t>
  </si>
  <si>
    <t>03_0_</t>
  </si>
  <si>
    <t>161</t>
  </si>
  <si>
    <t>2*1,55</t>
  </si>
  <si>
    <t>162</t>
  </si>
  <si>
    <t>163</t>
  </si>
  <si>
    <t>164</t>
  </si>
  <si>
    <t>165</t>
  </si>
  <si>
    <t>979990121R00</t>
  </si>
  <si>
    <t>Poplatek za uložení suti - asfaltové pásy, skupina odpadu 170302</t>
  </si>
  <si>
    <t>166</t>
  </si>
  <si>
    <t>979990191R00</t>
  </si>
  <si>
    <t>Poplatek za uložení suti - plastové výrobky, skupina odpadu 170203</t>
  </si>
  <si>
    <t>167</t>
  </si>
  <si>
    <t>711212000RU1</t>
  </si>
  <si>
    <t>Penetrace podkladu pod hydroizolační hmoty, včetně dodávky</t>
  </si>
  <si>
    <t>711_</t>
  </si>
  <si>
    <t>03_71_</t>
  </si>
  <si>
    <t>1,65*4,30*2</t>
  </si>
  <si>
    <t>terasa 4.NP - plocha</t>
  </si>
  <si>
    <t>2*(1,65+4,30)*0,30*2</t>
  </si>
  <si>
    <t>168</t>
  </si>
  <si>
    <t>711212012RT3</t>
  </si>
  <si>
    <t>Hydroizolační povlak vyztužený tkaninou, 2 vrstvy</t>
  </si>
  <si>
    <t>169</t>
  </si>
  <si>
    <t>711212601RT2</t>
  </si>
  <si>
    <t>D+M Utěsnění detailů při stěrkových hydroizolacích, těsnicí pás do spoje podlaha - stěna</t>
  </si>
  <si>
    <t>2*(1,65+4,30)</t>
  </si>
  <si>
    <t>170</t>
  </si>
  <si>
    <t>998711102R00</t>
  </si>
  <si>
    <t>Přesun hmot pro izolace proti vodě, výšky do 12 m</t>
  </si>
  <si>
    <t>171</t>
  </si>
  <si>
    <t>776101101R00</t>
  </si>
  <si>
    <t>Vysávání podlah prům.vysavačem pod povlak.podlahy</t>
  </si>
  <si>
    <t>712_</t>
  </si>
  <si>
    <t>172</t>
  </si>
  <si>
    <t>712311101RZ1</t>
  </si>
  <si>
    <t>Provedení povlakové krytiny střech do 10°, asfaltovým penetračním nátěrem; vč. nátěru min.0,4 kg/m2</t>
  </si>
  <si>
    <t>173</t>
  </si>
  <si>
    <t>712811101RZ1</t>
  </si>
  <si>
    <t>samostatné vytažení izolačního povlaku, asfaltovým penetračním nátěrem; vč. nátěru min.0,4 kg/m2</t>
  </si>
  <si>
    <t>1x nátěr - včetně dodávky asfaltového penetračního nátěru</t>
  </si>
  <si>
    <t>2*(1,65+4,30)*0,40</t>
  </si>
  <si>
    <t>174</t>
  </si>
  <si>
    <t>712341559R00</t>
  </si>
  <si>
    <t>Provedení povlakové krytiny střech do 10°, asfaltovými pásy, 1 vrstva,  přitavení celoplošně</t>
  </si>
  <si>
    <t>175</t>
  </si>
  <si>
    <t>712841559R00</t>
  </si>
  <si>
    <t>Provedení povlakové krytiny střech, samostatné vytažení povlaku, 1 vrstva, asfaltové pásy přitavením</t>
  </si>
  <si>
    <t>176</t>
  </si>
  <si>
    <t>62852265</t>
  </si>
  <si>
    <t>Pás asfaltový modifikovaný natavovací, tl.4,0 mm, vložka ze skleněné tkaniny, minerál.posyp</t>
  </si>
  <si>
    <t>terasa 4.NP - vytažení</t>
  </si>
  <si>
    <t>;ztratné 20%; 2,37</t>
  </si>
  <si>
    <t>177</t>
  </si>
  <si>
    <t>712378105RT2</t>
  </si>
  <si>
    <t>Prostup parozábranou s manžetou, prostup 75 mm</t>
  </si>
  <si>
    <t>průměr prostupu 75 mm</t>
  </si>
  <si>
    <t>178</t>
  </si>
  <si>
    <t>2834820862</t>
  </si>
  <si>
    <t>Vpust terasová svislá s asfaltovou manžetou D 75 mm</t>
  </si>
  <si>
    <t>179</t>
  </si>
  <si>
    <t>998712102R00</t>
  </si>
  <si>
    <t>Přesun hmot pro povlakové krytiny, výšky do 12 m</t>
  </si>
  <si>
    <t>180</t>
  </si>
  <si>
    <t>713141123R00</t>
  </si>
  <si>
    <t>Montáž tepelné izolace střech, lepená tmelem; vč. penetrace podkladu</t>
  </si>
  <si>
    <t>713_</t>
  </si>
  <si>
    <t>181</t>
  </si>
  <si>
    <t>28375447</t>
  </si>
  <si>
    <t>Deska spádová XPS 300 kPa, tl.100-140 mm</t>
  </si>
  <si>
    <t>1,65*4,30*0,120</t>
  </si>
  <si>
    <t>182</t>
  </si>
  <si>
    <t>998713102R00</t>
  </si>
  <si>
    <t>Přesun hmot pro izolace tepelné, výšky do 12 m</t>
  </si>
  <si>
    <t>183</t>
  </si>
  <si>
    <t>632421160RU3</t>
  </si>
  <si>
    <t>Potěr ze SMS, cementový s vlákny, rychletuhnoucí, ruční zpracování; tl. 50 mm</t>
  </si>
  <si>
    <t>771_</t>
  </si>
  <si>
    <t>03_77_</t>
  </si>
  <si>
    <t>184</t>
  </si>
  <si>
    <t>771101210R00</t>
  </si>
  <si>
    <t>Penetrace podkladu pod dlažby</t>
  </si>
  <si>
    <t>185</t>
  </si>
  <si>
    <t>771212113R00</t>
  </si>
  <si>
    <t>Kladení dlažby keramické do tmele, vel. do 400x400 mm</t>
  </si>
  <si>
    <t>186</t>
  </si>
  <si>
    <t>59764203</t>
  </si>
  <si>
    <t>Dlažba slinutá matná, formát 300x300, protiskluz R10</t>
  </si>
  <si>
    <t>;ztratné 20%; 1,418</t>
  </si>
  <si>
    <t>187</t>
  </si>
  <si>
    <t>771130111R00</t>
  </si>
  <si>
    <t>Obklad soklíků rovných do tmele výšky do 100 mm</t>
  </si>
  <si>
    <t>188</t>
  </si>
  <si>
    <t>59764241</t>
  </si>
  <si>
    <t>Dlažba slinutá matná, sokl, formát 300x80</t>
  </si>
  <si>
    <t>;ztratné 20%; 1,35</t>
  </si>
  <si>
    <t>189</t>
  </si>
  <si>
    <t>771578011R00</t>
  </si>
  <si>
    <t>Spára podlaha - stěna, silikonem</t>
  </si>
  <si>
    <t>190</t>
  </si>
  <si>
    <t>721211510R00</t>
  </si>
  <si>
    <t>D+M Balkónový a terasový vtok DN40 se svislým odtokem, s izolačním límcem, sítkem, nástavcem, rámečkem a mřížkou z nerezové ocel</t>
  </si>
  <si>
    <t>191</t>
  </si>
  <si>
    <t>998771102R00</t>
  </si>
  <si>
    <t>Přesun hmot pro podlahy z dlaždic, výšky do 12 m</t>
  </si>
  <si>
    <t>VORN</t>
  </si>
  <si>
    <t>Vedlejší a ostatní rozpočtové náklady</t>
  </si>
  <si>
    <t>192</t>
  </si>
  <si>
    <t>030000VRN</t>
  </si>
  <si>
    <t>Zařízení staveniště - komplet; mj. zřízení, provoz, zabezpečení, odstranění, zábory, energie</t>
  </si>
  <si>
    <t>Soubor</t>
  </si>
  <si>
    <t>09VRN_</t>
  </si>
  <si>
    <t>N_Â _</t>
  </si>
  <si>
    <t>N_</t>
  </si>
  <si>
    <t>193</t>
  </si>
  <si>
    <t>040000VRN</t>
  </si>
  <si>
    <t>Inženýská a kompletační činnost zhotovitele - mj. revize, dokumentace skut.provedení, pojištění a další dle obchod. podmínek</t>
  </si>
  <si>
    <t>Stavební rozpočet - REKAPITULACE</t>
  </si>
  <si>
    <t>VEDLEJŠÍ A OSTATNÍ ROZPOČTOVÉ NÁKLADY</t>
  </si>
  <si>
    <t>NÁKLADY CELKEM:</t>
  </si>
  <si>
    <t>bez DPH</t>
  </si>
  <si>
    <t>DPH 21%</t>
  </si>
  <si>
    <t>vč. DPH</t>
  </si>
  <si>
    <t xml:space="preserve"> Kč</t>
  </si>
  <si>
    <t>vyplní zhotovitel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</si>
</sst>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name val="Calibri"/>
      <charset val="1"/>
    </font>
    <font>
      <sz val="1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i/>
      <sz val="10"/>
      <color rgb="FF004080"/>
      <name val="Arial"/>
      <family val="2"/>
      <charset val="238"/>
    </font>
    <font>
      <i/>
      <sz val="10"/>
      <color rgb="FF800000"/>
      <name val="Arial"/>
      <family val="2"/>
      <charset val="238"/>
    </font>
    <font>
      <i/>
      <sz val="10"/>
      <color rgb="FF008080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1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8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b/>
      <sz val="10"/>
      <color rgb="FFC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B9D1EA"/>
        <bgColor rgb="FFB9D1EA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4" fontId="2" fillId="0" borderId="5" xfId="0" applyNumberFormat="1" applyFont="1" applyFill="1" applyBorder="1" applyAlignment="1" applyProtection="1">
      <alignment horizontal="right" vertical="center"/>
    </xf>
    <xf numFmtId="0" fontId="2" fillId="0" borderId="6" xfId="0" applyNumberFormat="1" applyFont="1" applyFill="1" applyBorder="1" applyAlignment="1" applyProtection="1">
      <alignment horizontal="right" vertical="center"/>
    </xf>
    <xf numFmtId="4" fontId="2" fillId="0" borderId="0" xfId="0" applyNumberFormat="1" applyFont="1" applyFill="1" applyBorder="1" applyAlignment="1" applyProtection="1">
      <alignment horizontal="right" vertical="center"/>
    </xf>
    <xf numFmtId="4" fontId="2" fillId="0" borderId="2" xfId="0" applyNumberFormat="1" applyFont="1" applyFill="1" applyBorder="1" applyAlignment="1" applyProtection="1">
      <alignment horizontal="right" vertical="center"/>
    </xf>
    <xf numFmtId="0" fontId="2" fillId="0" borderId="7" xfId="0" applyNumberFormat="1" applyFont="1" applyFill="1" applyBorder="1" applyAlignment="1" applyProtection="1">
      <alignment horizontal="left" vertical="center"/>
    </xf>
    <xf numFmtId="0" fontId="2" fillId="0" borderId="8" xfId="0" applyNumberFormat="1" applyFont="1" applyFill="1" applyBorder="1" applyAlignment="1" applyProtection="1">
      <alignment horizontal="left" vertical="center"/>
    </xf>
    <xf numFmtId="4" fontId="2" fillId="0" borderId="8" xfId="0" applyNumberFormat="1" applyFont="1" applyFill="1" applyBorder="1" applyAlignment="1" applyProtection="1">
      <alignment horizontal="right" vertical="center"/>
    </xf>
    <xf numFmtId="4" fontId="3" fillId="0" borderId="10" xfId="0" applyNumberFormat="1" applyFont="1" applyFill="1" applyBorder="1" applyAlignment="1" applyProtection="1">
      <alignment horizontal="right" vertical="center"/>
    </xf>
    <xf numFmtId="4" fontId="3" fillId="2" borderId="0" xfId="0" applyNumberFormat="1" applyFont="1" applyFill="1" applyBorder="1" applyAlignment="1" applyProtection="1">
      <alignment horizontal="right" vertical="center"/>
    </xf>
    <xf numFmtId="0" fontId="3" fillId="2" borderId="0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2" fillId="3" borderId="3" xfId="0" applyNumberFormat="1" applyFont="1" applyFill="1" applyBorder="1" applyAlignment="1" applyProtection="1">
      <alignment horizontal="left" vertical="center"/>
    </xf>
    <xf numFmtId="0" fontId="3" fillId="3" borderId="4" xfId="0" applyNumberFormat="1" applyFont="1" applyFill="1" applyBorder="1" applyAlignment="1" applyProtection="1">
      <alignment horizontal="left" vertical="center"/>
    </xf>
    <xf numFmtId="0" fontId="2" fillId="3" borderId="4" xfId="0" applyNumberFormat="1" applyFont="1" applyFill="1" applyBorder="1" applyAlignment="1" applyProtection="1">
      <alignment horizontal="left" vertical="center"/>
    </xf>
    <xf numFmtId="4" fontId="3" fillId="3" borderId="4" xfId="0" applyNumberFormat="1" applyFont="1" applyFill="1" applyBorder="1" applyAlignment="1" applyProtection="1">
      <alignment horizontal="right" vertical="center"/>
    </xf>
    <xf numFmtId="0" fontId="3" fillId="3" borderId="4" xfId="0" applyNumberFormat="1" applyFont="1" applyFill="1" applyBorder="1" applyAlignment="1" applyProtection="1">
      <alignment horizontal="right" vertical="center"/>
    </xf>
    <xf numFmtId="0" fontId="2" fillId="2" borderId="1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>
      <alignment horizontal="left" vertical="center"/>
    </xf>
    <xf numFmtId="0" fontId="2" fillId="2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0" fillId="0" borderId="1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4" fontId="4" fillId="0" borderId="0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horizontal="right" vertical="center"/>
    </xf>
    <xf numFmtId="0" fontId="2" fillId="3" borderId="1" xfId="0" applyNumberFormat="1" applyFont="1" applyFill="1" applyBorder="1" applyAlignment="1" applyProtection="1">
      <alignment horizontal="left" vertical="center"/>
    </xf>
    <xf numFmtId="0" fontId="3" fillId="3" borderId="0" xfId="0" applyNumberFormat="1" applyFont="1" applyFill="1" applyBorder="1" applyAlignment="1" applyProtection="1">
      <alignment horizontal="left" vertical="center"/>
    </xf>
    <xf numFmtId="0" fontId="2" fillId="3" borderId="0" xfId="0" applyNumberFormat="1" applyFont="1" applyFill="1" applyBorder="1" applyAlignment="1" applyProtection="1">
      <alignment horizontal="left" vertical="center"/>
    </xf>
    <xf numFmtId="4" fontId="3" fillId="3" borderId="0" xfId="0" applyNumberFormat="1" applyFont="1" applyFill="1" applyBorder="1" applyAlignment="1" applyProtection="1">
      <alignment horizontal="right" vertical="center"/>
    </xf>
    <xf numFmtId="0" fontId="3" fillId="3" borderId="0" xfId="0" applyNumberFormat="1" applyFont="1" applyFill="1" applyBorder="1" applyAlignment="1" applyProtection="1">
      <alignment horizontal="right" vertical="center"/>
    </xf>
    <xf numFmtId="0" fontId="3" fillId="0" borderId="11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9" fillId="0" borderId="3" xfId="0" applyNumberFormat="1" applyFont="1" applyFill="1" applyBorder="1" applyAlignment="1" applyProtection="1">
      <alignment horizontal="center"/>
    </xf>
    <xf numFmtId="0" fontId="9" fillId="0" borderId="4" xfId="0" applyNumberFormat="1" applyFont="1" applyFill="1" applyBorder="1" applyAlignment="1" applyProtection="1">
      <alignment horizontal="center"/>
    </xf>
    <xf numFmtId="4" fontId="9" fillId="0" borderId="4" xfId="0" applyNumberFormat="1" applyFont="1" applyFill="1" applyBorder="1" applyAlignment="1" applyProtection="1">
      <alignment horizontal="right"/>
    </xf>
    <xf numFmtId="4" fontId="9" fillId="0" borderId="5" xfId="0" applyNumberFormat="1" applyFont="1" applyFill="1" applyBorder="1" applyAlignment="1" applyProtection="1">
      <alignment horizontal="right"/>
    </xf>
    <xf numFmtId="0" fontId="9" fillId="0" borderId="6" xfId="0" applyNumberFormat="1" applyFont="1" applyFill="1" applyBorder="1" applyAlignment="1" applyProtection="1">
      <alignment horizontal="right"/>
    </xf>
    <xf numFmtId="4" fontId="9" fillId="0" borderId="0" xfId="0" applyNumberFormat="1" applyFont="1" applyFill="1" applyBorder="1" applyAlignment="1" applyProtection="1">
      <alignment horizontal="right"/>
    </xf>
    <xf numFmtId="0" fontId="9" fillId="0" borderId="0" xfId="0" applyNumberFormat="1" applyFont="1" applyFill="1" applyBorder="1" applyAlignment="1" applyProtection="1">
      <alignment horizontal="left"/>
    </xf>
    <xf numFmtId="0" fontId="10" fillId="0" borderId="0" xfId="0" applyFont="1" applyAlignment="1"/>
    <xf numFmtId="0" fontId="9" fillId="0" borderId="1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4" fontId="9" fillId="0" borderId="2" xfId="0" applyNumberFormat="1" applyFont="1" applyFill="1" applyBorder="1" applyAlignment="1" applyProtection="1">
      <alignment horizontal="right"/>
    </xf>
    <xf numFmtId="0" fontId="9" fillId="0" borderId="10" xfId="0" applyNumberFormat="1" applyFont="1" applyFill="1" applyBorder="1" applyAlignment="1" applyProtection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0" borderId="13" xfId="0" applyFont="1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12" fillId="0" borderId="10" xfId="0" applyFont="1" applyBorder="1" applyAlignment="1">
      <alignment horizontal="center" vertical="center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8" xfId="0" applyBorder="1" applyAlignment="1">
      <alignment vertical="top"/>
    </xf>
    <xf numFmtId="0" fontId="11" fillId="0" borderId="18" xfId="0" applyFont="1" applyBorder="1" applyAlignment="1">
      <alignment horizontal="center" vertical="top"/>
    </xf>
    <xf numFmtId="4" fontId="12" fillId="0" borderId="10" xfId="0" applyNumberFormat="1" applyFont="1" applyBorder="1" applyAlignment="1">
      <alignment vertical="center"/>
    </xf>
    <xf numFmtId="0" fontId="12" fillId="0" borderId="16" xfId="0" applyFont="1" applyBorder="1" applyAlignment="1">
      <alignment horizontal="left" vertical="center"/>
    </xf>
    <xf numFmtId="4" fontId="11" fillId="0" borderId="18" xfId="0" applyNumberFormat="1" applyFont="1" applyBorder="1" applyAlignment="1">
      <alignment vertical="top"/>
    </xf>
    <xf numFmtId="0" fontId="11" fillId="0" borderId="19" xfId="0" applyFont="1" applyBorder="1" applyAlignment="1">
      <alignment horizontal="left" vertical="top"/>
    </xf>
    <xf numFmtId="0" fontId="2" fillId="0" borderId="10" xfId="0" applyNumberFormat="1" applyFont="1" applyFill="1" applyBorder="1" applyAlignment="1" applyProtection="1">
      <alignment horizontal="center" vertical="center"/>
    </xf>
    <xf numFmtId="4" fontId="2" fillId="0" borderId="10" xfId="0" applyNumberFormat="1" applyFont="1" applyFill="1" applyBorder="1" applyAlignment="1" applyProtection="1">
      <alignment horizontal="right" vertical="center"/>
    </xf>
    <xf numFmtId="4" fontId="3" fillId="0" borderId="13" xfId="0" applyNumberFormat="1" applyFont="1" applyFill="1" applyBorder="1" applyAlignment="1" applyProtection="1">
      <alignment horizontal="right" vertical="center"/>
    </xf>
    <xf numFmtId="0" fontId="10" fillId="0" borderId="14" xfId="0" applyFont="1" applyBorder="1"/>
    <xf numFmtId="0" fontId="9" fillId="0" borderId="21" xfId="0" applyNumberFormat="1" applyFont="1" applyFill="1" applyBorder="1" applyAlignment="1" applyProtection="1">
      <alignment horizontal="left" vertical="center"/>
    </xf>
    <xf numFmtId="0" fontId="9" fillId="0" borderId="22" xfId="0" applyNumberFormat="1" applyFont="1" applyFill="1" applyBorder="1" applyAlignment="1" applyProtection="1">
      <alignment horizontal="left" vertical="center"/>
    </xf>
    <xf numFmtId="0" fontId="9" fillId="0" borderId="22" xfId="0" applyNumberFormat="1" applyFont="1" applyFill="1" applyBorder="1" applyAlignment="1" applyProtection="1">
      <alignment horizontal="center" vertical="center"/>
    </xf>
    <xf numFmtId="0" fontId="9" fillId="0" borderId="23" xfId="0" applyNumberFormat="1" applyFont="1" applyFill="1" applyBorder="1" applyAlignment="1" applyProtection="1">
      <alignment horizontal="center" vertical="center"/>
    </xf>
    <xf numFmtId="0" fontId="9" fillId="0" borderId="24" xfId="0" applyNumberFormat="1" applyFont="1" applyFill="1" applyBorder="1" applyAlignment="1" applyProtection="1">
      <alignment horizontal="center" vertical="center"/>
    </xf>
    <xf numFmtId="0" fontId="9" fillId="0" borderId="25" xfId="0" applyNumberFormat="1" applyFont="1" applyFill="1" applyBorder="1" applyAlignment="1" applyProtection="1">
      <alignment horizontal="center" vertical="center"/>
    </xf>
    <xf numFmtId="0" fontId="8" fillId="0" borderId="26" xfId="0" applyNumberFormat="1" applyFont="1" applyFill="1" applyBorder="1" applyAlignment="1" applyProtection="1">
      <alignment horizontal="left" vertical="center"/>
    </xf>
    <xf numFmtId="0" fontId="8" fillId="0" borderId="27" xfId="0" applyNumberFormat="1" applyFont="1" applyFill="1" applyBorder="1" applyAlignment="1" applyProtection="1">
      <alignment horizontal="left" vertical="center"/>
    </xf>
    <xf numFmtId="0" fontId="8" fillId="0" borderId="27" xfId="0" applyNumberFormat="1" applyFont="1" applyFill="1" applyBorder="1" applyAlignment="1" applyProtection="1">
      <alignment horizontal="center" vertical="center"/>
    </xf>
    <xf numFmtId="0" fontId="8" fillId="0" borderId="20" xfId="0" applyNumberFormat="1" applyFont="1" applyFill="1" applyBorder="1" applyAlignment="1" applyProtection="1">
      <alignment horizontal="left" vertical="center"/>
    </xf>
    <xf numFmtId="0" fontId="9" fillId="0" borderId="28" xfId="0" applyNumberFormat="1" applyFont="1" applyFill="1" applyBorder="1" applyAlignment="1" applyProtection="1">
      <alignment horizontal="center" vertical="center"/>
    </xf>
    <xf numFmtId="0" fontId="9" fillId="0" borderId="29" xfId="0" applyNumberFormat="1" applyFont="1" applyFill="1" applyBorder="1" applyAlignment="1" applyProtection="1">
      <alignment horizontal="center" vertical="center"/>
    </xf>
    <xf numFmtId="0" fontId="3" fillId="3" borderId="5" xfId="0" applyNumberFormat="1" applyFont="1" applyFill="1" applyBorder="1" applyAlignment="1" applyProtection="1">
      <alignment horizontal="center" vertical="center"/>
    </xf>
    <xf numFmtId="0" fontId="3" fillId="2" borderId="2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3" fillId="3" borderId="2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3" borderId="4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horizontal="center" vertical="center"/>
    </xf>
    <xf numFmtId="0" fontId="2" fillId="3" borderId="0" xfId="0" applyNumberFormat="1" applyFont="1" applyFill="1" applyBorder="1" applyAlignment="1" applyProtection="1">
      <alignment horizontal="center" vertical="center"/>
    </xf>
    <xf numFmtId="0" fontId="3" fillId="0" borderId="11" xfId="0" applyNumberFormat="1" applyFont="1" applyFill="1" applyBorder="1" applyAlignment="1" applyProtection="1">
      <alignment horizontal="center" vertical="center"/>
    </xf>
    <xf numFmtId="0" fontId="1" fillId="0" borderId="12" xfId="0" applyNumberFormat="1" applyFont="1" applyFill="1" applyBorder="1" applyAlignment="1" applyProtection="1">
      <alignment horizontal="center" vertical="center"/>
    </xf>
    <xf numFmtId="0" fontId="1" fillId="0" borderId="13" xfId="0" applyNumberFormat="1" applyFont="1" applyFill="1" applyBorder="1" applyAlignment="1" applyProtection="1">
      <alignment horizontal="center" vertical="center"/>
    </xf>
    <xf numFmtId="0" fontId="1" fillId="0" borderId="14" xfId="0" applyNumberFormat="1" applyFont="1" applyFill="1" applyBorder="1" applyAlignment="1" applyProtection="1">
      <alignment horizontal="center" vertical="center"/>
    </xf>
    <xf numFmtId="0" fontId="2" fillId="0" borderId="15" xfId="0" applyNumberFormat="1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 wrapText="1"/>
    </xf>
    <xf numFmtId="0" fontId="3" fillId="0" borderId="10" xfId="0" applyNumberFormat="1" applyFont="1" applyFill="1" applyBorder="1" applyAlignment="1" applyProtection="1">
      <alignment horizontal="left" vertical="center" wrapText="1"/>
    </xf>
    <xf numFmtId="0" fontId="2" fillId="0" borderId="16" xfId="0" applyNumberFormat="1" applyFont="1" applyFill="1" applyBorder="1" applyAlignment="1" applyProtection="1">
      <alignment horizontal="left" vertical="center" wrapText="1"/>
    </xf>
    <xf numFmtId="0" fontId="8" fillId="0" borderId="15" xfId="0" applyNumberFormat="1" applyFont="1" applyFill="1" applyBorder="1" applyAlignment="1" applyProtection="1">
      <alignment horizontal="left" vertical="center" wrapText="1"/>
    </xf>
    <xf numFmtId="0" fontId="8" fillId="0" borderId="10" xfId="0" applyNumberFormat="1" applyFont="1" applyFill="1" applyBorder="1" applyAlignment="1" applyProtection="1">
      <alignment horizontal="left" vertical="center" wrapText="1"/>
    </xf>
    <xf numFmtId="14" fontId="8" fillId="0" borderId="10" xfId="0" applyNumberFormat="1" applyFont="1" applyFill="1" applyBorder="1" applyAlignment="1" applyProtection="1">
      <alignment horizontal="left" vertical="center" wrapText="1"/>
    </xf>
    <xf numFmtId="0" fontId="8" fillId="0" borderId="10" xfId="0" applyNumberFormat="1" applyFont="1" applyFill="1" applyBorder="1" applyAlignment="1" applyProtection="1">
      <alignment horizontal="left" vertical="center"/>
    </xf>
    <xf numFmtId="0" fontId="2" fillId="0" borderId="10" xfId="0" applyNumberFormat="1" applyFont="1" applyFill="1" applyBorder="1" applyAlignment="1" applyProtection="1">
      <alignment horizontal="left" vertical="center"/>
    </xf>
    <xf numFmtId="0" fontId="9" fillId="0" borderId="4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horizontal="left"/>
    </xf>
    <xf numFmtId="0" fontId="9" fillId="0" borderId="10" xfId="0" applyNumberFormat="1" applyFont="1" applyFill="1" applyBorder="1" applyAlignment="1" applyProtection="1">
      <alignment horizontal="left"/>
    </xf>
    <xf numFmtId="0" fontId="9" fillId="0" borderId="30" xfId="0" applyNumberFormat="1" applyFont="1" applyFill="1" applyBorder="1" applyAlignment="1" applyProtection="1">
      <alignment horizontal="center" vertical="center"/>
    </xf>
    <xf numFmtId="0" fontId="9" fillId="0" borderId="31" xfId="0" applyNumberFormat="1" applyFont="1" applyFill="1" applyBorder="1" applyAlignment="1" applyProtection="1">
      <alignment horizontal="center" vertical="center"/>
    </xf>
    <xf numFmtId="0" fontId="8" fillId="0" borderId="13" xfId="0" applyNumberFormat="1" applyFont="1" applyFill="1" applyBorder="1" applyAlignment="1" applyProtection="1">
      <alignment horizontal="left" vertical="center" wrapText="1"/>
    </xf>
    <xf numFmtId="0" fontId="8" fillId="0" borderId="14" xfId="0" applyNumberFormat="1" applyFont="1" applyFill="1" applyBorder="1" applyAlignment="1" applyProtection="1">
      <alignment horizontal="left" vertical="center" wrapText="1"/>
    </xf>
    <xf numFmtId="0" fontId="8" fillId="0" borderId="16" xfId="0" applyNumberFormat="1" applyFont="1" applyFill="1" applyBorder="1" applyAlignment="1" applyProtection="1">
      <alignment horizontal="left" vertical="center" wrapText="1"/>
    </xf>
    <xf numFmtId="0" fontId="8" fillId="0" borderId="16" xfId="0" applyNumberFormat="1" applyFont="1" applyFill="1" applyBorder="1" applyAlignment="1" applyProtection="1">
      <alignment horizontal="left" vertical="center"/>
    </xf>
    <xf numFmtId="0" fontId="8" fillId="0" borderId="20" xfId="0" applyNumberFormat="1" applyFont="1" applyFill="1" applyBorder="1" applyAlignment="1" applyProtection="1">
      <alignment horizontal="left" vertical="center"/>
    </xf>
    <xf numFmtId="0" fontId="8" fillId="0" borderId="32" xfId="0" applyNumberFormat="1" applyFont="1" applyFill="1" applyBorder="1" applyAlignment="1" applyProtection="1">
      <alignment horizontal="left" vertical="center"/>
    </xf>
    <xf numFmtId="0" fontId="8" fillId="0" borderId="13" xfId="0" applyNumberFormat="1" applyFont="1" applyFill="1" applyBorder="1" applyAlignment="1" applyProtection="1">
      <alignment horizontal="center" vertical="center"/>
    </xf>
    <xf numFmtId="0" fontId="8" fillId="0" borderId="10" xfId="0" applyNumberFormat="1" applyFont="1" applyFill="1" applyBorder="1" applyAlignment="1" applyProtection="1">
      <alignment horizontal="center" vertical="center"/>
    </xf>
    <xf numFmtId="14" fontId="8" fillId="0" borderId="10" xfId="0" applyNumberFormat="1" applyFont="1" applyFill="1" applyBorder="1" applyAlignment="1" applyProtection="1">
      <alignment horizontal="left" vertical="center"/>
    </xf>
    <xf numFmtId="14" fontId="8" fillId="0" borderId="20" xfId="0" applyNumberFormat="1" applyFont="1" applyFill="1" applyBorder="1" applyAlignment="1" applyProtection="1">
      <alignment horizontal="left" vertical="center"/>
    </xf>
    <xf numFmtId="0" fontId="13" fillId="0" borderId="10" xfId="0" applyNumberFormat="1" applyFont="1" applyFill="1" applyBorder="1" applyAlignment="1" applyProtection="1">
      <alignment horizontal="center" vertical="center"/>
    </xf>
    <xf numFmtId="0" fontId="8" fillId="0" borderId="12" xfId="0" applyNumberFormat="1" applyFont="1" applyFill="1" applyBorder="1" applyAlignment="1" applyProtection="1">
      <alignment horizontal="left" vertical="center" wrapText="1"/>
    </xf>
    <xf numFmtId="0" fontId="8" fillId="0" borderId="13" xfId="0" applyNumberFormat="1" applyFont="1" applyFill="1" applyBorder="1" applyAlignment="1" applyProtection="1">
      <alignment horizontal="left" vertical="center"/>
    </xf>
    <xf numFmtId="0" fontId="8" fillId="0" borderId="15" xfId="0" applyNumberFormat="1" applyFont="1" applyFill="1" applyBorder="1" applyAlignment="1" applyProtection="1">
      <alignment horizontal="left" vertical="center"/>
    </xf>
    <xf numFmtId="0" fontId="9" fillId="0" borderId="13" xfId="0" applyNumberFormat="1" applyFont="1" applyFill="1" applyBorder="1" applyAlignment="1" applyProtection="1">
      <alignment horizontal="left" vertical="center" wrapText="1"/>
    </xf>
    <xf numFmtId="0" fontId="9" fillId="0" borderId="13" xfId="0" applyNumberFormat="1" applyFont="1" applyFill="1" applyBorder="1" applyAlignment="1" applyProtection="1">
      <alignment horizontal="left" vertical="center"/>
    </xf>
    <xf numFmtId="0" fontId="9" fillId="0" borderId="10" xfId="0" applyNumberFormat="1" applyFont="1" applyFill="1" applyBorder="1" applyAlignment="1" applyProtection="1">
      <alignment horizontal="left" vertical="center"/>
    </xf>
    <xf numFmtId="0" fontId="14" fillId="0" borderId="20" xfId="0" applyNumberFormat="1" applyFont="1" applyFill="1" applyBorder="1" applyAlignment="1" applyProtection="1">
      <alignment horizontal="left" vertical="center"/>
    </xf>
    <xf numFmtId="0" fontId="14" fillId="0" borderId="27" xfId="0" applyNumberFormat="1" applyFont="1" applyFill="1" applyBorder="1" applyAlignment="1" applyProtection="1">
      <alignment horizontal="left" vertical="center"/>
    </xf>
    <xf numFmtId="0" fontId="3" fillId="3" borderId="4" xfId="0" applyNumberFormat="1" applyFont="1" applyFill="1" applyBorder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>
      <alignment horizontal="left" vertical="center" wrapText="1"/>
    </xf>
    <xf numFmtId="0" fontId="3" fillId="2" borderId="0" xfId="0" applyNumberFormat="1" applyFont="1" applyFill="1" applyBorder="1" applyAlignment="1" applyProtection="1">
      <alignment horizontal="left" vertical="center"/>
    </xf>
    <xf numFmtId="0" fontId="9" fillId="0" borderId="23" xfId="0" applyNumberFormat="1" applyFont="1" applyFill="1" applyBorder="1" applyAlignment="1" applyProtection="1">
      <alignment horizontal="left" vertical="center"/>
    </xf>
    <xf numFmtId="0" fontId="9" fillId="0" borderId="22" xfId="0" applyNumberFormat="1" applyFont="1" applyFill="1" applyBorder="1" applyAlignment="1" applyProtection="1">
      <alignment horizontal="left" vertical="center"/>
    </xf>
    <xf numFmtId="0" fontId="9" fillId="0" borderId="24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left" vertical="center"/>
    </xf>
    <xf numFmtId="0" fontId="7" fillId="0" borderId="2" xfId="0" applyNumberFormat="1" applyFont="1" applyFill="1" applyBorder="1" applyAlignment="1" applyProtection="1">
      <alignment horizontal="left" vertical="center"/>
    </xf>
    <xf numFmtId="0" fontId="3" fillId="3" borderId="0" xfId="0" applyNumberFormat="1" applyFont="1" applyFill="1" applyBorder="1" applyAlignment="1" applyProtection="1">
      <alignment horizontal="left" vertical="center" wrapText="1"/>
    </xf>
    <xf numFmtId="0" fontId="3" fillId="3" borderId="0" xfId="0" applyNumberFormat="1" applyFont="1" applyFill="1" applyBorder="1" applyAlignment="1" applyProtection="1">
      <alignment horizontal="left" vertical="center"/>
    </xf>
    <xf numFmtId="0" fontId="2" fillId="0" borderId="8" xfId="0" applyNumberFormat="1" applyFont="1" applyFill="1" applyBorder="1" applyAlignment="1" applyProtection="1">
      <alignment horizontal="left" vertical="center" wrapText="1"/>
    </xf>
    <xf numFmtId="0" fontId="2" fillId="0" borderId="8" xfId="0" applyNumberFormat="1" applyFont="1" applyFill="1" applyBorder="1" applyAlignment="1" applyProtection="1">
      <alignment horizontal="left" vertical="center"/>
    </xf>
    <xf numFmtId="0" fontId="3" fillId="0" borderId="10" xfId="0" applyNumberFormat="1" applyFont="1" applyFill="1" applyBorder="1" applyAlignment="1" applyProtection="1">
      <alignment horizontal="left" vertical="center"/>
    </xf>
    <xf numFmtId="4" fontId="15" fillId="4" borderId="10" xfId="0" applyNumberFormat="1" applyFont="1" applyFill="1" applyBorder="1" applyAlignment="1" applyProtection="1">
      <alignment horizontal="right" vertical="center" indent="1"/>
      <protection locked="0"/>
    </xf>
    <xf numFmtId="49" fontId="15" fillId="4" borderId="10" xfId="0" applyNumberFormat="1" applyFont="1" applyFill="1" applyBorder="1" applyAlignment="1" applyProtection="1">
      <alignment horizontal="left" vertical="center"/>
      <protection locked="0"/>
    </xf>
    <xf numFmtId="0" fontId="2" fillId="0" borderId="18" xfId="0" applyNumberFormat="1" applyFont="1" applyFill="1" applyBorder="1" applyAlignment="1" applyProtection="1">
      <alignment horizontal="left" vertical="center" wrapText="1"/>
    </xf>
    <xf numFmtId="0" fontId="2" fillId="0" borderId="19" xfId="0" applyNumberFormat="1" applyFont="1" applyFill="1" applyBorder="1" applyAlignment="1" applyProtection="1">
      <alignment horizontal="left" vertical="center" wrapText="1"/>
    </xf>
    <xf numFmtId="49" fontId="2" fillId="0" borderId="10" xfId="0" applyNumberFormat="1" applyFont="1" applyFill="1" applyBorder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esenick&#225;%2031%2004%20-%20ROZPO&#268;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počet - REKAPITULACE"/>
      <sheetName val="Stavební rozpočet"/>
    </sheetNames>
    <sheetDataSet>
      <sheetData sheetId="0"/>
      <sheetData sheetId="1">
        <row r="2">
          <cell r="D2" t="str">
            <v>ZATEPLENÍ ČÁSTI BUDOVY MĚÚ SUMPERK - JESENICKÁ 31</v>
          </cell>
          <cell r="M2" t="str">
            <v>Město Šumperk</v>
          </cell>
        </row>
        <row r="4">
          <cell r="M4" t="str">
            <v>ing. arch. Petr Doležal</v>
          </cell>
        </row>
        <row r="8">
          <cell r="D8" t="str">
            <v>8016913</v>
          </cell>
        </row>
      </sheetData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workbookViewId="0">
      <pane ySplit="9" topLeftCell="A10" activePane="bottomLeft" state="frozen"/>
      <selection pane="bottomLeft" activeCell="L17" sqref="L17"/>
    </sheetView>
  </sheetViews>
  <sheetFormatPr defaultColWidth="12.1796875" defaultRowHeight="15" customHeight="1" x14ac:dyDescent="0.35"/>
  <cols>
    <col min="1" max="2" width="7.6328125" style="39" customWidth="1"/>
    <col min="3" max="3" width="42.6328125" customWidth="1"/>
    <col min="4" max="6" width="15.6328125" customWidth="1"/>
    <col min="7" max="10" width="12.1796875" hidden="1"/>
  </cols>
  <sheetData>
    <row r="1" spans="1:10" ht="48.5" customHeight="1" x14ac:dyDescent="0.35">
      <c r="A1" s="94" t="s">
        <v>985</v>
      </c>
      <c r="B1" s="95"/>
      <c r="C1" s="95"/>
      <c r="D1" s="95"/>
      <c r="E1" s="95"/>
      <c r="F1" s="96"/>
    </row>
    <row r="2" spans="1:10" ht="14.5" customHeight="1" x14ac:dyDescent="0.35">
      <c r="A2" s="97" t="s">
        <v>0</v>
      </c>
      <c r="B2" s="98"/>
      <c r="C2" s="99" t="str">
        <f>'[1]Stavební rozpočet'!D2</f>
        <v>ZATEPLENÍ ČÁSTI BUDOVY MĚÚ SUMPERK - JESENICKÁ 31</v>
      </c>
      <c r="D2" s="98" t="s">
        <v>2</v>
      </c>
      <c r="E2" s="98" t="str">
        <f>'[1]Stavební rozpočet'!M2</f>
        <v>Město Šumperk</v>
      </c>
      <c r="F2" s="100"/>
    </row>
    <row r="3" spans="1:10" ht="15" customHeight="1" x14ac:dyDescent="0.35">
      <c r="A3" s="97"/>
      <c r="B3" s="98"/>
      <c r="C3" s="99"/>
      <c r="D3" s="98"/>
      <c r="E3" s="98"/>
      <c r="F3" s="100"/>
    </row>
    <row r="4" spans="1:10" ht="14.5" customHeight="1" x14ac:dyDescent="0.35">
      <c r="A4" s="101" t="s">
        <v>9</v>
      </c>
      <c r="B4" s="102"/>
      <c r="C4" s="98" t="str">
        <f>'[1]Stavební rozpočet'!D8</f>
        <v>8016913</v>
      </c>
      <c r="D4" s="98" t="s">
        <v>5</v>
      </c>
      <c r="E4" s="98" t="str">
        <f>'[1]Stavební rozpočet'!M4</f>
        <v>ing. arch. Petr Doležal</v>
      </c>
      <c r="F4" s="100"/>
    </row>
    <row r="5" spans="1:10" ht="15" customHeight="1" x14ac:dyDescent="0.35">
      <c r="A5" s="101"/>
      <c r="B5" s="102"/>
      <c r="C5" s="98"/>
      <c r="D5" s="98"/>
      <c r="E5" s="98"/>
      <c r="F5" s="100"/>
    </row>
    <row r="6" spans="1:10" ht="14.5" x14ac:dyDescent="0.35">
      <c r="A6" s="101" t="s">
        <v>10</v>
      </c>
      <c r="B6" s="102"/>
      <c r="C6" s="103">
        <v>45555</v>
      </c>
      <c r="D6" s="98" t="s">
        <v>8</v>
      </c>
      <c r="E6" s="151" t="str">
        <f>'Stavební rozpočet'!$L$6</f>
        <v>vyplní zhotovitel</v>
      </c>
      <c r="F6" s="100"/>
    </row>
    <row r="7" spans="1:10" ht="14.5" x14ac:dyDescent="0.35">
      <c r="A7" s="101"/>
      <c r="B7" s="102"/>
      <c r="C7" s="104"/>
      <c r="D7" s="98"/>
      <c r="E7" s="149"/>
      <c r="F7" s="150"/>
    </row>
    <row r="8" spans="1:10" ht="14.5" x14ac:dyDescent="0.35">
      <c r="A8" s="93" t="s">
        <v>15</v>
      </c>
      <c r="B8" s="93" t="s">
        <v>16</v>
      </c>
      <c r="C8" s="93" t="s">
        <v>17</v>
      </c>
      <c r="D8" s="93"/>
      <c r="E8" s="34" t="s">
        <v>13</v>
      </c>
      <c r="F8" s="34" t="s">
        <v>14</v>
      </c>
    </row>
    <row r="9" spans="1:10" ht="14.5" x14ac:dyDescent="0.35">
      <c r="A9" s="93"/>
      <c r="B9" s="93"/>
      <c r="C9" s="93"/>
      <c r="D9" s="93"/>
      <c r="E9" s="34" t="s">
        <v>20</v>
      </c>
      <c r="F9" s="34" t="s">
        <v>20</v>
      </c>
    </row>
    <row r="10" spans="1:10" s="47" customFormat="1" ht="20" customHeight="1" x14ac:dyDescent="0.35">
      <c r="A10" s="40" t="s">
        <v>21</v>
      </c>
      <c r="B10" s="41" t="s">
        <v>22</v>
      </c>
      <c r="C10" s="106" t="s">
        <v>23</v>
      </c>
      <c r="D10" s="106"/>
      <c r="E10" s="42">
        <f>'Stavební rozpočet'!K12</f>
        <v>0</v>
      </c>
      <c r="F10" s="43">
        <f>'Stavební rozpočet'!M12</f>
        <v>15.831162199999996</v>
      </c>
      <c r="G10" s="44" t="s">
        <v>24</v>
      </c>
      <c r="H10" s="45">
        <f t="shared" ref="H10:H36" si="0">IF(G10="F",0,E10)</f>
        <v>0</v>
      </c>
      <c r="I10" s="46" t="s">
        <v>21</v>
      </c>
      <c r="J10" s="45">
        <f t="shared" ref="J10:J36" si="1">IF(G10="T",0,E10)</f>
        <v>0</v>
      </c>
    </row>
    <row r="11" spans="1:10" ht="14.5" x14ac:dyDescent="0.35">
      <c r="A11" s="36" t="s">
        <v>21</v>
      </c>
      <c r="B11" s="37" t="s">
        <v>25</v>
      </c>
      <c r="C11" s="107" t="s">
        <v>26</v>
      </c>
      <c r="D11" s="107"/>
      <c r="E11" s="6">
        <f>'Stavební rozpočet'!K13</f>
        <v>0</v>
      </c>
      <c r="F11" s="7">
        <f>'Stavební rozpočet'!M13</f>
        <v>2.2153624999999999</v>
      </c>
      <c r="G11" s="5" t="s">
        <v>27</v>
      </c>
      <c r="H11" s="6">
        <f t="shared" si="0"/>
        <v>0</v>
      </c>
      <c r="I11" s="2" t="s">
        <v>21</v>
      </c>
      <c r="J11" s="6">
        <f t="shared" si="1"/>
        <v>0</v>
      </c>
    </row>
    <row r="12" spans="1:10" ht="14.5" x14ac:dyDescent="0.35">
      <c r="A12" s="36" t="s">
        <v>21</v>
      </c>
      <c r="B12" s="37" t="s">
        <v>28</v>
      </c>
      <c r="C12" s="107" t="s">
        <v>29</v>
      </c>
      <c r="D12" s="107"/>
      <c r="E12" s="6">
        <f>'Stavební rozpočet'!K50</f>
        <v>0</v>
      </c>
      <c r="F12" s="7">
        <f>'Stavební rozpočet'!M50</f>
        <v>8.8763462999999998</v>
      </c>
      <c r="G12" s="5" t="s">
        <v>27</v>
      </c>
      <c r="H12" s="6">
        <f t="shared" si="0"/>
        <v>0</v>
      </c>
      <c r="I12" s="2" t="s">
        <v>21</v>
      </c>
      <c r="J12" s="6">
        <f t="shared" si="1"/>
        <v>0</v>
      </c>
    </row>
    <row r="13" spans="1:10" ht="14.5" x14ac:dyDescent="0.35">
      <c r="A13" s="36" t="s">
        <v>21</v>
      </c>
      <c r="B13" s="37" t="s">
        <v>30</v>
      </c>
      <c r="C13" s="107" t="s">
        <v>31</v>
      </c>
      <c r="D13" s="107"/>
      <c r="E13" s="6">
        <f>'Stavební rozpočet'!K89</f>
        <v>0</v>
      </c>
      <c r="F13" s="7">
        <f>'Stavební rozpočet'!M89</f>
        <v>0</v>
      </c>
      <c r="G13" s="5" t="s">
        <v>27</v>
      </c>
      <c r="H13" s="6">
        <f t="shared" si="0"/>
        <v>0</v>
      </c>
      <c r="I13" s="2" t="s">
        <v>21</v>
      </c>
      <c r="J13" s="6">
        <f t="shared" si="1"/>
        <v>0</v>
      </c>
    </row>
    <row r="14" spans="1:10" ht="14.5" x14ac:dyDescent="0.35">
      <c r="A14" s="36" t="s">
        <v>21</v>
      </c>
      <c r="B14" s="37" t="s">
        <v>32</v>
      </c>
      <c r="C14" s="107" t="s">
        <v>33</v>
      </c>
      <c r="D14" s="107"/>
      <c r="E14" s="6">
        <f>'Stavební rozpočet'!K98</f>
        <v>0</v>
      </c>
      <c r="F14" s="7">
        <f>'Stavební rozpočet'!M98</f>
        <v>0.2108622</v>
      </c>
      <c r="G14" s="5" t="s">
        <v>27</v>
      </c>
      <c r="H14" s="6">
        <f t="shared" si="0"/>
        <v>0</v>
      </c>
      <c r="I14" s="2" t="s">
        <v>21</v>
      </c>
      <c r="J14" s="6">
        <f t="shared" si="1"/>
        <v>0</v>
      </c>
    </row>
    <row r="15" spans="1:10" ht="14.5" x14ac:dyDescent="0.35">
      <c r="A15" s="36" t="s">
        <v>21</v>
      </c>
      <c r="B15" s="37" t="s">
        <v>34</v>
      </c>
      <c r="C15" s="107" t="s">
        <v>35</v>
      </c>
      <c r="D15" s="107"/>
      <c r="E15" s="6">
        <f>'Stavební rozpočet'!K113</f>
        <v>0</v>
      </c>
      <c r="F15" s="7">
        <f>'Stavební rozpočet'!M113</f>
        <v>2.6359163999999997</v>
      </c>
      <c r="G15" s="5" t="s">
        <v>27</v>
      </c>
      <c r="H15" s="6">
        <f t="shared" si="0"/>
        <v>0</v>
      </c>
      <c r="I15" s="2" t="s">
        <v>21</v>
      </c>
      <c r="J15" s="6">
        <f t="shared" si="1"/>
        <v>0</v>
      </c>
    </row>
    <row r="16" spans="1:10" ht="14.5" x14ac:dyDescent="0.35">
      <c r="A16" s="36" t="s">
        <v>21</v>
      </c>
      <c r="B16" s="37" t="s">
        <v>36</v>
      </c>
      <c r="C16" s="107" t="s">
        <v>37</v>
      </c>
      <c r="D16" s="107"/>
      <c r="E16" s="6">
        <f>'Stavební rozpočet'!K174</f>
        <v>0</v>
      </c>
      <c r="F16" s="7">
        <f>'Stavební rozpočet'!M174</f>
        <v>1.5621152</v>
      </c>
      <c r="G16" s="5" t="s">
        <v>27</v>
      </c>
      <c r="H16" s="6">
        <f t="shared" si="0"/>
        <v>0</v>
      </c>
      <c r="I16" s="2" t="s">
        <v>21</v>
      </c>
      <c r="J16" s="6">
        <f t="shared" si="1"/>
        <v>0</v>
      </c>
    </row>
    <row r="17" spans="1:10" ht="14.5" x14ac:dyDescent="0.35">
      <c r="A17" s="36" t="s">
        <v>21</v>
      </c>
      <c r="B17" s="37" t="s">
        <v>38</v>
      </c>
      <c r="C17" s="107" t="s">
        <v>39</v>
      </c>
      <c r="D17" s="107"/>
      <c r="E17" s="6">
        <f>'Stavební rozpočet'!K194</f>
        <v>0</v>
      </c>
      <c r="F17" s="7">
        <f>'Stavební rozpočet'!M194</f>
        <v>0.1610856</v>
      </c>
      <c r="G17" s="5" t="s">
        <v>27</v>
      </c>
      <c r="H17" s="6">
        <f t="shared" si="0"/>
        <v>0</v>
      </c>
      <c r="I17" s="2" t="s">
        <v>21</v>
      </c>
      <c r="J17" s="6">
        <f t="shared" si="1"/>
        <v>0</v>
      </c>
    </row>
    <row r="18" spans="1:10" ht="14.5" x14ac:dyDescent="0.35">
      <c r="A18" s="36" t="s">
        <v>21</v>
      </c>
      <c r="B18" s="37" t="s">
        <v>40</v>
      </c>
      <c r="C18" s="107" t="s">
        <v>41</v>
      </c>
      <c r="D18" s="107"/>
      <c r="E18" s="6">
        <f>'Stavební rozpočet'!K200</f>
        <v>0</v>
      </c>
      <c r="F18" s="7">
        <f>'Stavební rozpočet'!M200</f>
        <v>0.16947399999999999</v>
      </c>
      <c r="G18" s="5" t="s">
        <v>27</v>
      </c>
      <c r="H18" s="6">
        <f t="shared" si="0"/>
        <v>0</v>
      </c>
      <c r="I18" s="2" t="s">
        <v>21</v>
      </c>
      <c r="J18" s="6">
        <f t="shared" si="1"/>
        <v>0</v>
      </c>
    </row>
    <row r="19" spans="1:10" s="47" customFormat="1" ht="20" customHeight="1" x14ac:dyDescent="0.35">
      <c r="A19" s="48" t="s">
        <v>42</v>
      </c>
      <c r="B19" s="49" t="s">
        <v>22</v>
      </c>
      <c r="C19" s="108" t="s">
        <v>43</v>
      </c>
      <c r="D19" s="108"/>
      <c r="E19" s="45">
        <f>'Stavební rozpočet'!K220</f>
        <v>0</v>
      </c>
      <c r="F19" s="50">
        <f>'Stavební rozpočet'!M220</f>
        <v>68.734237500000006</v>
      </c>
      <c r="G19" s="44" t="s">
        <v>24</v>
      </c>
      <c r="H19" s="45">
        <f t="shared" si="0"/>
        <v>0</v>
      </c>
      <c r="I19" s="46" t="s">
        <v>42</v>
      </c>
      <c r="J19" s="45">
        <f t="shared" si="1"/>
        <v>0</v>
      </c>
    </row>
    <row r="20" spans="1:10" ht="14.5" x14ac:dyDescent="0.35">
      <c r="A20" s="36" t="s">
        <v>42</v>
      </c>
      <c r="B20" s="37" t="s">
        <v>44</v>
      </c>
      <c r="C20" s="107" t="s">
        <v>45</v>
      </c>
      <c r="D20" s="107"/>
      <c r="E20" s="6">
        <f>'Stavební rozpočet'!K221</f>
        <v>0</v>
      </c>
      <c r="F20" s="7">
        <f>'Stavební rozpočet'!M221</f>
        <v>36.854913799999999</v>
      </c>
      <c r="G20" s="5" t="s">
        <v>27</v>
      </c>
      <c r="H20" s="6">
        <f t="shared" si="0"/>
        <v>0</v>
      </c>
      <c r="I20" s="2" t="s">
        <v>42</v>
      </c>
      <c r="J20" s="6">
        <f t="shared" si="1"/>
        <v>0</v>
      </c>
    </row>
    <row r="21" spans="1:10" ht="14.5" x14ac:dyDescent="0.35">
      <c r="A21" s="36" t="s">
        <v>42</v>
      </c>
      <c r="B21" s="37" t="s">
        <v>46</v>
      </c>
      <c r="C21" s="107" t="s">
        <v>47</v>
      </c>
      <c r="D21" s="107"/>
      <c r="E21" s="6">
        <f>'Stavební rozpočet'!K240</f>
        <v>0</v>
      </c>
      <c r="F21" s="7">
        <f>'Stavební rozpočet'!M240</f>
        <v>12.192185400000003</v>
      </c>
      <c r="G21" s="5" t="s">
        <v>27</v>
      </c>
      <c r="H21" s="6">
        <f t="shared" si="0"/>
        <v>0</v>
      </c>
      <c r="I21" s="2" t="s">
        <v>42</v>
      </c>
      <c r="J21" s="6">
        <f t="shared" si="1"/>
        <v>0</v>
      </c>
    </row>
    <row r="22" spans="1:10" ht="14.5" x14ac:dyDescent="0.35">
      <c r="A22" s="36" t="s">
        <v>42</v>
      </c>
      <c r="B22" s="37" t="s">
        <v>28</v>
      </c>
      <c r="C22" s="107" t="s">
        <v>29</v>
      </c>
      <c r="D22" s="107"/>
      <c r="E22" s="6">
        <f>'Stavební rozpočet'!K331</f>
        <v>0</v>
      </c>
      <c r="F22" s="7">
        <f>'Stavební rozpočet'!M331</f>
        <v>0.43900230000000007</v>
      </c>
      <c r="G22" s="5" t="s">
        <v>27</v>
      </c>
      <c r="H22" s="6">
        <f t="shared" si="0"/>
        <v>0</v>
      </c>
      <c r="I22" s="2" t="s">
        <v>42</v>
      </c>
      <c r="J22" s="6">
        <f t="shared" si="1"/>
        <v>0</v>
      </c>
    </row>
    <row r="23" spans="1:10" ht="14.5" x14ac:dyDescent="0.35">
      <c r="A23" s="36" t="s">
        <v>42</v>
      </c>
      <c r="B23" s="37" t="s">
        <v>30</v>
      </c>
      <c r="C23" s="107" t="s">
        <v>31</v>
      </c>
      <c r="D23" s="107"/>
      <c r="E23" s="6">
        <f>'Stavební rozpočet'!K346</f>
        <v>0</v>
      </c>
      <c r="F23" s="7">
        <f>'Stavební rozpočet'!M346</f>
        <v>0</v>
      </c>
      <c r="G23" s="5" t="s">
        <v>27</v>
      </c>
      <c r="H23" s="6">
        <f t="shared" si="0"/>
        <v>0</v>
      </c>
      <c r="I23" s="2" t="s">
        <v>42</v>
      </c>
      <c r="J23" s="6">
        <f t="shared" si="1"/>
        <v>0</v>
      </c>
    </row>
    <row r="24" spans="1:10" ht="14.5" x14ac:dyDescent="0.35">
      <c r="A24" s="36" t="s">
        <v>42</v>
      </c>
      <c r="B24" s="37" t="s">
        <v>32</v>
      </c>
      <c r="C24" s="107" t="s">
        <v>33</v>
      </c>
      <c r="D24" s="107"/>
      <c r="E24" s="6">
        <f>'Stavební rozpočet'!K354</f>
        <v>0</v>
      </c>
      <c r="F24" s="7">
        <f>'Stavební rozpočet'!M354</f>
        <v>0.45421600000000001</v>
      </c>
      <c r="G24" s="5" t="s">
        <v>27</v>
      </c>
      <c r="H24" s="6">
        <f t="shared" si="0"/>
        <v>0</v>
      </c>
      <c r="I24" s="2" t="s">
        <v>42</v>
      </c>
      <c r="J24" s="6">
        <f t="shared" si="1"/>
        <v>0</v>
      </c>
    </row>
    <row r="25" spans="1:10" ht="14.5" x14ac:dyDescent="0.35">
      <c r="A25" s="36" t="s">
        <v>42</v>
      </c>
      <c r="B25" s="37" t="s">
        <v>48</v>
      </c>
      <c r="C25" s="107" t="s">
        <v>49</v>
      </c>
      <c r="D25" s="107"/>
      <c r="E25" s="6">
        <f>'Stavební rozpočet'!K389</f>
        <v>0</v>
      </c>
      <c r="F25" s="7">
        <f>'Stavební rozpočet'!M389</f>
        <v>1.19</v>
      </c>
      <c r="G25" s="5" t="s">
        <v>27</v>
      </c>
      <c r="H25" s="6">
        <f t="shared" si="0"/>
        <v>0</v>
      </c>
      <c r="I25" s="2" t="s">
        <v>42</v>
      </c>
      <c r="J25" s="6">
        <f t="shared" si="1"/>
        <v>0</v>
      </c>
    </row>
    <row r="26" spans="1:10" ht="14.5" x14ac:dyDescent="0.35">
      <c r="A26" s="36" t="s">
        <v>42</v>
      </c>
      <c r="B26" s="37" t="s">
        <v>50</v>
      </c>
      <c r="C26" s="107" t="s">
        <v>51</v>
      </c>
      <c r="D26" s="107"/>
      <c r="E26" s="6">
        <f>'Stavební rozpočet'!K399</f>
        <v>0</v>
      </c>
      <c r="F26" s="7">
        <f>'Stavební rozpočet'!M399</f>
        <v>16.388920000000002</v>
      </c>
      <c r="G26" s="5" t="s">
        <v>27</v>
      </c>
      <c r="H26" s="6">
        <f t="shared" si="0"/>
        <v>0</v>
      </c>
      <c r="I26" s="2" t="s">
        <v>42</v>
      </c>
      <c r="J26" s="6">
        <f t="shared" si="1"/>
        <v>0</v>
      </c>
    </row>
    <row r="27" spans="1:10" ht="14.5" x14ac:dyDescent="0.35">
      <c r="A27" s="36" t="s">
        <v>42</v>
      </c>
      <c r="B27" s="37" t="s">
        <v>40</v>
      </c>
      <c r="C27" s="107" t="s">
        <v>41</v>
      </c>
      <c r="D27" s="107"/>
      <c r="E27" s="6">
        <f>'Stavební rozpočet'!K421</f>
        <v>0</v>
      </c>
      <c r="F27" s="7">
        <f>'Stavební rozpočet'!M421</f>
        <v>1.2150000000000001</v>
      </c>
      <c r="G27" s="5" t="s">
        <v>27</v>
      </c>
      <c r="H27" s="6">
        <f t="shared" si="0"/>
        <v>0</v>
      </c>
      <c r="I27" s="2" t="s">
        <v>42</v>
      </c>
      <c r="J27" s="6">
        <f t="shared" si="1"/>
        <v>0</v>
      </c>
    </row>
    <row r="28" spans="1:10" s="47" customFormat="1" ht="20" customHeight="1" x14ac:dyDescent="0.35">
      <c r="A28" s="48" t="s">
        <v>52</v>
      </c>
      <c r="B28" s="49" t="s">
        <v>22</v>
      </c>
      <c r="C28" s="108" t="s">
        <v>53</v>
      </c>
      <c r="D28" s="108"/>
      <c r="E28" s="45">
        <f>'Stavební rozpočet'!K435</f>
        <v>0</v>
      </c>
      <c r="F28" s="50">
        <f>'Stavební rozpočet'!M435</f>
        <v>2.6438766</v>
      </c>
      <c r="G28" s="44" t="s">
        <v>24</v>
      </c>
      <c r="H28" s="45">
        <f t="shared" si="0"/>
        <v>0</v>
      </c>
      <c r="I28" s="46" t="s">
        <v>52</v>
      </c>
      <c r="J28" s="45">
        <f t="shared" si="1"/>
        <v>0</v>
      </c>
    </row>
    <row r="29" spans="1:10" ht="14.5" x14ac:dyDescent="0.35">
      <c r="A29" s="36" t="s">
        <v>52</v>
      </c>
      <c r="B29" s="37" t="s">
        <v>28</v>
      </c>
      <c r="C29" s="107" t="s">
        <v>29</v>
      </c>
      <c r="D29" s="107"/>
      <c r="E29" s="6">
        <f>'Stavební rozpočet'!K436</f>
        <v>0</v>
      </c>
      <c r="F29" s="7">
        <f>'Stavební rozpočet'!M436</f>
        <v>1.5455097</v>
      </c>
      <c r="G29" s="5" t="s">
        <v>27</v>
      </c>
      <c r="H29" s="6">
        <f t="shared" si="0"/>
        <v>0</v>
      </c>
      <c r="I29" s="2" t="s">
        <v>52</v>
      </c>
      <c r="J29" s="6">
        <f t="shared" si="1"/>
        <v>0</v>
      </c>
    </row>
    <row r="30" spans="1:10" ht="14.5" x14ac:dyDescent="0.35">
      <c r="A30" s="36" t="s">
        <v>52</v>
      </c>
      <c r="B30" s="37" t="s">
        <v>30</v>
      </c>
      <c r="C30" s="107" t="s">
        <v>31</v>
      </c>
      <c r="D30" s="107"/>
      <c r="E30" s="6">
        <f>'Stavební rozpočet'!K454</f>
        <v>0</v>
      </c>
      <c r="F30" s="7">
        <f>'Stavební rozpočet'!M454</f>
        <v>0</v>
      </c>
      <c r="G30" s="5" t="s">
        <v>27</v>
      </c>
      <c r="H30" s="6">
        <f t="shared" si="0"/>
        <v>0</v>
      </c>
      <c r="I30" s="2" t="s">
        <v>52</v>
      </c>
      <c r="J30" s="6">
        <f t="shared" si="1"/>
        <v>0</v>
      </c>
    </row>
    <row r="31" spans="1:10" ht="14.5" x14ac:dyDescent="0.35">
      <c r="A31" s="36" t="s">
        <v>52</v>
      </c>
      <c r="B31" s="37" t="s">
        <v>54</v>
      </c>
      <c r="C31" s="107" t="s">
        <v>55</v>
      </c>
      <c r="D31" s="107"/>
      <c r="E31" s="6">
        <f>'Stavební rozpočet'!K463</f>
        <v>0</v>
      </c>
      <c r="F31" s="7">
        <f>'Stavební rozpočet'!M463</f>
        <v>8.4291699999999997E-2</v>
      </c>
      <c r="G31" s="5" t="s">
        <v>27</v>
      </c>
      <c r="H31" s="6">
        <f t="shared" si="0"/>
        <v>0</v>
      </c>
      <c r="I31" s="2" t="s">
        <v>52</v>
      </c>
      <c r="J31" s="6">
        <f t="shared" si="1"/>
        <v>0</v>
      </c>
    </row>
    <row r="32" spans="1:10" ht="14.5" x14ac:dyDescent="0.35">
      <c r="A32" s="36" t="s">
        <v>52</v>
      </c>
      <c r="B32" s="37" t="s">
        <v>56</v>
      </c>
      <c r="C32" s="107" t="s">
        <v>57</v>
      </c>
      <c r="D32" s="107"/>
      <c r="E32" s="6">
        <f>'Stavební rozpočet'!K473</f>
        <v>0</v>
      </c>
      <c r="F32" s="7">
        <f>'Stavební rozpočet'!M473</f>
        <v>7.4746399999999991E-2</v>
      </c>
      <c r="G32" s="5" t="s">
        <v>27</v>
      </c>
      <c r="H32" s="6">
        <f t="shared" si="0"/>
        <v>0</v>
      </c>
      <c r="I32" s="2" t="s">
        <v>52</v>
      </c>
      <c r="J32" s="6">
        <f t="shared" si="1"/>
        <v>0</v>
      </c>
    </row>
    <row r="33" spans="1:10" ht="14.5" x14ac:dyDescent="0.35">
      <c r="A33" s="36" t="s">
        <v>52</v>
      </c>
      <c r="B33" s="37" t="s">
        <v>58</v>
      </c>
      <c r="C33" s="107" t="s">
        <v>59</v>
      </c>
      <c r="D33" s="107"/>
      <c r="E33" s="6">
        <f>'Stavební rozpočet'!K493</f>
        <v>0</v>
      </c>
      <c r="F33" s="7">
        <f>'Stavební rozpočet'!M493</f>
        <v>4.3930000000000004E-2</v>
      </c>
      <c r="G33" s="5" t="s">
        <v>27</v>
      </c>
      <c r="H33" s="6">
        <f t="shared" si="0"/>
        <v>0</v>
      </c>
      <c r="I33" s="2" t="s">
        <v>52</v>
      </c>
      <c r="J33" s="6">
        <f t="shared" si="1"/>
        <v>0</v>
      </c>
    </row>
    <row r="34" spans="1:10" ht="14.5" x14ac:dyDescent="0.35">
      <c r="A34" s="36" t="s">
        <v>52</v>
      </c>
      <c r="B34" s="37" t="s">
        <v>60</v>
      </c>
      <c r="C34" s="107" t="s">
        <v>61</v>
      </c>
      <c r="D34" s="107"/>
      <c r="E34" s="6">
        <f>'Stavební rozpočet'!K499</f>
        <v>0</v>
      </c>
      <c r="F34" s="7">
        <f>'Stavební rozpočet'!M499</f>
        <v>0.89539880000000005</v>
      </c>
      <c r="G34" s="5" t="s">
        <v>27</v>
      </c>
      <c r="H34" s="6">
        <f t="shared" si="0"/>
        <v>0</v>
      </c>
      <c r="I34" s="2" t="s">
        <v>52</v>
      </c>
      <c r="J34" s="6">
        <f t="shared" si="1"/>
        <v>0</v>
      </c>
    </row>
    <row r="35" spans="1:10" s="47" customFormat="1" ht="20" customHeight="1" x14ac:dyDescent="0.35">
      <c r="A35" s="48" t="s">
        <v>62</v>
      </c>
      <c r="B35" s="51"/>
      <c r="C35" s="109" t="s">
        <v>986</v>
      </c>
      <c r="D35" s="109"/>
      <c r="E35" s="45">
        <f>'Stavební rozpočet'!K518</f>
        <v>0</v>
      </c>
      <c r="F35" s="50">
        <f>'Stavební rozpočet'!M518</f>
        <v>0</v>
      </c>
      <c r="G35" s="44" t="s">
        <v>24</v>
      </c>
      <c r="H35" s="45">
        <f t="shared" si="0"/>
        <v>0</v>
      </c>
      <c r="I35" s="46" t="s">
        <v>62</v>
      </c>
      <c r="J35" s="45">
        <f t="shared" si="1"/>
        <v>0</v>
      </c>
    </row>
    <row r="36" spans="1:10" ht="14.5" x14ac:dyDescent="0.35">
      <c r="A36" s="35" t="s">
        <v>62</v>
      </c>
      <c r="B36" s="68" t="s">
        <v>64</v>
      </c>
      <c r="C36" s="105" t="s">
        <v>65</v>
      </c>
      <c r="D36" s="105"/>
      <c r="E36" s="69">
        <f>'Stavební rozpočet'!K520</f>
        <v>0</v>
      </c>
      <c r="F36" s="4">
        <f>'Stavební rozpočet'!M520</f>
        <v>0</v>
      </c>
      <c r="G36" s="5" t="s">
        <v>27</v>
      </c>
      <c r="H36" s="6">
        <f t="shared" si="0"/>
        <v>0</v>
      </c>
      <c r="I36" s="2" t="s">
        <v>62</v>
      </c>
      <c r="J36" s="6">
        <f t="shared" si="1"/>
        <v>0</v>
      </c>
    </row>
    <row r="37" spans="1:10" ht="14.5" x14ac:dyDescent="0.35">
      <c r="A37" s="52"/>
      <c r="B37" s="53"/>
      <c r="C37" s="54" t="s">
        <v>987</v>
      </c>
      <c r="D37" s="55" t="s">
        <v>988</v>
      </c>
      <c r="E37" s="70">
        <f>SUM(H10:H36)</f>
        <v>0</v>
      </c>
      <c r="F37" s="71" t="s">
        <v>991</v>
      </c>
    </row>
    <row r="38" spans="1:10" ht="15" customHeight="1" x14ac:dyDescent="0.35">
      <c r="A38" s="56"/>
      <c r="B38" s="57"/>
      <c r="C38" s="58"/>
      <c r="D38" s="59" t="s">
        <v>989</v>
      </c>
      <c r="E38" s="64">
        <f>E37*0.21</f>
        <v>0</v>
      </c>
      <c r="F38" s="65" t="s">
        <v>991</v>
      </c>
    </row>
    <row r="39" spans="1:10" ht="15" customHeight="1" x14ac:dyDescent="0.35">
      <c r="A39" s="60"/>
      <c r="B39" s="61"/>
      <c r="C39" s="62"/>
      <c r="D39" s="63" t="s">
        <v>990</v>
      </c>
      <c r="E39" s="66">
        <f>E37+E38</f>
        <v>0</v>
      </c>
      <c r="F39" s="67" t="s">
        <v>991</v>
      </c>
    </row>
  </sheetData>
  <sheetProtection password="DA03" sheet="1" objects="1" scenarios="1"/>
  <mergeCells count="43">
    <mergeCell ref="C35:D35"/>
    <mergeCell ref="C36:D36"/>
    <mergeCell ref="C30:D30"/>
    <mergeCell ref="C31:D31"/>
    <mergeCell ref="C32:D32"/>
    <mergeCell ref="C33:D33"/>
    <mergeCell ref="C34:D34"/>
    <mergeCell ref="C25:D25"/>
    <mergeCell ref="C26:D26"/>
    <mergeCell ref="C27:D27"/>
    <mergeCell ref="C28:D28"/>
    <mergeCell ref="C29:D29"/>
    <mergeCell ref="C20:D20"/>
    <mergeCell ref="C21:D21"/>
    <mergeCell ref="C22:D22"/>
    <mergeCell ref="C23:D23"/>
    <mergeCell ref="C24:D24"/>
    <mergeCell ref="C15:D15"/>
    <mergeCell ref="C16:D16"/>
    <mergeCell ref="C17:D17"/>
    <mergeCell ref="C18:D18"/>
    <mergeCell ref="C19:D19"/>
    <mergeCell ref="C10:D10"/>
    <mergeCell ref="C11:D11"/>
    <mergeCell ref="C12:D12"/>
    <mergeCell ref="C13:D13"/>
    <mergeCell ref="C14:D14"/>
    <mergeCell ref="B8:B9"/>
    <mergeCell ref="A8:A9"/>
    <mergeCell ref="A1:F1"/>
    <mergeCell ref="A2:B3"/>
    <mergeCell ref="C2:C3"/>
    <mergeCell ref="D2:D3"/>
    <mergeCell ref="E2:F3"/>
    <mergeCell ref="A4:B5"/>
    <mergeCell ref="C4:C5"/>
    <mergeCell ref="D4:D5"/>
    <mergeCell ref="E4:F5"/>
    <mergeCell ref="A6:B7"/>
    <mergeCell ref="C6:C7"/>
    <mergeCell ref="D6:D7"/>
    <mergeCell ref="E6:F7"/>
    <mergeCell ref="C8:D9"/>
  </mergeCells>
  <pageMargins left="0.393999993801117" right="0.393999993801117" top="0.59100002050399802" bottom="0.59100002050399802" header="0" footer="0"/>
  <pageSetup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523"/>
  <sheetViews>
    <sheetView tabSelected="1" zoomScale="70" zoomScaleNormal="70" workbookViewId="0">
      <pane ySplit="11" topLeftCell="A495" activePane="bottomLeft" state="frozen"/>
      <selection pane="bottomLeft" activeCell="L8" sqref="L8:N9"/>
    </sheetView>
  </sheetViews>
  <sheetFormatPr defaultColWidth="12.1796875" defaultRowHeight="15" customHeight="1" x14ac:dyDescent="0.35"/>
  <cols>
    <col min="1" max="1" width="4" customWidth="1"/>
    <col min="2" max="2" width="7.54296875" customWidth="1"/>
    <col min="3" max="3" width="17.81640625" customWidth="1"/>
    <col min="4" max="4" width="42.81640625" customWidth="1"/>
    <col min="5" max="5" width="35.7265625" customWidth="1"/>
    <col min="6" max="6" width="9.81640625" style="39" customWidth="1"/>
    <col min="7" max="7" width="12.81640625" customWidth="1"/>
    <col min="8" max="8" width="12" customWidth="1"/>
    <col min="9" max="10" width="15.7265625" hidden="1" customWidth="1"/>
    <col min="11" max="11" width="15.7265625" customWidth="1"/>
    <col min="12" max="13" width="11.7265625" customWidth="1"/>
    <col min="14" max="14" width="17.81640625" style="39" customWidth="1"/>
    <col min="23" max="73" width="12.1796875" hidden="1"/>
    <col min="74" max="74" width="78.54296875" hidden="1" customWidth="1"/>
    <col min="75" max="76" width="12.1796875" hidden="1"/>
  </cols>
  <sheetData>
    <row r="1" spans="1:74" ht="54.75" customHeight="1" x14ac:dyDescent="0.35">
      <c r="A1" s="122" t="s">
        <v>67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AQ1" s="12">
        <f>SUM(AH1:AH2)</f>
        <v>0</v>
      </c>
      <c r="AR1" s="12">
        <f>SUM(AI1:AI2)</f>
        <v>0</v>
      </c>
      <c r="AS1" s="12">
        <f>SUM(AJ1:AJ2)</f>
        <v>0</v>
      </c>
    </row>
    <row r="2" spans="1:74" ht="14.5" customHeight="1" x14ac:dyDescent="0.35">
      <c r="A2" s="123" t="s">
        <v>0</v>
      </c>
      <c r="B2" s="124"/>
      <c r="C2" s="124"/>
      <c r="D2" s="126" t="s">
        <v>68</v>
      </c>
      <c r="E2" s="127"/>
      <c r="F2" s="124" t="s">
        <v>1</v>
      </c>
      <c r="G2" s="124"/>
      <c r="H2" s="118" t="s">
        <v>12</v>
      </c>
      <c r="I2" s="118"/>
      <c r="J2" s="118"/>
      <c r="K2" s="112" t="s">
        <v>2</v>
      </c>
      <c r="L2" s="112" t="s">
        <v>69</v>
      </c>
      <c r="M2" s="112"/>
      <c r="N2" s="113"/>
    </row>
    <row r="3" spans="1:74" ht="14.5" x14ac:dyDescent="0.35">
      <c r="A3" s="125"/>
      <c r="B3" s="104"/>
      <c r="C3" s="104"/>
      <c r="D3" s="128"/>
      <c r="E3" s="128"/>
      <c r="F3" s="104"/>
      <c r="G3" s="104"/>
      <c r="H3" s="119"/>
      <c r="I3" s="119"/>
      <c r="J3" s="119"/>
      <c r="K3" s="102"/>
      <c r="L3" s="102"/>
      <c r="M3" s="102"/>
      <c r="N3" s="114"/>
    </row>
    <row r="4" spans="1:74" ht="14.5" customHeight="1" x14ac:dyDescent="0.35">
      <c r="A4" s="101" t="s">
        <v>3</v>
      </c>
      <c r="B4" s="104"/>
      <c r="C4" s="104"/>
      <c r="D4" s="102" t="s">
        <v>12</v>
      </c>
      <c r="E4" s="104"/>
      <c r="F4" s="104" t="s">
        <v>4</v>
      </c>
      <c r="G4" s="104"/>
      <c r="H4" s="119" t="s">
        <v>12</v>
      </c>
      <c r="I4" s="119"/>
      <c r="J4" s="119"/>
      <c r="K4" s="102" t="s">
        <v>5</v>
      </c>
      <c r="L4" s="102" t="s">
        <v>70</v>
      </c>
      <c r="M4" s="102"/>
      <c r="N4" s="114"/>
    </row>
    <row r="5" spans="1:74" ht="14.5" x14ac:dyDescent="0.35">
      <c r="A5" s="125"/>
      <c r="B5" s="104"/>
      <c r="C5" s="104"/>
      <c r="D5" s="104"/>
      <c r="E5" s="104"/>
      <c r="F5" s="104"/>
      <c r="G5" s="104"/>
      <c r="H5" s="119"/>
      <c r="I5" s="119"/>
      <c r="J5" s="119"/>
      <c r="K5" s="102"/>
      <c r="L5" s="102"/>
      <c r="M5" s="102"/>
      <c r="N5" s="114"/>
    </row>
    <row r="6" spans="1:74" ht="14.5" customHeight="1" x14ac:dyDescent="0.35">
      <c r="A6" s="101" t="s">
        <v>6</v>
      </c>
      <c r="B6" s="104"/>
      <c r="C6" s="104"/>
      <c r="D6" s="102" t="s">
        <v>12</v>
      </c>
      <c r="E6" s="104"/>
      <c r="F6" s="104" t="s">
        <v>7</v>
      </c>
      <c r="G6" s="104"/>
      <c r="H6" s="119" t="s">
        <v>12</v>
      </c>
      <c r="I6" s="119"/>
      <c r="J6" s="119"/>
      <c r="K6" s="102" t="s">
        <v>8</v>
      </c>
      <c r="L6" s="148" t="s">
        <v>992</v>
      </c>
      <c r="M6" s="148"/>
      <c r="N6" s="148"/>
    </row>
    <row r="7" spans="1:74" ht="14.5" x14ac:dyDescent="0.35">
      <c r="A7" s="125"/>
      <c r="B7" s="104"/>
      <c r="C7" s="104"/>
      <c r="D7" s="104"/>
      <c r="E7" s="104"/>
      <c r="F7" s="104"/>
      <c r="G7" s="104"/>
      <c r="H7" s="119"/>
      <c r="I7" s="119"/>
      <c r="J7" s="119"/>
      <c r="K7" s="102"/>
      <c r="L7" s="148"/>
      <c r="M7" s="148"/>
      <c r="N7" s="148"/>
    </row>
    <row r="8" spans="1:74" ht="14.5" customHeight="1" x14ac:dyDescent="0.35">
      <c r="A8" s="101" t="s">
        <v>9</v>
      </c>
      <c r="B8" s="104"/>
      <c r="C8" s="104"/>
      <c r="D8" s="102" t="s">
        <v>71</v>
      </c>
      <c r="E8" s="104"/>
      <c r="F8" s="104" t="s">
        <v>10</v>
      </c>
      <c r="G8" s="104"/>
      <c r="H8" s="120">
        <v>45585</v>
      </c>
      <c r="I8" s="120"/>
      <c r="J8" s="120"/>
      <c r="K8" s="102" t="s">
        <v>11</v>
      </c>
      <c r="L8" s="104"/>
      <c r="M8" s="104"/>
      <c r="N8" s="115"/>
    </row>
    <row r="9" spans="1:74" thickBot="1" x14ac:dyDescent="0.4">
      <c r="A9" s="125"/>
      <c r="B9" s="104"/>
      <c r="C9" s="104"/>
      <c r="D9" s="104"/>
      <c r="E9" s="104"/>
      <c r="F9" s="104"/>
      <c r="G9" s="104"/>
      <c r="H9" s="121"/>
      <c r="I9" s="121"/>
      <c r="J9" s="121"/>
      <c r="K9" s="102"/>
      <c r="L9" s="116"/>
      <c r="M9" s="116"/>
      <c r="N9" s="117"/>
    </row>
    <row r="10" spans="1:74" ht="14.5" x14ac:dyDescent="0.35">
      <c r="A10" s="72" t="s">
        <v>72</v>
      </c>
      <c r="B10" s="73" t="s">
        <v>15</v>
      </c>
      <c r="C10" s="73" t="s">
        <v>16</v>
      </c>
      <c r="D10" s="135" t="s">
        <v>73</v>
      </c>
      <c r="E10" s="136"/>
      <c r="F10" s="74" t="s">
        <v>74</v>
      </c>
      <c r="G10" s="75" t="s">
        <v>75</v>
      </c>
      <c r="H10" s="76" t="s">
        <v>76</v>
      </c>
      <c r="I10" s="137" t="s">
        <v>13</v>
      </c>
      <c r="J10" s="137"/>
      <c r="K10" s="76" t="s">
        <v>13</v>
      </c>
      <c r="L10" s="110" t="s">
        <v>14</v>
      </c>
      <c r="M10" s="111"/>
      <c r="N10" s="77" t="s">
        <v>77</v>
      </c>
      <c r="BI10" s="13" t="s">
        <v>78</v>
      </c>
      <c r="BJ10" s="14" t="s">
        <v>79</v>
      </c>
      <c r="BU10" s="14" t="s">
        <v>80</v>
      </c>
    </row>
    <row r="11" spans="1:74" thickBot="1" x14ac:dyDescent="0.4">
      <c r="A11" s="78" t="s">
        <v>12</v>
      </c>
      <c r="B11" s="79" t="s">
        <v>12</v>
      </c>
      <c r="C11" s="79" t="s">
        <v>12</v>
      </c>
      <c r="D11" s="129" t="s">
        <v>81</v>
      </c>
      <c r="E11" s="130"/>
      <c r="F11" s="80" t="s">
        <v>12</v>
      </c>
      <c r="G11" s="81" t="s">
        <v>12</v>
      </c>
      <c r="H11" s="82" t="s">
        <v>82</v>
      </c>
      <c r="I11" s="82" t="s">
        <v>18</v>
      </c>
      <c r="J11" s="82" t="s">
        <v>19</v>
      </c>
      <c r="K11" s="82" t="s">
        <v>20</v>
      </c>
      <c r="L11" s="82" t="s">
        <v>83</v>
      </c>
      <c r="M11" s="82" t="s">
        <v>20</v>
      </c>
      <c r="N11" s="83" t="s">
        <v>84</v>
      </c>
      <c r="X11" s="13" t="s">
        <v>85</v>
      </c>
      <c r="Y11" s="13" t="s">
        <v>86</v>
      </c>
      <c r="Z11" s="13" t="s">
        <v>87</v>
      </c>
      <c r="AA11" s="13" t="s">
        <v>88</v>
      </c>
      <c r="AB11" s="13" t="s">
        <v>89</v>
      </c>
      <c r="AC11" s="13" t="s">
        <v>90</v>
      </c>
      <c r="AD11" s="13" t="s">
        <v>91</v>
      </c>
      <c r="AE11" s="13" t="s">
        <v>92</v>
      </c>
      <c r="AF11" s="13" t="s">
        <v>93</v>
      </c>
      <c r="BF11" s="13" t="s">
        <v>94</v>
      </c>
      <c r="BG11" s="13" t="s">
        <v>95</v>
      </c>
      <c r="BH11" s="13" t="s">
        <v>96</v>
      </c>
    </row>
    <row r="12" spans="1:74" ht="14.5" x14ac:dyDescent="0.35">
      <c r="A12" s="15" t="s">
        <v>22</v>
      </c>
      <c r="B12" s="16" t="s">
        <v>21</v>
      </c>
      <c r="C12" s="16" t="s">
        <v>22</v>
      </c>
      <c r="D12" s="131" t="s">
        <v>23</v>
      </c>
      <c r="E12" s="132"/>
      <c r="F12" s="90" t="s">
        <v>12</v>
      </c>
      <c r="G12" s="17" t="s">
        <v>12</v>
      </c>
      <c r="H12" s="17" t="s">
        <v>12</v>
      </c>
      <c r="I12" s="18">
        <f>I13+I50+I89+I98+I113+I174+I194+I200</f>
        <v>0</v>
      </c>
      <c r="J12" s="18">
        <f>J13+J50+J89+J98+J113+J174+J194+J200</f>
        <v>0</v>
      </c>
      <c r="K12" s="18">
        <f>K13+K50+K89+K98+K113+K174+K194+K200</f>
        <v>0</v>
      </c>
      <c r="L12" s="19" t="s">
        <v>22</v>
      </c>
      <c r="M12" s="18">
        <f>M13+M50+M89+M98+M113+M174+M194+M200</f>
        <v>15.831162199999996</v>
      </c>
      <c r="N12" s="84" t="s">
        <v>22</v>
      </c>
    </row>
    <row r="13" spans="1:74" ht="14.5" x14ac:dyDescent="0.35">
      <c r="A13" s="20" t="s">
        <v>22</v>
      </c>
      <c r="B13" s="21" t="s">
        <v>21</v>
      </c>
      <c r="C13" s="21" t="s">
        <v>25</v>
      </c>
      <c r="D13" s="133" t="s">
        <v>26</v>
      </c>
      <c r="E13" s="134"/>
      <c r="F13" s="91" t="s">
        <v>12</v>
      </c>
      <c r="G13" s="22" t="s">
        <v>12</v>
      </c>
      <c r="H13" s="22" t="s">
        <v>12</v>
      </c>
      <c r="I13" s="12">
        <f>SUM(I14:I38)</f>
        <v>0</v>
      </c>
      <c r="J13" s="12">
        <f>SUM(J14:J38)</f>
        <v>0</v>
      </c>
      <c r="K13" s="12">
        <f>SUM(K14:K38)</f>
        <v>0</v>
      </c>
      <c r="L13" s="13" t="s">
        <v>22</v>
      </c>
      <c r="M13" s="12">
        <f>SUM(M14:M38)</f>
        <v>2.2153624999999999</v>
      </c>
      <c r="N13" s="85" t="s">
        <v>22</v>
      </c>
      <c r="AG13" s="13" t="s">
        <v>21</v>
      </c>
      <c r="AQ13" s="12">
        <f>SUM(AH14:AH38)</f>
        <v>0</v>
      </c>
      <c r="AR13" s="12">
        <f>SUM(AI14:AI38)</f>
        <v>0</v>
      </c>
      <c r="AS13" s="12">
        <f>SUM(AJ14:AJ38)</f>
        <v>0</v>
      </c>
    </row>
    <row r="14" spans="1:74" ht="14.5" x14ac:dyDescent="0.35">
      <c r="A14" s="1" t="s">
        <v>97</v>
      </c>
      <c r="B14" s="2" t="s">
        <v>21</v>
      </c>
      <c r="C14" s="2" t="s">
        <v>98</v>
      </c>
      <c r="D14" s="138" t="s">
        <v>99</v>
      </c>
      <c r="E14" s="107"/>
      <c r="F14" s="37" t="s">
        <v>100</v>
      </c>
      <c r="G14" s="6">
        <v>477.38</v>
      </c>
      <c r="H14" s="147">
        <v>0</v>
      </c>
      <c r="I14" s="6">
        <f>G14*AM14</f>
        <v>0</v>
      </c>
      <c r="J14" s="6">
        <f>G14*AN14</f>
        <v>0</v>
      </c>
      <c r="K14" s="6">
        <f>G14*H14</f>
        <v>0</v>
      </c>
      <c r="L14" s="6">
        <v>4.0000000000000001E-3</v>
      </c>
      <c r="M14" s="6">
        <f>G14*L14</f>
        <v>1.9095200000000001</v>
      </c>
      <c r="N14" s="86" t="s">
        <v>102</v>
      </c>
      <c r="X14" s="6">
        <f>IF(AO14="5",BH14,0)</f>
        <v>0</v>
      </c>
      <c r="Z14" s="6">
        <f>IF(AO14="1",BF14,0)</f>
        <v>0</v>
      </c>
      <c r="AA14" s="6">
        <f>IF(AO14="1",BG14,0)</f>
        <v>0</v>
      </c>
      <c r="AB14" s="6">
        <f>IF(AO14="7",BF14,0)</f>
        <v>0</v>
      </c>
      <c r="AC14" s="6">
        <f>IF(AO14="7",BG14,0)</f>
        <v>0</v>
      </c>
      <c r="AD14" s="6">
        <f>IF(AO14="2",BF14,0)</f>
        <v>0</v>
      </c>
      <c r="AE14" s="6">
        <f>IF(AO14="2",BG14,0)</f>
        <v>0</v>
      </c>
      <c r="AF14" s="6">
        <f>IF(AO14="0",BH14,0)</f>
        <v>0</v>
      </c>
      <c r="AG14" s="13" t="s">
        <v>21</v>
      </c>
      <c r="AH14" s="6">
        <f>IF(AL14=0,K14,0)</f>
        <v>0</v>
      </c>
      <c r="AI14" s="6">
        <f>IF(AL14=12,K14,0)</f>
        <v>0</v>
      </c>
      <c r="AJ14" s="6">
        <f>IF(AL14=21,K14,0)</f>
        <v>0</v>
      </c>
      <c r="AL14" s="6">
        <v>21</v>
      </c>
      <c r="AM14" s="6">
        <f>H14*0.223540541</f>
        <v>0</v>
      </c>
      <c r="AN14" s="6">
        <f>H14*(1-0.223540541)</f>
        <v>0</v>
      </c>
      <c r="AO14" s="23" t="s">
        <v>97</v>
      </c>
      <c r="AT14" s="6">
        <f>AU14+AV14</f>
        <v>0</v>
      </c>
      <c r="AU14" s="6">
        <f>G14*AM14</f>
        <v>0</v>
      </c>
      <c r="AV14" s="6">
        <f>G14*AN14</f>
        <v>0</v>
      </c>
      <c r="AW14" s="23" t="s">
        <v>103</v>
      </c>
      <c r="AX14" s="23" t="s">
        <v>104</v>
      </c>
      <c r="AY14" s="13" t="s">
        <v>105</v>
      </c>
      <c r="BA14" s="6">
        <f>AU14+AV14</f>
        <v>0</v>
      </c>
      <c r="BB14" s="6">
        <f>H14/(100-BC14)*100</f>
        <v>0</v>
      </c>
      <c r="BC14" s="6">
        <v>0</v>
      </c>
      <c r="BD14" s="6">
        <f>M14</f>
        <v>1.9095200000000001</v>
      </c>
      <c r="BF14" s="6">
        <f>G14*AM14</f>
        <v>0</v>
      </c>
      <c r="BG14" s="6">
        <f>G14*AN14</f>
        <v>0</v>
      </c>
      <c r="BH14" s="6">
        <f>G14*H14</f>
        <v>0</v>
      </c>
      <c r="BI14" s="6"/>
      <c r="BJ14" s="6">
        <v>61</v>
      </c>
      <c r="BU14" s="6" t="e">
        <f>#REF!</f>
        <v>#REF!</v>
      </c>
      <c r="BV14" s="3" t="s">
        <v>99</v>
      </c>
    </row>
    <row r="15" spans="1:74" ht="14.5" x14ac:dyDescent="0.35">
      <c r="A15" s="24"/>
      <c r="D15" s="25" t="s">
        <v>106</v>
      </c>
      <c r="E15" s="26" t="s">
        <v>107</v>
      </c>
      <c r="G15" s="27">
        <v>340.2</v>
      </c>
      <c r="N15" s="87"/>
    </row>
    <row r="16" spans="1:74" ht="14.5" x14ac:dyDescent="0.35">
      <c r="A16" s="24"/>
      <c r="D16" s="25" t="s">
        <v>108</v>
      </c>
      <c r="E16" s="26" t="s">
        <v>109</v>
      </c>
      <c r="G16" s="27">
        <v>29.7</v>
      </c>
      <c r="N16" s="87"/>
    </row>
    <row r="17" spans="1:74" ht="14.5" x14ac:dyDescent="0.35">
      <c r="A17" s="24"/>
      <c r="D17" s="25" t="s">
        <v>110</v>
      </c>
      <c r="E17" s="26" t="s">
        <v>111</v>
      </c>
      <c r="G17" s="27">
        <v>14.72</v>
      </c>
      <c r="N17" s="87"/>
    </row>
    <row r="18" spans="1:74" ht="14.5" x14ac:dyDescent="0.35">
      <c r="A18" s="24"/>
      <c r="D18" s="25" t="s">
        <v>112</v>
      </c>
      <c r="E18" s="26" t="s">
        <v>113</v>
      </c>
      <c r="G18" s="27">
        <v>15.2</v>
      </c>
      <c r="N18" s="87"/>
    </row>
    <row r="19" spans="1:74" ht="14.5" x14ac:dyDescent="0.35">
      <c r="A19" s="24"/>
      <c r="D19" s="25" t="s">
        <v>114</v>
      </c>
      <c r="E19" s="26" t="s">
        <v>115</v>
      </c>
      <c r="G19" s="27">
        <v>5.4</v>
      </c>
      <c r="N19" s="87"/>
    </row>
    <row r="20" spans="1:74" ht="14.5" x14ac:dyDescent="0.35">
      <c r="A20" s="24"/>
      <c r="D20" s="25" t="s">
        <v>116</v>
      </c>
      <c r="E20" s="26" t="s">
        <v>117</v>
      </c>
      <c r="G20" s="27">
        <v>4.2</v>
      </c>
      <c r="N20" s="87"/>
    </row>
    <row r="21" spans="1:74" ht="14.5" x14ac:dyDescent="0.35">
      <c r="A21" s="24"/>
      <c r="D21" s="25" t="s">
        <v>114</v>
      </c>
      <c r="E21" s="26" t="s">
        <v>118</v>
      </c>
      <c r="G21" s="27">
        <v>5.4</v>
      </c>
      <c r="N21" s="87"/>
    </row>
    <row r="22" spans="1:74" ht="14.5" x14ac:dyDescent="0.35">
      <c r="A22" s="24"/>
      <c r="D22" s="25" t="s">
        <v>119</v>
      </c>
      <c r="E22" s="26" t="s">
        <v>120</v>
      </c>
      <c r="G22" s="27">
        <v>19.7</v>
      </c>
      <c r="N22" s="87"/>
    </row>
    <row r="23" spans="1:74" ht="14.5" x14ac:dyDescent="0.35">
      <c r="A23" s="24"/>
      <c r="D23" s="25" t="s">
        <v>119</v>
      </c>
      <c r="E23" s="26" t="s">
        <v>121</v>
      </c>
      <c r="G23" s="27">
        <v>19.7</v>
      </c>
      <c r="N23" s="87"/>
    </row>
    <row r="24" spans="1:74" ht="14.5" x14ac:dyDescent="0.35">
      <c r="A24" s="24"/>
      <c r="D24" s="25" t="s">
        <v>122</v>
      </c>
      <c r="E24" s="26" t="s">
        <v>123</v>
      </c>
      <c r="G24" s="27">
        <v>16.36</v>
      </c>
      <c r="N24" s="87"/>
    </row>
    <row r="25" spans="1:74" ht="14.5" x14ac:dyDescent="0.35">
      <c r="A25" s="24"/>
      <c r="D25" s="25" t="s">
        <v>124</v>
      </c>
      <c r="E25" s="26" t="s">
        <v>125</v>
      </c>
      <c r="G25" s="27">
        <v>6.8</v>
      </c>
      <c r="N25" s="87"/>
    </row>
    <row r="26" spans="1:74" ht="14.5" x14ac:dyDescent="0.35">
      <c r="A26" s="1" t="s">
        <v>126</v>
      </c>
      <c r="B26" s="2" t="s">
        <v>21</v>
      </c>
      <c r="C26" s="2" t="s">
        <v>127</v>
      </c>
      <c r="D26" s="138" t="s">
        <v>128</v>
      </c>
      <c r="E26" s="107"/>
      <c r="F26" s="37" t="s">
        <v>100</v>
      </c>
      <c r="G26" s="6">
        <v>477.38</v>
      </c>
      <c r="H26" s="147">
        <v>0</v>
      </c>
      <c r="I26" s="6">
        <f>G26*AM26</f>
        <v>0</v>
      </c>
      <c r="J26" s="6">
        <f>G26*AN26</f>
        <v>0</v>
      </c>
      <c r="K26" s="6">
        <f>G26*H26</f>
        <v>0</v>
      </c>
      <c r="L26" s="6">
        <v>4.6000000000000001E-4</v>
      </c>
      <c r="M26" s="6">
        <f>G26*L26</f>
        <v>0.21959480000000001</v>
      </c>
      <c r="N26" s="86" t="s">
        <v>129</v>
      </c>
      <c r="X26" s="6">
        <f>IF(AO26="5",BH26,0)</f>
        <v>0</v>
      </c>
      <c r="Z26" s="6">
        <f>IF(AO26="1",BF26,0)</f>
        <v>0</v>
      </c>
      <c r="AA26" s="6">
        <f>IF(AO26="1",BG26,0)</f>
        <v>0</v>
      </c>
      <c r="AB26" s="6">
        <f>IF(AO26="7",BF26,0)</f>
        <v>0</v>
      </c>
      <c r="AC26" s="6">
        <f>IF(AO26="7",BG26,0)</f>
        <v>0</v>
      </c>
      <c r="AD26" s="6">
        <f>IF(AO26="2",BF26,0)</f>
        <v>0</v>
      </c>
      <c r="AE26" s="6">
        <f>IF(AO26="2",BG26,0)</f>
        <v>0</v>
      </c>
      <c r="AF26" s="6">
        <f>IF(AO26="0",BH26,0)</f>
        <v>0</v>
      </c>
      <c r="AG26" s="13" t="s">
        <v>21</v>
      </c>
      <c r="AH26" s="6">
        <f>IF(AL26=0,K26,0)</f>
        <v>0</v>
      </c>
      <c r="AI26" s="6">
        <f>IF(AL26=12,K26,0)</f>
        <v>0</v>
      </c>
      <c r="AJ26" s="6">
        <f>IF(AL26=21,K26,0)</f>
        <v>0</v>
      </c>
      <c r="AL26" s="6">
        <v>21</v>
      </c>
      <c r="AM26" s="6">
        <f>H26*1</f>
        <v>0</v>
      </c>
      <c r="AN26" s="6">
        <f>H26*(1-1)</f>
        <v>0</v>
      </c>
      <c r="AO26" s="23" t="s">
        <v>97</v>
      </c>
      <c r="AT26" s="6">
        <f>AU26+AV26</f>
        <v>0</v>
      </c>
      <c r="AU26" s="6">
        <f>G26*AM26</f>
        <v>0</v>
      </c>
      <c r="AV26" s="6">
        <f>G26*AN26</f>
        <v>0</v>
      </c>
      <c r="AW26" s="23" t="s">
        <v>103</v>
      </c>
      <c r="AX26" s="23" t="s">
        <v>104</v>
      </c>
      <c r="AY26" s="13" t="s">
        <v>105</v>
      </c>
      <c r="BA26" s="6">
        <f>AU26+AV26</f>
        <v>0</v>
      </c>
      <c r="BB26" s="6">
        <f>H26/(100-BC26)*100</f>
        <v>0</v>
      </c>
      <c r="BC26" s="6">
        <v>0</v>
      </c>
      <c r="BD26" s="6">
        <f>M26</f>
        <v>0.21959480000000001</v>
      </c>
      <c r="BF26" s="6">
        <f>G26*AM26</f>
        <v>0</v>
      </c>
      <c r="BG26" s="6">
        <f>G26*AN26</f>
        <v>0</v>
      </c>
      <c r="BH26" s="6">
        <f>G26*H26</f>
        <v>0</v>
      </c>
      <c r="BI26" s="6"/>
      <c r="BJ26" s="6">
        <v>61</v>
      </c>
      <c r="BU26" s="6" t="e">
        <f>#REF!</f>
        <v>#REF!</v>
      </c>
      <c r="BV26" s="3" t="s">
        <v>128</v>
      </c>
    </row>
    <row r="27" spans="1:74" ht="14.5" x14ac:dyDescent="0.35">
      <c r="A27" s="24"/>
      <c r="D27" s="25" t="s">
        <v>106</v>
      </c>
      <c r="E27" s="26" t="s">
        <v>107</v>
      </c>
      <c r="G27" s="27">
        <v>340.2</v>
      </c>
      <c r="N27" s="87"/>
    </row>
    <row r="28" spans="1:74" ht="14.5" x14ac:dyDescent="0.35">
      <c r="A28" s="24"/>
      <c r="D28" s="25" t="s">
        <v>108</v>
      </c>
      <c r="E28" s="26" t="s">
        <v>109</v>
      </c>
      <c r="G28" s="27">
        <v>29.7</v>
      </c>
      <c r="N28" s="87"/>
    </row>
    <row r="29" spans="1:74" ht="14.5" x14ac:dyDescent="0.35">
      <c r="A29" s="24"/>
      <c r="D29" s="25" t="s">
        <v>110</v>
      </c>
      <c r="E29" s="26" t="s">
        <v>111</v>
      </c>
      <c r="G29" s="27">
        <v>14.72</v>
      </c>
      <c r="N29" s="87"/>
    </row>
    <row r="30" spans="1:74" ht="14.5" x14ac:dyDescent="0.35">
      <c r="A30" s="24"/>
      <c r="D30" s="25" t="s">
        <v>112</v>
      </c>
      <c r="E30" s="26" t="s">
        <v>113</v>
      </c>
      <c r="G30" s="27">
        <v>15.2</v>
      </c>
      <c r="N30" s="87"/>
    </row>
    <row r="31" spans="1:74" ht="14.5" x14ac:dyDescent="0.35">
      <c r="A31" s="24"/>
      <c r="D31" s="25" t="s">
        <v>114</v>
      </c>
      <c r="E31" s="26" t="s">
        <v>115</v>
      </c>
      <c r="G31" s="27">
        <v>5.4</v>
      </c>
      <c r="N31" s="87"/>
    </row>
    <row r="32" spans="1:74" ht="14.5" x14ac:dyDescent="0.35">
      <c r="A32" s="24"/>
      <c r="D32" s="25" t="s">
        <v>116</v>
      </c>
      <c r="E32" s="26" t="s">
        <v>117</v>
      </c>
      <c r="G32" s="27">
        <v>4.2</v>
      </c>
      <c r="N32" s="87"/>
    </row>
    <row r="33" spans="1:74" ht="14.5" x14ac:dyDescent="0.35">
      <c r="A33" s="24"/>
      <c r="D33" s="25" t="s">
        <v>114</v>
      </c>
      <c r="E33" s="26" t="s">
        <v>118</v>
      </c>
      <c r="G33" s="27">
        <v>5.4</v>
      </c>
      <c r="N33" s="87"/>
    </row>
    <row r="34" spans="1:74" ht="14.5" x14ac:dyDescent="0.35">
      <c r="A34" s="24"/>
      <c r="D34" s="25" t="s">
        <v>119</v>
      </c>
      <c r="E34" s="26" t="s">
        <v>120</v>
      </c>
      <c r="G34" s="27">
        <v>19.7</v>
      </c>
      <c r="N34" s="87"/>
    </row>
    <row r="35" spans="1:74" ht="14.5" x14ac:dyDescent="0.35">
      <c r="A35" s="24"/>
      <c r="D35" s="25" t="s">
        <v>119</v>
      </c>
      <c r="E35" s="26" t="s">
        <v>121</v>
      </c>
      <c r="G35" s="27">
        <v>19.7</v>
      </c>
      <c r="N35" s="87"/>
    </row>
    <row r="36" spans="1:74" ht="14.5" x14ac:dyDescent="0.35">
      <c r="A36" s="24"/>
      <c r="D36" s="25" t="s">
        <v>122</v>
      </c>
      <c r="E36" s="26" t="s">
        <v>123</v>
      </c>
      <c r="G36" s="27">
        <v>16.36</v>
      </c>
      <c r="N36" s="87"/>
    </row>
    <row r="37" spans="1:74" ht="14.5" x14ac:dyDescent="0.35">
      <c r="A37" s="24"/>
      <c r="D37" s="25" t="s">
        <v>124</v>
      </c>
      <c r="E37" s="26" t="s">
        <v>125</v>
      </c>
      <c r="G37" s="27">
        <v>6.8</v>
      </c>
      <c r="N37" s="87"/>
    </row>
    <row r="38" spans="1:74" ht="14.5" x14ac:dyDescent="0.35">
      <c r="A38" s="1" t="s">
        <v>130</v>
      </c>
      <c r="B38" s="2" t="s">
        <v>21</v>
      </c>
      <c r="C38" s="2" t="s">
        <v>131</v>
      </c>
      <c r="D38" s="138" t="s">
        <v>132</v>
      </c>
      <c r="E38" s="107"/>
      <c r="F38" s="37" t="s">
        <v>100</v>
      </c>
      <c r="G38" s="6">
        <v>374.99</v>
      </c>
      <c r="H38" s="147">
        <v>0</v>
      </c>
      <c r="I38" s="6">
        <f>G38*AM38</f>
        <v>0</v>
      </c>
      <c r="J38" s="6">
        <f>G38*AN38</f>
        <v>0</v>
      </c>
      <c r="K38" s="6">
        <f>G38*H38</f>
        <v>0</v>
      </c>
      <c r="L38" s="6">
        <v>2.3000000000000001E-4</v>
      </c>
      <c r="M38" s="6">
        <f>G38*L38</f>
        <v>8.624770000000001E-2</v>
      </c>
      <c r="N38" s="86" t="s">
        <v>129</v>
      </c>
      <c r="X38" s="6">
        <f>IF(AO38="5",BH38,0)</f>
        <v>0</v>
      </c>
      <c r="Z38" s="6">
        <f>IF(AO38="1",BF38,0)</f>
        <v>0</v>
      </c>
      <c r="AA38" s="6">
        <f>IF(AO38="1",BG38,0)</f>
        <v>0</v>
      </c>
      <c r="AB38" s="6">
        <f>IF(AO38="7",BF38,0)</f>
        <v>0</v>
      </c>
      <c r="AC38" s="6">
        <f>IF(AO38="7",BG38,0)</f>
        <v>0</v>
      </c>
      <c r="AD38" s="6">
        <f>IF(AO38="2",BF38,0)</f>
        <v>0</v>
      </c>
      <c r="AE38" s="6">
        <f>IF(AO38="2",BG38,0)</f>
        <v>0</v>
      </c>
      <c r="AF38" s="6">
        <f>IF(AO38="0",BH38,0)</f>
        <v>0</v>
      </c>
      <c r="AG38" s="13" t="s">
        <v>21</v>
      </c>
      <c r="AH38" s="6">
        <f>IF(AL38=0,K38,0)</f>
        <v>0</v>
      </c>
      <c r="AI38" s="6">
        <f>IF(AL38=12,K38,0)</f>
        <v>0</v>
      </c>
      <c r="AJ38" s="6">
        <f>IF(AL38=21,K38,0)</f>
        <v>0</v>
      </c>
      <c r="AL38" s="6">
        <v>21</v>
      </c>
      <c r="AM38" s="6">
        <f>H38*0.719032288</f>
        <v>0</v>
      </c>
      <c r="AN38" s="6">
        <f>H38*(1-0.719032288)</f>
        <v>0</v>
      </c>
      <c r="AO38" s="23" t="s">
        <v>97</v>
      </c>
      <c r="AT38" s="6">
        <f>AU38+AV38</f>
        <v>0</v>
      </c>
      <c r="AU38" s="6">
        <f>G38*AM38</f>
        <v>0</v>
      </c>
      <c r="AV38" s="6">
        <f>G38*AN38</f>
        <v>0</v>
      </c>
      <c r="AW38" s="23" t="s">
        <v>103</v>
      </c>
      <c r="AX38" s="23" t="s">
        <v>104</v>
      </c>
      <c r="AY38" s="13" t="s">
        <v>105</v>
      </c>
      <c r="BA38" s="6">
        <f>AU38+AV38</f>
        <v>0</v>
      </c>
      <c r="BB38" s="6">
        <f>H38/(100-BC38)*100</f>
        <v>0</v>
      </c>
      <c r="BC38" s="6">
        <v>0</v>
      </c>
      <c r="BD38" s="6">
        <f>M38</f>
        <v>8.624770000000001E-2</v>
      </c>
      <c r="BF38" s="6">
        <f>G38*AM38</f>
        <v>0</v>
      </c>
      <c r="BG38" s="6">
        <f>G38*AN38</f>
        <v>0</v>
      </c>
      <c r="BH38" s="6">
        <f>G38*H38</f>
        <v>0</v>
      </c>
      <c r="BI38" s="6"/>
      <c r="BJ38" s="6">
        <v>61</v>
      </c>
      <c r="BU38" s="6" t="e">
        <f>#REF!</f>
        <v>#REF!</v>
      </c>
      <c r="BV38" s="3" t="s">
        <v>132</v>
      </c>
    </row>
    <row r="39" spans="1:74" ht="14.5" x14ac:dyDescent="0.35">
      <c r="A39" s="24"/>
      <c r="D39" s="25" t="s">
        <v>133</v>
      </c>
      <c r="E39" s="26" t="s">
        <v>107</v>
      </c>
      <c r="G39" s="27">
        <v>264.60000000000002</v>
      </c>
      <c r="N39" s="87"/>
    </row>
    <row r="40" spans="1:74" ht="14.5" x14ac:dyDescent="0.35">
      <c r="A40" s="24"/>
      <c r="D40" s="25" t="s">
        <v>134</v>
      </c>
      <c r="E40" s="26" t="s">
        <v>109</v>
      </c>
      <c r="G40" s="27">
        <v>23.1</v>
      </c>
      <c r="N40" s="87"/>
    </row>
    <row r="41" spans="1:74" ht="14.5" x14ac:dyDescent="0.35">
      <c r="A41" s="24"/>
      <c r="D41" s="25" t="s">
        <v>135</v>
      </c>
      <c r="E41" s="26" t="s">
        <v>111</v>
      </c>
      <c r="G41" s="27">
        <v>12.06</v>
      </c>
      <c r="N41" s="87"/>
    </row>
    <row r="42" spans="1:74" ht="14.5" x14ac:dyDescent="0.35">
      <c r="A42" s="24"/>
      <c r="D42" s="25" t="s">
        <v>136</v>
      </c>
      <c r="E42" s="26" t="s">
        <v>113</v>
      </c>
      <c r="G42" s="27">
        <v>10.6</v>
      </c>
      <c r="N42" s="87"/>
    </row>
    <row r="43" spans="1:74" ht="14.5" x14ac:dyDescent="0.35">
      <c r="A43" s="24"/>
      <c r="D43" s="25" t="s">
        <v>137</v>
      </c>
      <c r="E43" s="26" t="s">
        <v>115</v>
      </c>
      <c r="G43" s="27">
        <v>4.2</v>
      </c>
      <c r="N43" s="87"/>
    </row>
    <row r="44" spans="1:74" ht="14.5" x14ac:dyDescent="0.35">
      <c r="A44" s="24"/>
      <c r="D44" s="25" t="s">
        <v>138</v>
      </c>
      <c r="E44" s="26" t="s">
        <v>117</v>
      </c>
      <c r="G44" s="27">
        <v>3.6</v>
      </c>
      <c r="N44" s="87"/>
    </row>
    <row r="45" spans="1:74" ht="14.5" x14ac:dyDescent="0.35">
      <c r="A45" s="24"/>
      <c r="D45" s="25" t="s">
        <v>137</v>
      </c>
      <c r="E45" s="26" t="s">
        <v>118</v>
      </c>
      <c r="G45" s="27">
        <v>4.2</v>
      </c>
      <c r="N45" s="87"/>
    </row>
    <row r="46" spans="1:74" ht="14.5" x14ac:dyDescent="0.35">
      <c r="A46" s="24"/>
      <c r="D46" s="25" t="s">
        <v>139</v>
      </c>
      <c r="E46" s="26" t="s">
        <v>120</v>
      </c>
      <c r="G46" s="27">
        <v>18.2</v>
      </c>
      <c r="N46" s="87"/>
    </row>
    <row r="47" spans="1:74" ht="14.5" x14ac:dyDescent="0.35">
      <c r="A47" s="24"/>
      <c r="D47" s="25" t="s">
        <v>139</v>
      </c>
      <c r="E47" s="26" t="s">
        <v>121</v>
      </c>
      <c r="G47" s="27">
        <v>18.2</v>
      </c>
      <c r="N47" s="87"/>
    </row>
    <row r="48" spans="1:74" ht="14.5" x14ac:dyDescent="0.35">
      <c r="A48" s="24"/>
      <c r="D48" s="25" t="s">
        <v>140</v>
      </c>
      <c r="E48" s="26" t="s">
        <v>123</v>
      </c>
      <c r="G48" s="27">
        <v>10.48</v>
      </c>
      <c r="N48" s="87"/>
    </row>
    <row r="49" spans="1:74" ht="14.5" x14ac:dyDescent="0.35">
      <c r="A49" s="24"/>
      <c r="D49" s="25" t="s">
        <v>141</v>
      </c>
      <c r="E49" s="26" t="s">
        <v>125</v>
      </c>
      <c r="G49" s="27">
        <v>5.75</v>
      </c>
      <c r="N49" s="87"/>
    </row>
    <row r="50" spans="1:74" ht="14.5" x14ac:dyDescent="0.35">
      <c r="A50" s="20" t="s">
        <v>22</v>
      </c>
      <c r="B50" s="21" t="s">
        <v>21</v>
      </c>
      <c r="C50" s="21" t="s">
        <v>28</v>
      </c>
      <c r="D50" s="133" t="s">
        <v>29</v>
      </c>
      <c r="E50" s="134"/>
      <c r="F50" s="91" t="s">
        <v>12</v>
      </c>
      <c r="G50" s="22" t="s">
        <v>12</v>
      </c>
      <c r="H50" s="22" t="s">
        <v>12</v>
      </c>
      <c r="I50" s="12">
        <f>SUM(I51:I86)</f>
        <v>0</v>
      </c>
      <c r="J50" s="12">
        <f>SUM(J51:J86)</f>
        <v>0</v>
      </c>
      <c r="K50" s="12">
        <f>SUM(K51:K86)</f>
        <v>0</v>
      </c>
      <c r="L50" s="13" t="s">
        <v>22</v>
      </c>
      <c r="M50" s="12">
        <f>SUM(M51:M86)</f>
        <v>8.8763462999999998</v>
      </c>
      <c r="N50" s="85" t="s">
        <v>22</v>
      </c>
      <c r="AG50" s="13" t="s">
        <v>21</v>
      </c>
      <c r="AQ50" s="12">
        <f>SUM(AH51:AH86)</f>
        <v>0</v>
      </c>
      <c r="AR50" s="12">
        <f>SUM(AI51:AI86)</f>
        <v>0</v>
      </c>
      <c r="AS50" s="12">
        <f>SUM(AJ51:AJ86)</f>
        <v>0</v>
      </c>
    </row>
    <row r="51" spans="1:74" ht="14.5" x14ac:dyDescent="0.35">
      <c r="A51" s="1" t="s">
        <v>142</v>
      </c>
      <c r="B51" s="2" t="s">
        <v>21</v>
      </c>
      <c r="C51" s="2" t="s">
        <v>143</v>
      </c>
      <c r="D51" s="138" t="s">
        <v>144</v>
      </c>
      <c r="E51" s="107"/>
      <c r="F51" s="37" t="s">
        <v>145</v>
      </c>
      <c r="G51" s="6">
        <v>162.86000000000001</v>
      </c>
      <c r="H51" s="147">
        <v>0</v>
      </c>
      <c r="I51" s="6">
        <f>G51*AM51</f>
        <v>0</v>
      </c>
      <c r="J51" s="6">
        <f>G51*AN51</f>
        <v>0</v>
      </c>
      <c r="K51" s="6">
        <f>G51*H51</f>
        <v>0</v>
      </c>
      <c r="L51" s="6">
        <v>4.0919999999999998E-2</v>
      </c>
      <c r="M51" s="6">
        <f>G51*L51</f>
        <v>6.6642312000000006</v>
      </c>
      <c r="N51" s="86" t="s">
        <v>129</v>
      </c>
      <c r="X51" s="6">
        <f>IF(AO51="5",BH51,0)</f>
        <v>0</v>
      </c>
      <c r="Z51" s="6">
        <f>IF(AO51="1",BF51,0)</f>
        <v>0</v>
      </c>
      <c r="AA51" s="6">
        <f>IF(AO51="1",BG51,0)</f>
        <v>0</v>
      </c>
      <c r="AB51" s="6">
        <f>IF(AO51="7",BF51,0)</f>
        <v>0</v>
      </c>
      <c r="AC51" s="6">
        <f>IF(AO51="7",BG51,0)</f>
        <v>0</v>
      </c>
      <c r="AD51" s="6">
        <f>IF(AO51="2",BF51,0)</f>
        <v>0</v>
      </c>
      <c r="AE51" s="6">
        <f>IF(AO51="2",BG51,0)</f>
        <v>0</v>
      </c>
      <c r="AF51" s="6">
        <f>IF(AO51="0",BH51,0)</f>
        <v>0</v>
      </c>
      <c r="AG51" s="13" t="s">
        <v>21</v>
      </c>
      <c r="AH51" s="6">
        <f>IF(AL51=0,K51,0)</f>
        <v>0</v>
      </c>
      <c r="AI51" s="6">
        <f>IF(AL51=12,K51,0)</f>
        <v>0</v>
      </c>
      <c r="AJ51" s="6">
        <f>IF(AL51=21,K51,0)</f>
        <v>0</v>
      </c>
      <c r="AL51" s="6">
        <v>21</v>
      </c>
      <c r="AM51" s="6">
        <f>H51*0.134021653</f>
        <v>0</v>
      </c>
      <c r="AN51" s="6">
        <f>H51*(1-0.134021653)</f>
        <v>0</v>
      </c>
      <c r="AO51" s="23" t="s">
        <v>97</v>
      </c>
      <c r="AT51" s="6">
        <f>AU51+AV51</f>
        <v>0</v>
      </c>
      <c r="AU51" s="6">
        <f>G51*AM51</f>
        <v>0</v>
      </c>
      <c r="AV51" s="6">
        <f>G51*AN51</f>
        <v>0</v>
      </c>
      <c r="AW51" s="23" t="s">
        <v>146</v>
      </c>
      <c r="AX51" s="23" t="s">
        <v>147</v>
      </c>
      <c r="AY51" s="13" t="s">
        <v>105</v>
      </c>
      <c r="BA51" s="6">
        <f>AU51+AV51</f>
        <v>0</v>
      </c>
      <c r="BB51" s="6">
        <f>H51/(100-BC51)*100</f>
        <v>0</v>
      </c>
      <c r="BC51" s="6">
        <v>0</v>
      </c>
      <c r="BD51" s="6">
        <f>M51</f>
        <v>6.6642312000000006</v>
      </c>
      <c r="BF51" s="6">
        <f>G51*AM51</f>
        <v>0</v>
      </c>
      <c r="BG51" s="6">
        <f>G51*AN51</f>
        <v>0</v>
      </c>
      <c r="BH51" s="6">
        <f>G51*H51</f>
        <v>0</v>
      </c>
      <c r="BI51" s="6"/>
      <c r="BJ51" s="6">
        <v>96</v>
      </c>
      <c r="BU51" s="6" t="e">
        <f>#REF!</f>
        <v>#REF!</v>
      </c>
      <c r="BV51" s="3" t="s">
        <v>144</v>
      </c>
    </row>
    <row r="52" spans="1:74" ht="14.5" x14ac:dyDescent="0.35">
      <c r="A52" s="24"/>
      <c r="D52" s="25" t="s">
        <v>148</v>
      </c>
      <c r="E52" s="26" t="s">
        <v>149</v>
      </c>
      <c r="G52" s="27">
        <v>115.2</v>
      </c>
      <c r="N52" s="87"/>
    </row>
    <row r="53" spans="1:74" ht="14.5" x14ac:dyDescent="0.35">
      <c r="A53" s="24"/>
      <c r="D53" s="25" t="s">
        <v>150</v>
      </c>
      <c r="E53" s="26" t="s">
        <v>151</v>
      </c>
      <c r="G53" s="27">
        <v>4.95</v>
      </c>
      <c r="N53" s="87"/>
    </row>
    <row r="54" spans="1:74" ht="14.5" x14ac:dyDescent="0.35">
      <c r="A54" s="24"/>
      <c r="D54" s="25" t="s">
        <v>152</v>
      </c>
      <c r="E54" s="26" t="s">
        <v>153</v>
      </c>
      <c r="G54" s="27">
        <v>6.25</v>
      </c>
      <c r="N54" s="87"/>
    </row>
    <row r="55" spans="1:74" ht="14.5" x14ac:dyDescent="0.35">
      <c r="A55" s="24"/>
      <c r="D55" s="25" t="s">
        <v>154</v>
      </c>
      <c r="E55" s="26" t="s">
        <v>155</v>
      </c>
      <c r="G55" s="27">
        <v>6.9</v>
      </c>
      <c r="N55" s="87"/>
    </row>
    <row r="56" spans="1:74" ht="14.5" x14ac:dyDescent="0.35">
      <c r="A56" s="24"/>
      <c r="D56" s="25" t="s">
        <v>156</v>
      </c>
      <c r="E56" s="26" t="s">
        <v>157</v>
      </c>
      <c r="G56" s="27">
        <v>1.8</v>
      </c>
      <c r="N56" s="87"/>
    </row>
    <row r="57" spans="1:74" ht="14.5" x14ac:dyDescent="0.35">
      <c r="A57" s="24"/>
      <c r="D57" s="25" t="s">
        <v>158</v>
      </c>
      <c r="E57" s="26" t="s">
        <v>159</v>
      </c>
      <c r="G57" s="27">
        <v>0.9</v>
      </c>
      <c r="N57" s="87"/>
    </row>
    <row r="58" spans="1:74" ht="14.5" x14ac:dyDescent="0.35">
      <c r="A58" s="24"/>
      <c r="D58" s="25" t="s">
        <v>156</v>
      </c>
      <c r="E58" s="26" t="s">
        <v>160</v>
      </c>
      <c r="G58" s="27">
        <v>1.8</v>
      </c>
      <c r="N58" s="87"/>
    </row>
    <row r="59" spans="1:74" ht="14.5" x14ac:dyDescent="0.35">
      <c r="A59" s="24"/>
      <c r="D59" s="25" t="s">
        <v>161</v>
      </c>
      <c r="E59" s="26" t="s">
        <v>162</v>
      </c>
      <c r="G59" s="27">
        <v>12.53</v>
      </c>
      <c r="N59" s="87"/>
    </row>
    <row r="60" spans="1:74" ht="14.5" x14ac:dyDescent="0.35">
      <c r="A60" s="24"/>
      <c r="D60" s="25" t="s">
        <v>161</v>
      </c>
      <c r="E60" s="26" t="s">
        <v>163</v>
      </c>
      <c r="G60" s="27">
        <v>12.53</v>
      </c>
      <c r="N60" s="87"/>
    </row>
    <row r="61" spans="1:74" ht="14.5" x14ac:dyDescent="0.35">
      <c r="A61" s="1" t="s">
        <v>164</v>
      </c>
      <c r="B61" s="2" t="s">
        <v>21</v>
      </c>
      <c r="C61" s="2" t="s">
        <v>165</v>
      </c>
      <c r="D61" s="138" t="s">
        <v>166</v>
      </c>
      <c r="E61" s="107"/>
      <c r="F61" s="37" t="s">
        <v>145</v>
      </c>
      <c r="G61" s="6">
        <v>2.4700000000000002</v>
      </c>
      <c r="H61" s="147">
        <v>0</v>
      </c>
      <c r="I61" s="6">
        <f>G61*AM61</f>
        <v>0</v>
      </c>
      <c r="J61" s="6">
        <f>G61*AN61</f>
        <v>0</v>
      </c>
      <c r="K61" s="6">
        <f>G61*H61</f>
        <v>0</v>
      </c>
      <c r="L61" s="6">
        <v>4.2200000000000001E-2</v>
      </c>
      <c r="M61" s="6">
        <f>G61*L61</f>
        <v>0.10423400000000001</v>
      </c>
      <c r="N61" s="86" t="s">
        <v>129</v>
      </c>
      <c r="X61" s="6">
        <f>IF(AO61="5",BH61,0)</f>
        <v>0</v>
      </c>
      <c r="Z61" s="6">
        <f>IF(AO61="1",BF61,0)</f>
        <v>0</v>
      </c>
      <c r="AA61" s="6">
        <f>IF(AO61="1",BG61,0)</f>
        <v>0</v>
      </c>
      <c r="AB61" s="6">
        <f>IF(AO61="7",BF61,0)</f>
        <v>0</v>
      </c>
      <c r="AC61" s="6">
        <f>IF(AO61="7",BG61,0)</f>
        <v>0</v>
      </c>
      <c r="AD61" s="6">
        <f>IF(AO61="2",BF61,0)</f>
        <v>0</v>
      </c>
      <c r="AE61" s="6">
        <f>IF(AO61="2",BG61,0)</f>
        <v>0</v>
      </c>
      <c r="AF61" s="6">
        <f>IF(AO61="0",BH61,0)</f>
        <v>0</v>
      </c>
      <c r="AG61" s="13" t="s">
        <v>21</v>
      </c>
      <c r="AH61" s="6">
        <f>IF(AL61=0,K61,0)</f>
        <v>0</v>
      </c>
      <c r="AI61" s="6">
        <f>IF(AL61=12,K61,0)</f>
        <v>0</v>
      </c>
      <c r="AJ61" s="6">
        <f>IF(AL61=21,K61,0)</f>
        <v>0</v>
      </c>
      <c r="AL61" s="6">
        <v>21</v>
      </c>
      <c r="AM61" s="6">
        <f>H61*0.112346154</f>
        <v>0</v>
      </c>
      <c r="AN61" s="6">
        <f>H61*(1-0.112346154)</f>
        <v>0</v>
      </c>
      <c r="AO61" s="23" t="s">
        <v>97</v>
      </c>
      <c r="AT61" s="6">
        <f>AU61+AV61</f>
        <v>0</v>
      </c>
      <c r="AU61" s="6">
        <f>G61*AM61</f>
        <v>0</v>
      </c>
      <c r="AV61" s="6">
        <f>G61*AN61</f>
        <v>0</v>
      </c>
      <c r="AW61" s="23" t="s">
        <v>146</v>
      </c>
      <c r="AX61" s="23" t="s">
        <v>147</v>
      </c>
      <c r="AY61" s="13" t="s">
        <v>105</v>
      </c>
      <c r="BA61" s="6">
        <f>AU61+AV61</f>
        <v>0</v>
      </c>
      <c r="BB61" s="6">
        <f>H61/(100-BC61)*100</f>
        <v>0</v>
      </c>
      <c r="BC61" s="6">
        <v>0</v>
      </c>
      <c r="BD61" s="6">
        <f>M61</f>
        <v>0.10423400000000001</v>
      </c>
      <c r="BF61" s="6">
        <f>G61*AM61</f>
        <v>0</v>
      </c>
      <c r="BG61" s="6">
        <f>G61*AN61</f>
        <v>0</v>
      </c>
      <c r="BH61" s="6">
        <f>G61*H61</f>
        <v>0</v>
      </c>
      <c r="BI61" s="6"/>
      <c r="BJ61" s="6">
        <v>96</v>
      </c>
      <c r="BU61" s="6" t="e">
        <f>#REF!</f>
        <v>#REF!</v>
      </c>
      <c r="BV61" s="3" t="s">
        <v>166</v>
      </c>
    </row>
    <row r="62" spans="1:74" ht="14.5" x14ac:dyDescent="0.35">
      <c r="A62" s="24"/>
      <c r="D62" s="25" t="s">
        <v>167</v>
      </c>
      <c r="E62" s="26" t="s">
        <v>168</v>
      </c>
      <c r="G62" s="27">
        <v>2.4700000000000002</v>
      </c>
      <c r="N62" s="87"/>
    </row>
    <row r="63" spans="1:74" ht="14.5" x14ac:dyDescent="0.35">
      <c r="A63" s="1" t="s">
        <v>169</v>
      </c>
      <c r="B63" s="2" t="s">
        <v>21</v>
      </c>
      <c r="C63" s="2" t="s">
        <v>170</v>
      </c>
      <c r="D63" s="138" t="s">
        <v>171</v>
      </c>
      <c r="E63" s="107"/>
      <c r="F63" s="37" t="s">
        <v>145</v>
      </c>
      <c r="G63" s="6">
        <v>13.52</v>
      </c>
      <c r="H63" s="147">
        <v>0</v>
      </c>
      <c r="I63" s="6">
        <f>G63*AM63</f>
        <v>0</v>
      </c>
      <c r="J63" s="6">
        <f>G63*AN63</f>
        <v>0</v>
      </c>
      <c r="K63" s="6">
        <f>G63*H63</f>
        <v>0</v>
      </c>
      <c r="L63" s="6">
        <v>5.5489999999999998E-2</v>
      </c>
      <c r="M63" s="6">
        <f>G63*L63</f>
        <v>0.75022479999999991</v>
      </c>
      <c r="N63" s="86" t="s">
        <v>129</v>
      </c>
      <c r="X63" s="6">
        <f>IF(AO63="5",BH63,0)</f>
        <v>0</v>
      </c>
      <c r="Z63" s="6">
        <f>IF(AO63="1",BF63,0)</f>
        <v>0</v>
      </c>
      <c r="AA63" s="6">
        <f>IF(AO63="1",BG63,0)</f>
        <v>0</v>
      </c>
      <c r="AB63" s="6">
        <f>IF(AO63="7",BF63,0)</f>
        <v>0</v>
      </c>
      <c r="AC63" s="6">
        <f>IF(AO63="7",BG63,0)</f>
        <v>0</v>
      </c>
      <c r="AD63" s="6">
        <f>IF(AO63="2",BF63,0)</f>
        <v>0</v>
      </c>
      <c r="AE63" s="6">
        <f>IF(AO63="2",BG63,0)</f>
        <v>0</v>
      </c>
      <c r="AF63" s="6">
        <f>IF(AO63="0",BH63,0)</f>
        <v>0</v>
      </c>
      <c r="AG63" s="13" t="s">
        <v>21</v>
      </c>
      <c r="AH63" s="6">
        <f>IF(AL63=0,K63,0)</f>
        <v>0</v>
      </c>
      <c r="AI63" s="6">
        <f>IF(AL63=12,K63,0)</f>
        <v>0</v>
      </c>
      <c r="AJ63" s="6">
        <f>IF(AL63=21,K63,0)</f>
        <v>0</v>
      </c>
      <c r="AL63" s="6">
        <v>21</v>
      </c>
      <c r="AM63" s="6">
        <f>H63*0.115261044</f>
        <v>0</v>
      </c>
      <c r="AN63" s="6">
        <f>H63*(1-0.115261044)</f>
        <v>0</v>
      </c>
      <c r="AO63" s="23" t="s">
        <v>97</v>
      </c>
      <c r="AT63" s="6">
        <f>AU63+AV63</f>
        <v>0</v>
      </c>
      <c r="AU63" s="6">
        <f>G63*AM63</f>
        <v>0</v>
      </c>
      <c r="AV63" s="6">
        <f>G63*AN63</f>
        <v>0</v>
      </c>
      <c r="AW63" s="23" t="s">
        <v>146</v>
      </c>
      <c r="AX63" s="23" t="s">
        <v>147</v>
      </c>
      <c r="AY63" s="13" t="s">
        <v>105</v>
      </c>
      <c r="BA63" s="6">
        <f>AU63+AV63</f>
        <v>0</v>
      </c>
      <c r="BB63" s="6">
        <f>H63/(100-BC63)*100</f>
        <v>0</v>
      </c>
      <c r="BC63" s="6">
        <v>0</v>
      </c>
      <c r="BD63" s="6">
        <f>M63</f>
        <v>0.75022479999999991</v>
      </c>
      <c r="BF63" s="6">
        <f>G63*AM63</f>
        <v>0</v>
      </c>
      <c r="BG63" s="6">
        <f>G63*AN63</f>
        <v>0</v>
      </c>
      <c r="BH63" s="6">
        <f>G63*H63</f>
        <v>0</v>
      </c>
      <c r="BI63" s="6"/>
      <c r="BJ63" s="6">
        <v>96</v>
      </c>
      <c r="BU63" s="6" t="e">
        <f>#REF!</f>
        <v>#REF!</v>
      </c>
      <c r="BV63" s="3" t="s">
        <v>171</v>
      </c>
    </row>
    <row r="64" spans="1:74" ht="14.5" x14ac:dyDescent="0.35">
      <c r="A64" s="24"/>
      <c r="D64" s="25" t="s">
        <v>172</v>
      </c>
      <c r="E64" s="26" t="s">
        <v>173</v>
      </c>
      <c r="G64" s="27">
        <v>13.52</v>
      </c>
      <c r="N64" s="87"/>
    </row>
    <row r="65" spans="1:74" ht="14.5" x14ac:dyDescent="0.35">
      <c r="A65" s="1" t="s">
        <v>174</v>
      </c>
      <c r="B65" s="2" t="s">
        <v>21</v>
      </c>
      <c r="C65" s="2" t="s">
        <v>175</v>
      </c>
      <c r="D65" s="138" t="s">
        <v>176</v>
      </c>
      <c r="E65" s="107"/>
      <c r="F65" s="37" t="s">
        <v>100</v>
      </c>
      <c r="G65" s="6">
        <v>96.66</v>
      </c>
      <c r="H65" s="147">
        <v>0</v>
      </c>
      <c r="I65" s="6">
        <f>G65*AM65</f>
        <v>0</v>
      </c>
      <c r="J65" s="6">
        <f>G65*AN65</f>
        <v>0</v>
      </c>
      <c r="K65" s="6">
        <f>G65*H65</f>
        <v>0</v>
      </c>
      <c r="L65" s="6">
        <v>1.188E-2</v>
      </c>
      <c r="M65" s="6">
        <f>G65*L65</f>
        <v>1.1483208</v>
      </c>
      <c r="N65" s="86" t="s">
        <v>129</v>
      </c>
      <c r="X65" s="6">
        <f>IF(AO65="5",BH65,0)</f>
        <v>0</v>
      </c>
      <c r="Z65" s="6">
        <f>IF(AO65="1",BF65,0)</f>
        <v>0</v>
      </c>
      <c r="AA65" s="6">
        <f>IF(AO65="1",BG65,0)</f>
        <v>0</v>
      </c>
      <c r="AB65" s="6">
        <f>IF(AO65="7",BF65,0)</f>
        <v>0</v>
      </c>
      <c r="AC65" s="6">
        <f>IF(AO65="7",BG65,0)</f>
        <v>0</v>
      </c>
      <c r="AD65" s="6">
        <f>IF(AO65="2",BF65,0)</f>
        <v>0</v>
      </c>
      <c r="AE65" s="6">
        <f>IF(AO65="2",BG65,0)</f>
        <v>0</v>
      </c>
      <c r="AF65" s="6">
        <f>IF(AO65="0",BH65,0)</f>
        <v>0</v>
      </c>
      <c r="AG65" s="13" t="s">
        <v>21</v>
      </c>
      <c r="AH65" s="6">
        <f>IF(AL65=0,K65,0)</f>
        <v>0</v>
      </c>
      <c r="AI65" s="6">
        <f>IF(AL65=12,K65,0)</f>
        <v>0</v>
      </c>
      <c r="AJ65" s="6">
        <f>IF(AL65=21,K65,0)</f>
        <v>0</v>
      </c>
      <c r="AL65" s="6">
        <v>21</v>
      </c>
      <c r="AM65" s="6">
        <f>H65*0</f>
        <v>0</v>
      </c>
      <c r="AN65" s="6">
        <f>H65*(1-0)</f>
        <v>0</v>
      </c>
      <c r="AO65" s="23" t="s">
        <v>97</v>
      </c>
      <c r="AT65" s="6">
        <f>AU65+AV65</f>
        <v>0</v>
      </c>
      <c r="AU65" s="6">
        <f>G65*AM65</f>
        <v>0</v>
      </c>
      <c r="AV65" s="6">
        <f>G65*AN65</f>
        <v>0</v>
      </c>
      <c r="AW65" s="23" t="s">
        <v>146</v>
      </c>
      <c r="AX65" s="23" t="s">
        <v>147</v>
      </c>
      <c r="AY65" s="13" t="s">
        <v>105</v>
      </c>
      <c r="BA65" s="6">
        <f>AU65+AV65</f>
        <v>0</v>
      </c>
      <c r="BB65" s="6">
        <f>H65/(100-BC65)*100</f>
        <v>0</v>
      </c>
      <c r="BC65" s="6">
        <v>0</v>
      </c>
      <c r="BD65" s="6">
        <f>M65</f>
        <v>1.1483208</v>
      </c>
      <c r="BF65" s="6">
        <f>G65*AM65</f>
        <v>0</v>
      </c>
      <c r="BG65" s="6">
        <f>G65*AN65</f>
        <v>0</v>
      </c>
      <c r="BH65" s="6">
        <f>G65*H65</f>
        <v>0</v>
      </c>
      <c r="BI65" s="6"/>
      <c r="BJ65" s="6">
        <v>96</v>
      </c>
      <c r="BU65" s="6" t="e">
        <f>#REF!</f>
        <v>#REF!</v>
      </c>
      <c r="BV65" s="3" t="s">
        <v>176</v>
      </c>
    </row>
    <row r="66" spans="1:74" ht="14.5" x14ac:dyDescent="0.35">
      <c r="A66" s="24"/>
      <c r="D66" s="25" t="s">
        <v>177</v>
      </c>
      <c r="E66" s="26" t="s">
        <v>149</v>
      </c>
      <c r="G66" s="27">
        <v>76.8</v>
      </c>
      <c r="N66" s="87"/>
    </row>
    <row r="67" spans="1:74" ht="14.5" x14ac:dyDescent="0.35">
      <c r="A67" s="24"/>
      <c r="D67" s="25" t="s">
        <v>178</v>
      </c>
      <c r="E67" s="26" t="s">
        <v>151</v>
      </c>
      <c r="G67" s="27">
        <v>6.6</v>
      </c>
      <c r="N67" s="87"/>
    </row>
    <row r="68" spans="1:74" ht="14.5" x14ac:dyDescent="0.35">
      <c r="A68" s="24"/>
      <c r="D68" s="25" t="s">
        <v>179</v>
      </c>
      <c r="E68" s="26" t="s">
        <v>153</v>
      </c>
      <c r="G68" s="27">
        <v>2.66</v>
      </c>
      <c r="N68" s="87"/>
    </row>
    <row r="69" spans="1:74" ht="14.5" x14ac:dyDescent="0.35">
      <c r="A69" s="24"/>
      <c r="D69" s="25" t="s">
        <v>180</v>
      </c>
      <c r="E69" s="26" t="s">
        <v>155</v>
      </c>
      <c r="G69" s="27">
        <v>4.5999999999999996</v>
      </c>
      <c r="N69" s="87"/>
    </row>
    <row r="70" spans="1:74" ht="14.5" x14ac:dyDescent="0.35">
      <c r="A70" s="24"/>
      <c r="D70" s="25" t="s">
        <v>181</v>
      </c>
      <c r="E70" s="26" t="s">
        <v>157</v>
      </c>
      <c r="G70" s="27">
        <v>1.2</v>
      </c>
      <c r="N70" s="87"/>
    </row>
    <row r="71" spans="1:74" ht="14.5" x14ac:dyDescent="0.35">
      <c r="A71" s="24"/>
      <c r="D71" s="25" t="s">
        <v>182</v>
      </c>
      <c r="E71" s="26" t="s">
        <v>159</v>
      </c>
      <c r="G71" s="27">
        <v>0.6</v>
      </c>
      <c r="N71" s="87"/>
    </row>
    <row r="72" spans="1:74" ht="14.5" x14ac:dyDescent="0.35">
      <c r="A72" s="24"/>
      <c r="D72" s="25" t="s">
        <v>181</v>
      </c>
      <c r="E72" s="26" t="s">
        <v>160</v>
      </c>
      <c r="G72" s="27">
        <v>1.2</v>
      </c>
      <c r="N72" s="87"/>
    </row>
    <row r="73" spans="1:74" ht="14.5" x14ac:dyDescent="0.35">
      <c r="A73" s="24"/>
      <c r="D73" s="25" t="s">
        <v>183</v>
      </c>
      <c r="E73" s="26" t="s">
        <v>162</v>
      </c>
      <c r="G73" s="27">
        <v>1.5</v>
      </c>
      <c r="N73" s="87"/>
    </row>
    <row r="74" spans="1:74" ht="14.5" x14ac:dyDescent="0.35">
      <c r="A74" s="24"/>
      <c r="D74" s="25" t="s">
        <v>183</v>
      </c>
      <c r="E74" s="26" t="s">
        <v>163</v>
      </c>
      <c r="G74" s="27">
        <v>1.5</v>
      </c>
      <c r="N74" s="87"/>
    </row>
    <row r="75" spans="1:74" ht="14.5" x14ac:dyDescent="0.35">
      <c r="A75" s="1" t="s">
        <v>184</v>
      </c>
      <c r="B75" s="2" t="s">
        <v>21</v>
      </c>
      <c r="C75" s="2" t="s">
        <v>185</v>
      </c>
      <c r="D75" s="138" t="s">
        <v>186</v>
      </c>
      <c r="E75" s="107"/>
      <c r="F75" s="37" t="s">
        <v>100</v>
      </c>
      <c r="G75" s="6">
        <v>99.06</v>
      </c>
      <c r="H75" s="147">
        <v>0</v>
      </c>
      <c r="I75" s="6">
        <f>G75*AM75</f>
        <v>0</v>
      </c>
      <c r="J75" s="6">
        <f>G75*AN75</f>
        <v>0</v>
      </c>
      <c r="K75" s="6">
        <f>G75*H75</f>
        <v>0</v>
      </c>
      <c r="L75" s="6">
        <v>1.3500000000000001E-3</v>
      </c>
      <c r="M75" s="6">
        <f>G75*L75</f>
        <v>0.13373100000000002</v>
      </c>
      <c r="N75" s="86" t="s">
        <v>187</v>
      </c>
      <c r="X75" s="6">
        <f>IF(AO75="5",BH75,0)</f>
        <v>0</v>
      </c>
      <c r="Z75" s="6">
        <f>IF(AO75="1",BF75,0)</f>
        <v>0</v>
      </c>
      <c r="AA75" s="6">
        <f>IF(AO75="1",BG75,0)</f>
        <v>0</v>
      </c>
      <c r="AB75" s="6">
        <f>IF(AO75="7",BF75,0)</f>
        <v>0</v>
      </c>
      <c r="AC75" s="6">
        <f>IF(AO75="7",BG75,0)</f>
        <v>0</v>
      </c>
      <c r="AD75" s="6">
        <f>IF(AO75="2",BF75,0)</f>
        <v>0</v>
      </c>
      <c r="AE75" s="6">
        <f>IF(AO75="2",BG75,0)</f>
        <v>0</v>
      </c>
      <c r="AF75" s="6">
        <f>IF(AO75="0",BH75,0)</f>
        <v>0</v>
      </c>
      <c r="AG75" s="13" t="s">
        <v>21</v>
      </c>
      <c r="AH75" s="6">
        <f>IF(AL75=0,K75,0)</f>
        <v>0</v>
      </c>
      <c r="AI75" s="6">
        <f>IF(AL75=12,K75,0)</f>
        <v>0</v>
      </c>
      <c r="AJ75" s="6">
        <f>IF(AL75=21,K75,0)</f>
        <v>0</v>
      </c>
      <c r="AL75" s="6">
        <v>21</v>
      </c>
      <c r="AM75" s="6">
        <f>H75*0</f>
        <v>0</v>
      </c>
      <c r="AN75" s="6">
        <f>H75*(1-0)</f>
        <v>0</v>
      </c>
      <c r="AO75" s="23" t="s">
        <v>97</v>
      </c>
      <c r="AT75" s="6">
        <f>AU75+AV75</f>
        <v>0</v>
      </c>
      <c r="AU75" s="6">
        <f>G75*AM75</f>
        <v>0</v>
      </c>
      <c r="AV75" s="6">
        <f>G75*AN75</f>
        <v>0</v>
      </c>
      <c r="AW75" s="23" t="s">
        <v>146</v>
      </c>
      <c r="AX75" s="23" t="s">
        <v>147</v>
      </c>
      <c r="AY75" s="13" t="s">
        <v>105</v>
      </c>
      <c r="BA75" s="6">
        <f>AU75+AV75</f>
        <v>0</v>
      </c>
      <c r="BB75" s="6">
        <f>H75/(100-BC75)*100</f>
        <v>0</v>
      </c>
      <c r="BC75" s="6">
        <v>0</v>
      </c>
      <c r="BD75" s="6">
        <f>M75</f>
        <v>0.13373100000000002</v>
      </c>
      <c r="BF75" s="6">
        <f>G75*AM75</f>
        <v>0</v>
      </c>
      <c r="BG75" s="6">
        <f>G75*AN75</f>
        <v>0</v>
      </c>
      <c r="BH75" s="6">
        <f>G75*H75</f>
        <v>0</v>
      </c>
      <c r="BI75" s="6"/>
      <c r="BJ75" s="6">
        <v>96</v>
      </c>
      <c r="BU75" s="6" t="e">
        <f>#REF!</f>
        <v>#REF!</v>
      </c>
      <c r="BV75" s="3" t="s">
        <v>186</v>
      </c>
    </row>
    <row r="76" spans="1:74" ht="14.5" x14ac:dyDescent="0.35">
      <c r="A76" s="24"/>
      <c r="D76" s="25" t="s">
        <v>177</v>
      </c>
      <c r="E76" s="26" t="s">
        <v>149</v>
      </c>
      <c r="G76" s="27">
        <v>76.8</v>
      </c>
      <c r="N76" s="87"/>
    </row>
    <row r="77" spans="1:74" ht="14.5" x14ac:dyDescent="0.35">
      <c r="A77" s="24"/>
      <c r="D77" s="25" t="s">
        <v>178</v>
      </c>
      <c r="E77" s="26" t="s">
        <v>151</v>
      </c>
      <c r="G77" s="27">
        <v>6.6</v>
      </c>
      <c r="N77" s="87"/>
    </row>
    <row r="78" spans="1:74" ht="14.5" x14ac:dyDescent="0.35">
      <c r="A78" s="24"/>
      <c r="D78" s="25" t="s">
        <v>179</v>
      </c>
      <c r="E78" s="26" t="s">
        <v>153</v>
      </c>
      <c r="G78" s="27">
        <v>2.66</v>
      </c>
      <c r="N78" s="87"/>
    </row>
    <row r="79" spans="1:74" ht="14.5" x14ac:dyDescent="0.35">
      <c r="A79" s="24"/>
      <c r="D79" s="25" t="s">
        <v>180</v>
      </c>
      <c r="E79" s="26" t="s">
        <v>155</v>
      </c>
      <c r="G79" s="27">
        <v>4.5999999999999996</v>
      </c>
      <c r="N79" s="87"/>
    </row>
    <row r="80" spans="1:74" ht="14.5" x14ac:dyDescent="0.35">
      <c r="A80" s="24"/>
      <c r="D80" s="25" t="s">
        <v>181</v>
      </c>
      <c r="E80" s="26" t="s">
        <v>157</v>
      </c>
      <c r="G80" s="27">
        <v>1.2</v>
      </c>
      <c r="N80" s="87"/>
    </row>
    <row r="81" spans="1:74" ht="14.5" x14ac:dyDescent="0.35">
      <c r="A81" s="24"/>
      <c r="D81" s="25" t="s">
        <v>182</v>
      </c>
      <c r="E81" s="26" t="s">
        <v>159</v>
      </c>
      <c r="G81" s="27">
        <v>0.6</v>
      </c>
      <c r="N81" s="87"/>
    </row>
    <row r="82" spans="1:74" ht="14.5" x14ac:dyDescent="0.35">
      <c r="A82" s="24"/>
      <c r="D82" s="25" t="s">
        <v>181</v>
      </c>
      <c r="E82" s="26" t="s">
        <v>160</v>
      </c>
      <c r="G82" s="27">
        <v>1.2</v>
      </c>
      <c r="N82" s="87"/>
    </row>
    <row r="83" spans="1:74" ht="14.5" x14ac:dyDescent="0.35">
      <c r="A83" s="24"/>
      <c r="D83" s="25" t="s">
        <v>183</v>
      </c>
      <c r="E83" s="26" t="s">
        <v>162</v>
      </c>
      <c r="G83" s="27">
        <v>1.5</v>
      </c>
      <c r="N83" s="87"/>
    </row>
    <row r="84" spans="1:74" ht="14.5" x14ac:dyDescent="0.35">
      <c r="A84" s="24"/>
      <c r="D84" s="25" t="s">
        <v>183</v>
      </c>
      <c r="E84" s="26" t="s">
        <v>163</v>
      </c>
      <c r="G84" s="27">
        <v>1.5</v>
      </c>
      <c r="N84" s="87"/>
    </row>
    <row r="85" spans="1:74" ht="14.5" x14ac:dyDescent="0.35">
      <c r="A85" s="24"/>
      <c r="D85" s="25" t="s">
        <v>188</v>
      </c>
      <c r="E85" s="26" t="s">
        <v>189</v>
      </c>
      <c r="G85" s="27">
        <v>2.4</v>
      </c>
      <c r="N85" s="87"/>
    </row>
    <row r="86" spans="1:74" ht="14.5" x14ac:dyDescent="0.35">
      <c r="A86" s="1" t="s">
        <v>190</v>
      </c>
      <c r="B86" s="2" t="s">
        <v>21</v>
      </c>
      <c r="C86" s="2" t="s">
        <v>191</v>
      </c>
      <c r="D86" s="138" t="s">
        <v>192</v>
      </c>
      <c r="E86" s="107"/>
      <c r="F86" s="37" t="s">
        <v>100</v>
      </c>
      <c r="G86" s="6">
        <v>23.85</v>
      </c>
      <c r="H86" s="147">
        <v>0</v>
      </c>
      <c r="I86" s="6">
        <f>G86*AM86</f>
        <v>0</v>
      </c>
      <c r="J86" s="6">
        <f>G86*AN86</f>
        <v>0</v>
      </c>
      <c r="K86" s="6">
        <f>G86*H86</f>
        <v>0</v>
      </c>
      <c r="L86" s="6">
        <v>3.1700000000000001E-3</v>
      </c>
      <c r="M86" s="6">
        <f>G86*L86</f>
        <v>7.5604500000000005E-2</v>
      </c>
      <c r="N86" s="86" t="s">
        <v>129</v>
      </c>
      <c r="X86" s="6">
        <f>IF(AO86="5",BH86,0)</f>
        <v>0</v>
      </c>
      <c r="Z86" s="6">
        <f>IF(AO86="1",BF86,0)</f>
        <v>0</v>
      </c>
      <c r="AA86" s="6">
        <f>IF(AO86="1",BG86,0)</f>
        <v>0</v>
      </c>
      <c r="AB86" s="6">
        <f>IF(AO86="7",BF86,0)</f>
        <v>0</v>
      </c>
      <c r="AC86" s="6">
        <f>IF(AO86="7",BG86,0)</f>
        <v>0</v>
      </c>
      <c r="AD86" s="6">
        <f>IF(AO86="2",BF86,0)</f>
        <v>0</v>
      </c>
      <c r="AE86" s="6">
        <f>IF(AO86="2",BG86,0)</f>
        <v>0</v>
      </c>
      <c r="AF86" s="6">
        <f>IF(AO86="0",BH86,0)</f>
        <v>0</v>
      </c>
      <c r="AG86" s="13" t="s">
        <v>21</v>
      </c>
      <c r="AH86" s="6">
        <f>IF(AL86=0,K86,0)</f>
        <v>0</v>
      </c>
      <c r="AI86" s="6">
        <f>IF(AL86=12,K86,0)</f>
        <v>0</v>
      </c>
      <c r="AJ86" s="6">
        <f>IF(AL86=21,K86,0)</f>
        <v>0</v>
      </c>
      <c r="AL86" s="6">
        <v>21</v>
      </c>
      <c r="AM86" s="6">
        <f>H86*0.42445951</f>
        <v>0</v>
      </c>
      <c r="AN86" s="6">
        <f>H86*(1-0.42445951)</f>
        <v>0</v>
      </c>
      <c r="AO86" s="23" t="s">
        <v>97</v>
      </c>
      <c r="AT86" s="6">
        <f>AU86+AV86</f>
        <v>0</v>
      </c>
      <c r="AU86" s="6">
        <f>G86*AM86</f>
        <v>0</v>
      </c>
      <c r="AV86" s="6">
        <f>G86*AN86</f>
        <v>0</v>
      </c>
      <c r="AW86" s="23" t="s">
        <v>146</v>
      </c>
      <c r="AX86" s="23" t="s">
        <v>147</v>
      </c>
      <c r="AY86" s="13" t="s">
        <v>105</v>
      </c>
      <c r="BA86" s="6">
        <f>AU86+AV86</f>
        <v>0</v>
      </c>
      <c r="BB86" s="6">
        <f>H86/(100-BC86)*100</f>
        <v>0</v>
      </c>
      <c r="BC86" s="6">
        <v>0</v>
      </c>
      <c r="BD86" s="6">
        <f>M86</f>
        <v>7.5604500000000005E-2</v>
      </c>
      <c r="BF86" s="6">
        <f>G86*AM86</f>
        <v>0</v>
      </c>
      <c r="BG86" s="6">
        <f>G86*AN86</f>
        <v>0</v>
      </c>
      <c r="BH86" s="6">
        <f>G86*H86</f>
        <v>0</v>
      </c>
      <c r="BI86" s="6"/>
      <c r="BJ86" s="6">
        <v>96</v>
      </c>
      <c r="BU86" s="6" t="e">
        <f>#REF!</f>
        <v>#REF!</v>
      </c>
      <c r="BV86" s="3" t="s">
        <v>192</v>
      </c>
    </row>
    <row r="87" spans="1:74" ht="13.5" customHeight="1" x14ac:dyDescent="0.35">
      <c r="A87" s="24"/>
      <c r="C87" s="28" t="s">
        <v>193</v>
      </c>
      <c r="D87" s="139" t="s">
        <v>194</v>
      </c>
      <c r="E87" s="140"/>
      <c r="F87" s="140"/>
      <c r="G87" s="140"/>
      <c r="H87" s="140"/>
      <c r="I87" s="140"/>
      <c r="J87" s="140"/>
      <c r="K87" s="140"/>
      <c r="L87" s="140"/>
      <c r="M87" s="140"/>
      <c r="N87" s="141"/>
    </row>
    <row r="88" spans="1:74" ht="14.5" x14ac:dyDescent="0.35">
      <c r="A88" s="24"/>
      <c r="D88" s="25" t="s">
        <v>195</v>
      </c>
      <c r="E88" s="26" t="s">
        <v>196</v>
      </c>
      <c r="G88" s="27">
        <v>23.85</v>
      </c>
      <c r="N88" s="87"/>
    </row>
    <row r="89" spans="1:74" ht="14.5" x14ac:dyDescent="0.35">
      <c r="A89" s="20" t="s">
        <v>22</v>
      </c>
      <c r="B89" s="21" t="s">
        <v>21</v>
      </c>
      <c r="C89" s="21" t="s">
        <v>30</v>
      </c>
      <c r="D89" s="133" t="s">
        <v>31</v>
      </c>
      <c r="E89" s="134"/>
      <c r="F89" s="91" t="s">
        <v>12</v>
      </c>
      <c r="G89" s="22" t="s">
        <v>12</v>
      </c>
      <c r="H89" s="22" t="s">
        <v>12</v>
      </c>
      <c r="I89" s="12">
        <f>SUM(I90:I97)</f>
        <v>0</v>
      </c>
      <c r="J89" s="12">
        <f>SUM(J90:J97)</f>
        <v>0</v>
      </c>
      <c r="K89" s="12">
        <f>SUM(K90:K97)</f>
        <v>0</v>
      </c>
      <c r="L89" s="13" t="s">
        <v>22</v>
      </c>
      <c r="M89" s="12">
        <f>SUM(M90:M97)</f>
        <v>0</v>
      </c>
      <c r="N89" s="85" t="s">
        <v>22</v>
      </c>
      <c r="AG89" s="13" t="s">
        <v>21</v>
      </c>
      <c r="AQ89" s="12">
        <f>SUM(AH90:AH97)</f>
        <v>0</v>
      </c>
      <c r="AR89" s="12">
        <f>SUM(AI90:AI97)</f>
        <v>0</v>
      </c>
      <c r="AS89" s="12">
        <f>SUM(AJ90:AJ97)</f>
        <v>0</v>
      </c>
    </row>
    <row r="90" spans="1:74" ht="14.5" x14ac:dyDescent="0.35">
      <c r="A90" s="1" t="s">
        <v>197</v>
      </c>
      <c r="B90" s="2" t="s">
        <v>21</v>
      </c>
      <c r="C90" s="2" t="s">
        <v>198</v>
      </c>
      <c r="D90" s="138" t="s">
        <v>199</v>
      </c>
      <c r="E90" s="107"/>
      <c r="F90" s="37" t="s">
        <v>200</v>
      </c>
      <c r="G90" s="6">
        <v>2.2200000000000002</v>
      </c>
      <c r="H90" s="147">
        <v>0</v>
      </c>
      <c r="I90" s="6">
        <f>G90*AM90</f>
        <v>0</v>
      </c>
      <c r="J90" s="6">
        <f>G90*AN90</f>
        <v>0</v>
      </c>
      <c r="K90" s="6">
        <f>G90*H90</f>
        <v>0</v>
      </c>
      <c r="L90" s="6">
        <v>0</v>
      </c>
      <c r="M90" s="6">
        <f>G90*L90</f>
        <v>0</v>
      </c>
      <c r="N90" s="86" t="s">
        <v>129</v>
      </c>
      <c r="X90" s="6">
        <f>IF(AO90="5",BH90,0)</f>
        <v>0</v>
      </c>
      <c r="Z90" s="6">
        <f>IF(AO90="1",BF90,0)</f>
        <v>0</v>
      </c>
      <c r="AA90" s="6">
        <f>IF(AO90="1",BG90,0)</f>
        <v>0</v>
      </c>
      <c r="AB90" s="6">
        <f>IF(AO90="7",BF90,0)</f>
        <v>0</v>
      </c>
      <c r="AC90" s="6">
        <f>IF(AO90="7",BG90,0)</f>
        <v>0</v>
      </c>
      <c r="AD90" s="6">
        <f>IF(AO90="2",BF90,0)</f>
        <v>0</v>
      </c>
      <c r="AE90" s="6">
        <f>IF(AO90="2",BG90,0)</f>
        <v>0</v>
      </c>
      <c r="AF90" s="6">
        <f>IF(AO90="0",BH90,0)</f>
        <v>0</v>
      </c>
      <c r="AG90" s="13" t="s">
        <v>21</v>
      </c>
      <c r="AH90" s="6">
        <f>IF(AL90=0,K90,0)</f>
        <v>0</v>
      </c>
      <c r="AI90" s="6">
        <f>IF(AL90=12,K90,0)</f>
        <v>0</v>
      </c>
      <c r="AJ90" s="6">
        <f>IF(AL90=21,K90,0)</f>
        <v>0</v>
      </c>
      <c r="AL90" s="6">
        <v>21</v>
      </c>
      <c r="AM90" s="6">
        <f>H90*0</f>
        <v>0</v>
      </c>
      <c r="AN90" s="6">
        <f>H90*(1-0)</f>
        <v>0</v>
      </c>
      <c r="AO90" s="23" t="s">
        <v>164</v>
      </c>
      <c r="AT90" s="6">
        <f>AU90+AV90</f>
        <v>0</v>
      </c>
      <c r="AU90" s="6">
        <f>G90*AM90</f>
        <v>0</v>
      </c>
      <c r="AV90" s="6">
        <f>G90*AN90</f>
        <v>0</v>
      </c>
      <c r="AW90" s="23" t="s">
        <v>201</v>
      </c>
      <c r="AX90" s="23" t="s">
        <v>202</v>
      </c>
      <c r="AY90" s="13" t="s">
        <v>105</v>
      </c>
      <c r="BA90" s="6">
        <f>AU90+AV90</f>
        <v>0</v>
      </c>
      <c r="BB90" s="6">
        <f>H90/(100-BC90)*100</f>
        <v>0</v>
      </c>
      <c r="BC90" s="6">
        <v>0</v>
      </c>
      <c r="BD90" s="6">
        <f>M90</f>
        <v>0</v>
      </c>
      <c r="BF90" s="6">
        <f>G90*AM90</f>
        <v>0</v>
      </c>
      <c r="BG90" s="6">
        <f>G90*AN90</f>
        <v>0</v>
      </c>
      <c r="BH90" s="6">
        <f>G90*H90</f>
        <v>0</v>
      </c>
      <c r="BI90" s="6"/>
      <c r="BJ90" s="6">
        <v>99</v>
      </c>
      <c r="BU90" s="6" t="e">
        <f>#REF!</f>
        <v>#REF!</v>
      </c>
      <c r="BV90" s="3" t="s">
        <v>199</v>
      </c>
    </row>
    <row r="91" spans="1:74" ht="14.5" x14ac:dyDescent="0.35">
      <c r="A91" s="1" t="s">
        <v>44</v>
      </c>
      <c r="B91" s="2" t="s">
        <v>21</v>
      </c>
      <c r="C91" s="2" t="s">
        <v>203</v>
      </c>
      <c r="D91" s="138" t="s">
        <v>204</v>
      </c>
      <c r="E91" s="107"/>
      <c r="F91" s="37" t="s">
        <v>200</v>
      </c>
      <c r="G91" s="6">
        <v>8.8800000000000008</v>
      </c>
      <c r="H91" s="147">
        <v>0</v>
      </c>
      <c r="I91" s="6">
        <f>G91*AM91</f>
        <v>0</v>
      </c>
      <c r="J91" s="6">
        <f>G91*AN91</f>
        <v>0</v>
      </c>
      <c r="K91" s="6">
        <f>G91*H91</f>
        <v>0</v>
      </c>
      <c r="L91" s="6">
        <v>0</v>
      </c>
      <c r="M91" s="6">
        <f>G91*L91</f>
        <v>0</v>
      </c>
      <c r="N91" s="86" t="s">
        <v>129</v>
      </c>
      <c r="X91" s="6">
        <f>IF(AO91="5",BH91,0)</f>
        <v>0</v>
      </c>
      <c r="Z91" s="6">
        <f>IF(AO91="1",BF91,0)</f>
        <v>0</v>
      </c>
      <c r="AA91" s="6">
        <f>IF(AO91="1",BG91,0)</f>
        <v>0</v>
      </c>
      <c r="AB91" s="6">
        <f>IF(AO91="7",BF91,0)</f>
        <v>0</v>
      </c>
      <c r="AC91" s="6">
        <f>IF(AO91="7",BG91,0)</f>
        <v>0</v>
      </c>
      <c r="AD91" s="6">
        <f>IF(AO91="2",BF91,0)</f>
        <v>0</v>
      </c>
      <c r="AE91" s="6">
        <f>IF(AO91="2",BG91,0)</f>
        <v>0</v>
      </c>
      <c r="AF91" s="6">
        <f>IF(AO91="0",BH91,0)</f>
        <v>0</v>
      </c>
      <c r="AG91" s="13" t="s">
        <v>21</v>
      </c>
      <c r="AH91" s="6">
        <f>IF(AL91=0,K91,0)</f>
        <v>0</v>
      </c>
      <c r="AI91" s="6">
        <f>IF(AL91=12,K91,0)</f>
        <v>0</v>
      </c>
      <c r="AJ91" s="6">
        <f>IF(AL91=21,K91,0)</f>
        <v>0</v>
      </c>
      <c r="AL91" s="6">
        <v>21</v>
      </c>
      <c r="AM91" s="6">
        <f>H91*0</f>
        <v>0</v>
      </c>
      <c r="AN91" s="6">
        <f>H91*(1-0)</f>
        <v>0</v>
      </c>
      <c r="AO91" s="23" t="s">
        <v>164</v>
      </c>
      <c r="AT91" s="6">
        <f>AU91+AV91</f>
        <v>0</v>
      </c>
      <c r="AU91" s="6">
        <f>G91*AM91</f>
        <v>0</v>
      </c>
      <c r="AV91" s="6">
        <f>G91*AN91</f>
        <v>0</v>
      </c>
      <c r="AW91" s="23" t="s">
        <v>201</v>
      </c>
      <c r="AX91" s="23" t="s">
        <v>202</v>
      </c>
      <c r="AY91" s="13" t="s">
        <v>105</v>
      </c>
      <c r="BA91" s="6">
        <f>AU91+AV91</f>
        <v>0</v>
      </c>
      <c r="BB91" s="6">
        <f>H91/(100-BC91)*100</f>
        <v>0</v>
      </c>
      <c r="BC91" s="6">
        <v>0</v>
      </c>
      <c r="BD91" s="6">
        <f>M91</f>
        <v>0</v>
      </c>
      <c r="BF91" s="6">
        <f>G91*AM91</f>
        <v>0</v>
      </c>
      <c r="BG91" s="6">
        <f>G91*AN91</f>
        <v>0</v>
      </c>
      <c r="BH91" s="6">
        <f>G91*H91</f>
        <v>0</v>
      </c>
      <c r="BI91" s="6"/>
      <c r="BJ91" s="6">
        <v>99</v>
      </c>
      <c r="BU91" s="6" t="e">
        <f>#REF!</f>
        <v>#REF!</v>
      </c>
      <c r="BV91" s="3" t="s">
        <v>204</v>
      </c>
    </row>
    <row r="92" spans="1:74" ht="14.5" x14ac:dyDescent="0.35">
      <c r="A92" s="1" t="s">
        <v>205</v>
      </c>
      <c r="B92" s="2" t="s">
        <v>21</v>
      </c>
      <c r="C92" s="2" t="s">
        <v>206</v>
      </c>
      <c r="D92" s="138" t="s">
        <v>207</v>
      </c>
      <c r="E92" s="107"/>
      <c r="F92" s="37" t="s">
        <v>200</v>
      </c>
      <c r="G92" s="6">
        <v>17.760000000000002</v>
      </c>
      <c r="H92" s="147">
        <v>0</v>
      </c>
      <c r="I92" s="6">
        <f>G92*AM92</f>
        <v>0</v>
      </c>
      <c r="J92" s="6">
        <f>G92*AN92</f>
        <v>0</v>
      </c>
      <c r="K92" s="6">
        <f>G92*H92</f>
        <v>0</v>
      </c>
      <c r="L92" s="6">
        <v>0</v>
      </c>
      <c r="M92" s="6">
        <f>G92*L92</f>
        <v>0</v>
      </c>
      <c r="N92" s="86" t="s">
        <v>129</v>
      </c>
      <c r="X92" s="6">
        <f>IF(AO92="5",BH92,0)</f>
        <v>0</v>
      </c>
      <c r="Z92" s="6">
        <f>IF(AO92="1",BF92,0)</f>
        <v>0</v>
      </c>
      <c r="AA92" s="6">
        <f>IF(AO92="1",BG92,0)</f>
        <v>0</v>
      </c>
      <c r="AB92" s="6">
        <f>IF(AO92="7",BF92,0)</f>
        <v>0</v>
      </c>
      <c r="AC92" s="6">
        <f>IF(AO92="7",BG92,0)</f>
        <v>0</v>
      </c>
      <c r="AD92" s="6">
        <f>IF(AO92="2",BF92,0)</f>
        <v>0</v>
      </c>
      <c r="AE92" s="6">
        <f>IF(AO92="2",BG92,0)</f>
        <v>0</v>
      </c>
      <c r="AF92" s="6">
        <f>IF(AO92="0",BH92,0)</f>
        <v>0</v>
      </c>
      <c r="AG92" s="13" t="s">
        <v>21</v>
      </c>
      <c r="AH92" s="6">
        <f>IF(AL92=0,K92,0)</f>
        <v>0</v>
      </c>
      <c r="AI92" s="6">
        <f>IF(AL92=12,K92,0)</f>
        <v>0</v>
      </c>
      <c r="AJ92" s="6">
        <f>IF(AL92=21,K92,0)</f>
        <v>0</v>
      </c>
      <c r="AL92" s="6">
        <v>21</v>
      </c>
      <c r="AM92" s="6">
        <f>H92*0</f>
        <v>0</v>
      </c>
      <c r="AN92" s="6">
        <f>H92*(1-0)</f>
        <v>0</v>
      </c>
      <c r="AO92" s="23" t="s">
        <v>164</v>
      </c>
      <c r="AT92" s="6">
        <f>AU92+AV92</f>
        <v>0</v>
      </c>
      <c r="AU92" s="6">
        <f>G92*AM92</f>
        <v>0</v>
      </c>
      <c r="AV92" s="6">
        <f>G92*AN92</f>
        <v>0</v>
      </c>
      <c r="AW92" s="23" t="s">
        <v>201</v>
      </c>
      <c r="AX92" s="23" t="s">
        <v>202</v>
      </c>
      <c r="AY92" s="13" t="s">
        <v>105</v>
      </c>
      <c r="BA92" s="6">
        <f>AU92+AV92</f>
        <v>0</v>
      </c>
      <c r="BB92" s="6">
        <f>H92/(100-BC92)*100</f>
        <v>0</v>
      </c>
      <c r="BC92" s="6">
        <v>0</v>
      </c>
      <c r="BD92" s="6">
        <f>M92</f>
        <v>0</v>
      </c>
      <c r="BF92" s="6">
        <f>G92*AM92</f>
        <v>0</v>
      </c>
      <c r="BG92" s="6">
        <f>G92*AN92</f>
        <v>0</v>
      </c>
      <c r="BH92" s="6">
        <f>G92*H92</f>
        <v>0</v>
      </c>
      <c r="BI92" s="6"/>
      <c r="BJ92" s="6">
        <v>99</v>
      </c>
      <c r="BU92" s="6" t="e">
        <f>#REF!</f>
        <v>#REF!</v>
      </c>
      <c r="BV92" s="3" t="s">
        <v>207</v>
      </c>
    </row>
    <row r="93" spans="1:74" ht="14.5" x14ac:dyDescent="0.35">
      <c r="A93" s="24"/>
      <c r="D93" s="25" t="s">
        <v>208</v>
      </c>
      <c r="E93" s="26" t="s">
        <v>22</v>
      </c>
      <c r="G93" s="27">
        <v>17.760000000000002</v>
      </c>
      <c r="N93" s="87"/>
    </row>
    <row r="94" spans="1:74" ht="14.5" x14ac:dyDescent="0.35">
      <c r="A94" s="1" t="s">
        <v>209</v>
      </c>
      <c r="B94" s="2" t="s">
        <v>21</v>
      </c>
      <c r="C94" s="2" t="s">
        <v>210</v>
      </c>
      <c r="D94" s="138" t="s">
        <v>211</v>
      </c>
      <c r="E94" s="107"/>
      <c r="F94" s="37" t="s">
        <v>200</v>
      </c>
      <c r="G94" s="6">
        <v>8.8800000000000008</v>
      </c>
      <c r="H94" s="147">
        <v>0</v>
      </c>
      <c r="I94" s="6">
        <f>G94*AM94</f>
        <v>0</v>
      </c>
      <c r="J94" s="6">
        <f>G94*AN94</f>
        <v>0</v>
      </c>
      <c r="K94" s="6">
        <f>G94*H94</f>
        <v>0</v>
      </c>
      <c r="L94" s="6">
        <v>0</v>
      </c>
      <c r="M94" s="6">
        <f>G94*L94</f>
        <v>0</v>
      </c>
      <c r="N94" s="86" t="s">
        <v>102</v>
      </c>
      <c r="X94" s="6">
        <f>IF(AO94="5",BH94,0)</f>
        <v>0</v>
      </c>
      <c r="Z94" s="6">
        <f>IF(AO94="1",BF94,0)</f>
        <v>0</v>
      </c>
      <c r="AA94" s="6">
        <f>IF(AO94="1",BG94,0)</f>
        <v>0</v>
      </c>
      <c r="AB94" s="6">
        <f>IF(AO94="7",BF94,0)</f>
        <v>0</v>
      </c>
      <c r="AC94" s="6">
        <f>IF(AO94="7",BG94,0)</f>
        <v>0</v>
      </c>
      <c r="AD94" s="6">
        <f>IF(AO94="2",BF94,0)</f>
        <v>0</v>
      </c>
      <c r="AE94" s="6">
        <f>IF(AO94="2",BG94,0)</f>
        <v>0</v>
      </c>
      <c r="AF94" s="6">
        <f>IF(AO94="0",BH94,0)</f>
        <v>0</v>
      </c>
      <c r="AG94" s="13" t="s">
        <v>21</v>
      </c>
      <c r="AH94" s="6">
        <f>IF(AL94=0,K94,0)</f>
        <v>0</v>
      </c>
      <c r="AI94" s="6">
        <f>IF(AL94=12,K94,0)</f>
        <v>0</v>
      </c>
      <c r="AJ94" s="6">
        <f>IF(AL94=21,K94,0)</f>
        <v>0</v>
      </c>
      <c r="AL94" s="6">
        <v>21</v>
      </c>
      <c r="AM94" s="6">
        <f>H94*0</f>
        <v>0</v>
      </c>
      <c r="AN94" s="6">
        <f>H94*(1-0)</f>
        <v>0</v>
      </c>
      <c r="AO94" s="23" t="s">
        <v>164</v>
      </c>
      <c r="AT94" s="6">
        <f>AU94+AV94</f>
        <v>0</v>
      </c>
      <c r="AU94" s="6">
        <f>G94*AM94</f>
        <v>0</v>
      </c>
      <c r="AV94" s="6">
        <f>G94*AN94</f>
        <v>0</v>
      </c>
      <c r="AW94" s="23" t="s">
        <v>201</v>
      </c>
      <c r="AX94" s="23" t="s">
        <v>202</v>
      </c>
      <c r="AY94" s="13" t="s">
        <v>105</v>
      </c>
      <c r="BA94" s="6">
        <f>AU94+AV94</f>
        <v>0</v>
      </c>
      <c r="BB94" s="6">
        <f>H94/(100-BC94)*100</f>
        <v>0</v>
      </c>
      <c r="BC94" s="6">
        <v>0</v>
      </c>
      <c r="BD94" s="6">
        <f>M94</f>
        <v>0</v>
      </c>
      <c r="BF94" s="6">
        <f>G94*AM94</f>
        <v>0</v>
      </c>
      <c r="BG94" s="6">
        <f>G94*AN94</f>
        <v>0</v>
      </c>
      <c r="BH94" s="6">
        <f>G94*H94</f>
        <v>0</v>
      </c>
      <c r="BI94" s="6"/>
      <c r="BJ94" s="6">
        <v>99</v>
      </c>
      <c r="BU94" s="6" t="e">
        <f>#REF!</f>
        <v>#REF!</v>
      </c>
      <c r="BV94" s="3" t="s">
        <v>211</v>
      </c>
    </row>
    <row r="95" spans="1:74" ht="14.5" x14ac:dyDescent="0.35">
      <c r="A95" s="1" t="s">
        <v>212</v>
      </c>
      <c r="B95" s="2" t="s">
        <v>21</v>
      </c>
      <c r="C95" s="2" t="s">
        <v>213</v>
      </c>
      <c r="D95" s="138" t="s">
        <v>214</v>
      </c>
      <c r="E95" s="107"/>
      <c r="F95" s="37" t="s">
        <v>200</v>
      </c>
      <c r="G95" s="6">
        <v>8.8800000000000008</v>
      </c>
      <c r="H95" s="147">
        <v>0</v>
      </c>
      <c r="I95" s="6">
        <f>G95*AM95</f>
        <v>0</v>
      </c>
      <c r="J95" s="6">
        <f>G95*AN95</f>
        <v>0</v>
      </c>
      <c r="K95" s="6">
        <f>G95*H95</f>
        <v>0</v>
      </c>
      <c r="L95" s="6">
        <v>0</v>
      </c>
      <c r="M95" s="6">
        <f>G95*L95</f>
        <v>0</v>
      </c>
      <c r="N95" s="86" t="s">
        <v>129</v>
      </c>
      <c r="X95" s="6">
        <f>IF(AO95="5",BH95,0)</f>
        <v>0</v>
      </c>
      <c r="Z95" s="6">
        <f>IF(AO95="1",BF95,0)</f>
        <v>0</v>
      </c>
      <c r="AA95" s="6">
        <f>IF(AO95="1",BG95,0)</f>
        <v>0</v>
      </c>
      <c r="AB95" s="6">
        <f>IF(AO95="7",BF95,0)</f>
        <v>0</v>
      </c>
      <c r="AC95" s="6">
        <f>IF(AO95="7",BG95,0)</f>
        <v>0</v>
      </c>
      <c r="AD95" s="6">
        <f>IF(AO95="2",BF95,0)</f>
        <v>0</v>
      </c>
      <c r="AE95" s="6">
        <f>IF(AO95="2",BG95,0)</f>
        <v>0</v>
      </c>
      <c r="AF95" s="6">
        <f>IF(AO95="0",BH95,0)</f>
        <v>0</v>
      </c>
      <c r="AG95" s="13" t="s">
        <v>21</v>
      </c>
      <c r="AH95" s="6">
        <f>IF(AL95=0,K95,0)</f>
        <v>0</v>
      </c>
      <c r="AI95" s="6">
        <f>IF(AL95=12,K95,0)</f>
        <v>0</v>
      </c>
      <c r="AJ95" s="6">
        <f>IF(AL95=21,K95,0)</f>
        <v>0</v>
      </c>
      <c r="AL95" s="6">
        <v>21</v>
      </c>
      <c r="AM95" s="6">
        <f>H95*0.011711457</f>
        <v>0</v>
      </c>
      <c r="AN95" s="6">
        <f>H95*(1-0.011711457)</f>
        <v>0</v>
      </c>
      <c r="AO95" s="23" t="s">
        <v>164</v>
      </c>
      <c r="AT95" s="6">
        <f>AU95+AV95</f>
        <v>0</v>
      </c>
      <c r="AU95" s="6">
        <f>G95*AM95</f>
        <v>0</v>
      </c>
      <c r="AV95" s="6">
        <f>G95*AN95</f>
        <v>0</v>
      </c>
      <c r="AW95" s="23" t="s">
        <v>201</v>
      </c>
      <c r="AX95" s="23" t="s">
        <v>202</v>
      </c>
      <c r="AY95" s="13" t="s">
        <v>105</v>
      </c>
      <c r="BA95" s="6">
        <f>AU95+AV95</f>
        <v>0</v>
      </c>
      <c r="BB95" s="6">
        <f>H95/(100-BC95)*100</f>
        <v>0</v>
      </c>
      <c r="BC95" s="6">
        <v>0</v>
      </c>
      <c r="BD95" s="6">
        <f>M95</f>
        <v>0</v>
      </c>
      <c r="BF95" s="6">
        <f>G95*AM95</f>
        <v>0</v>
      </c>
      <c r="BG95" s="6">
        <f>G95*AN95</f>
        <v>0</v>
      </c>
      <c r="BH95" s="6">
        <f>G95*H95</f>
        <v>0</v>
      </c>
      <c r="BI95" s="6"/>
      <c r="BJ95" s="6">
        <v>99</v>
      </c>
      <c r="BU95" s="6" t="e">
        <f>#REF!</f>
        <v>#REF!</v>
      </c>
      <c r="BV95" s="3" t="s">
        <v>214</v>
      </c>
    </row>
    <row r="96" spans="1:74" ht="14.5" x14ac:dyDescent="0.35">
      <c r="A96" s="1" t="s">
        <v>215</v>
      </c>
      <c r="B96" s="2" t="s">
        <v>21</v>
      </c>
      <c r="C96" s="2" t="s">
        <v>216</v>
      </c>
      <c r="D96" s="138" t="s">
        <v>217</v>
      </c>
      <c r="E96" s="107"/>
      <c r="F96" s="37" t="s">
        <v>200</v>
      </c>
      <c r="G96" s="6">
        <v>8.75</v>
      </c>
      <c r="H96" s="147">
        <v>0</v>
      </c>
      <c r="I96" s="6">
        <f>G96*AM96</f>
        <v>0</v>
      </c>
      <c r="J96" s="6">
        <f>G96*AN96</f>
        <v>0</v>
      </c>
      <c r="K96" s="6">
        <f>G96*H96</f>
        <v>0</v>
      </c>
      <c r="L96" s="6">
        <v>0</v>
      </c>
      <c r="M96" s="6">
        <f>G96*L96</f>
        <v>0</v>
      </c>
      <c r="N96" s="86" t="s">
        <v>129</v>
      </c>
      <c r="X96" s="6">
        <f>IF(AO96="5",BH96,0)</f>
        <v>0</v>
      </c>
      <c r="Z96" s="6">
        <f>IF(AO96="1",BF96,0)</f>
        <v>0</v>
      </c>
      <c r="AA96" s="6">
        <f>IF(AO96="1",BG96,0)</f>
        <v>0</v>
      </c>
      <c r="AB96" s="6">
        <f>IF(AO96="7",BF96,0)</f>
        <v>0</v>
      </c>
      <c r="AC96" s="6">
        <f>IF(AO96="7",BG96,0)</f>
        <v>0</v>
      </c>
      <c r="AD96" s="6">
        <f>IF(AO96="2",BF96,0)</f>
        <v>0</v>
      </c>
      <c r="AE96" s="6">
        <f>IF(AO96="2",BG96,0)</f>
        <v>0</v>
      </c>
      <c r="AF96" s="6">
        <f>IF(AO96="0",BH96,0)</f>
        <v>0</v>
      </c>
      <c r="AG96" s="13" t="s">
        <v>21</v>
      </c>
      <c r="AH96" s="6">
        <f>IF(AL96=0,K96,0)</f>
        <v>0</v>
      </c>
      <c r="AI96" s="6">
        <f>IF(AL96=12,K96,0)</f>
        <v>0</v>
      </c>
      <c r="AJ96" s="6">
        <f>IF(AL96=21,K96,0)</f>
        <v>0</v>
      </c>
      <c r="AL96" s="6">
        <v>21</v>
      </c>
      <c r="AM96" s="6">
        <f>H96*0</f>
        <v>0</v>
      </c>
      <c r="AN96" s="6">
        <f>H96*(1-0)</f>
        <v>0</v>
      </c>
      <c r="AO96" s="23" t="s">
        <v>164</v>
      </c>
      <c r="AT96" s="6">
        <f>AU96+AV96</f>
        <v>0</v>
      </c>
      <c r="AU96" s="6">
        <f>G96*AM96</f>
        <v>0</v>
      </c>
      <c r="AV96" s="6">
        <f>G96*AN96</f>
        <v>0</v>
      </c>
      <c r="AW96" s="23" t="s">
        <v>201</v>
      </c>
      <c r="AX96" s="23" t="s">
        <v>202</v>
      </c>
      <c r="AY96" s="13" t="s">
        <v>105</v>
      </c>
      <c r="BA96" s="6">
        <f>AU96+AV96</f>
        <v>0</v>
      </c>
      <c r="BB96" s="6">
        <f>H96/(100-BC96)*100</f>
        <v>0</v>
      </c>
      <c r="BC96" s="6">
        <v>0</v>
      </c>
      <c r="BD96" s="6">
        <f>M96</f>
        <v>0</v>
      </c>
      <c r="BF96" s="6">
        <f>G96*AM96</f>
        <v>0</v>
      </c>
      <c r="BG96" s="6">
        <f>G96*AN96</f>
        <v>0</v>
      </c>
      <c r="BH96" s="6">
        <f>G96*H96</f>
        <v>0</v>
      </c>
      <c r="BI96" s="6"/>
      <c r="BJ96" s="6">
        <v>99</v>
      </c>
      <c r="BU96" s="6" t="e">
        <f>#REF!</f>
        <v>#REF!</v>
      </c>
      <c r="BV96" s="3" t="s">
        <v>217</v>
      </c>
    </row>
    <row r="97" spans="1:74" ht="14.5" x14ac:dyDescent="0.35">
      <c r="A97" s="1" t="s">
        <v>218</v>
      </c>
      <c r="B97" s="2" t="s">
        <v>21</v>
      </c>
      <c r="C97" s="2" t="s">
        <v>219</v>
      </c>
      <c r="D97" s="138" t="s">
        <v>220</v>
      </c>
      <c r="E97" s="107"/>
      <c r="F97" s="37" t="s">
        <v>200</v>
      </c>
      <c r="G97" s="6">
        <v>0.13</v>
      </c>
      <c r="H97" s="147">
        <v>0</v>
      </c>
      <c r="I97" s="6">
        <f>G97*AM97</f>
        <v>0</v>
      </c>
      <c r="J97" s="6">
        <f>G97*AN97</f>
        <v>0</v>
      </c>
      <c r="K97" s="6">
        <f>G97*H97</f>
        <v>0</v>
      </c>
      <c r="L97" s="6">
        <v>0</v>
      </c>
      <c r="M97" s="6">
        <f>G97*L97</f>
        <v>0</v>
      </c>
      <c r="N97" s="86" t="s">
        <v>129</v>
      </c>
      <c r="X97" s="6">
        <f>IF(AO97="5",BH97,0)</f>
        <v>0</v>
      </c>
      <c r="Z97" s="6">
        <f>IF(AO97="1",BF97,0)</f>
        <v>0</v>
      </c>
      <c r="AA97" s="6">
        <f>IF(AO97="1",BG97,0)</f>
        <v>0</v>
      </c>
      <c r="AB97" s="6">
        <f>IF(AO97="7",BF97,0)</f>
        <v>0</v>
      </c>
      <c r="AC97" s="6">
        <f>IF(AO97="7",BG97,0)</f>
        <v>0</v>
      </c>
      <c r="AD97" s="6">
        <f>IF(AO97="2",BF97,0)</f>
        <v>0</v>
      </c>
      <c r="AE97" s="6">
        <f>IF(AO97="2",BG97,0)</f>
        <v>0</v>
      </c>
      <c r="AF97" s="6">
        <f>IF(AO97="0",BH97,0)</f>
        <v>0</v>
      </c>
      <c r="AG97" s="13" t="s">
        <v>21</v>
      </c>
      <c r="AH97" s="6">
        <f>IF(AL97=0,K97,0)</f>
        <v>0</v>
      </c>
      <c r="AI97" s="6">
        <f>IF(AL97=12,K97,0)</f>
        <v>0</v>
      </c>
      <c r="AJ97" s="6">
        <f>IF(AL97=21,K97,0)</f>
        <v>0</v>
      </c>
      <c r="AL97" s="6">
        <v>21</v>
      </c>
      <c r="AM97" s="6">
        <f>H97*0</f>
        <v>0</v>
      </c>
      <c r="AN97" s="6">
        <f>H97*(1-0)</f>
        <v>0</v>
      </c>
      <c r="AO97" s="23" t="s">
        <v>164</v>
      </c>
      <c r="AT97" s="6">
        <f>AU97+AV97</f>
        <v>0</v>
      </c>
      <c r="AU97" s="6">
        <f>G97*AM97</f>
        <v>0</v>
      </c>
      <c r="AV97" s="6">
        <f>G97*AN97</f>
        <v>0</v>
      </c>
      <c r="AW97" s="23" t="s">
        <v>201</v>
      </c>
      <c r="AX97" s="23" t="s">
        <v>202</v>
      </c>
      <c r="AY97" s="13" t="s">
        <v>105</v>
      </c>
      <c r="BA97" s="6">
        <f>AU97+AV97</f>
        <v>0</v>
      </c>
      <c r="BB97" s="6">
        <f>H97/(100-BC97)*100</f>
        <v>0</v>
      </c>
      <c r="BC97" s="6">
        <v>0</v>
      </c>
      <c r="BD97" s="6">
        <f>M97</f>
        <v>0</v>
      </c>
      <c r="BF97" s="6">
        <f>G97*AM97</f>
        <v>0</v>
      </c>
      <c r="BG97" s="6">
        <f>G97*AN97</f>
        <v>0</v>
      </c>
      <c r="BH97" s="6">
        <f>G97*H97</f>
        <v>0</v>
      </c>
      <c r="BI97" s="6"/>
      <c r="BJ97" s="6">
        <v>99</v>
      </c>
      <c r="BU97" s="6" t="e">
        <f>#REF!</f>
        <v>#REF!</v>
      </c>
      <c r="BV97" s="3" t="s">
        <v>220</v>
      </c>
    </row>
    <row r="98" spans="1:74" ht="14.5" x14ac:dyDescent="0.35">
      <c r="A98" s="20" t="s">
        <v>22</v>
      </c>
      <c r="B98" s="21" t="s">
        <v>21</v>
      </c>
      <c r="C98" s="21" t="s">
        <v>32</v>
      </c>
      <c r="D98" s="133" t="s">
        <v>33</v>
      </c>
      <c r="E98" s="134"/>
      <c r="F98" s="91" t="s">
        <v>12</v>
      </c>
      <c r="G98" s="22" t="s">
        <v>12</v>
      </c>
      <c r="H98" s="22" t="s">
        <v>12</v>
      </c>
      <c r="I98" s="12">
        <f>SUM(I99:I112)</f>
        <v>0</v>
      </c>
      <c r="J98" s="12">
        <f>SUM(J99:J112)</f>
        <v>0</v>
      </c>
      <c r="K98" s="12">
        <f>SUM(K99:K112)</f>
        <v>0</v>
      </c>
      <c r="L98" s="13" t="s">
        <v>22</v>
      </c>
      <c r="M98" s="12">
        <f>SUM(M99:M112)</f>
        <v>0.2108622</v>
      </c>
      <c r="N98" s="85" t="s">
        <v>22</v>
      </c>
      <c r="AG98" s="13" t="s">
        <v>21</v>
      </c>
      <c r="AQ98" s="12">
        <f>SUM(AH99:AH112)</f>
        <v>0</v>
      </c>
      <c r="AR98" s="12">
        <f>SUM(AI99:AI112)</f>
        <v>0</v>
      </c>
      <c r="AS98" s="12">
        <f>SUM(AJ99:AJ112)</f>
        <v>0</v>
      </c>
    </row>
    <row r="99" spans="1:74" ht="14.5" x14ac:dyDescent="0.35">
      <c r="A99" s="1" t="s">
        <v>221</v>
      </c>
      <c r="B99" s="2" t="s">
        <v>21</v>
      </c>
      <c r="C99" s="2" t="s">
        <v>222</v>
      </c>
      <c r="D99" s="138" t="s">
        <v>223</v>
      </c>
      <c r="E99" s="107"/>
      <c r="F99" s="37" t="s">
        <v>100</v>
      </c>
      <c r="G99" s="6">
        <v>73.459999999999994</v>
      </c>
      <c r="H99" s="147">
        <v>0</v>
      </c>
      <c r="I99" s="6">
        <f>G99*AM99</f>
        <v>0</v>
      </c>
      <c r="J99" s="6">
        <f>G99*AN99</f>
        <v>0</v>
      </c>
      <c r="K99" s="6">
        <f>G99*H99</f>
        <v>0</v>
      </c>
      <c r="L99" s="6">
        <v>1.67E-3</v>
      </c>
      <c r="M99" s="6">
        <f>G99*L99</f>
        <v>0.12267819999999999</v>
      </c>
      <c r="N99" s="86" t="s">
        <v>129</v>
      </c>
      <c r="X99" s="6">
        <f>IF(AO99="5",BH99,0)</f>
        <v>0</v>
      </c>
      <c r="Z99" s="6">
        <f>IF(AO99="1",BF99,0)</f>
        <v>0</v>
      </c>
      <c r="AA99" s="6">
        <f>IF(AO99="1",BG99,0)</f>
        <v>0</v>
      </c>
      <c r="AB99" s="6">
        <f>IF(AO99="7",BF99,0)</f>
        <v>0</v>
      </c>
      <c r="AC99" s="6">
        <f>IF(AO99="7",BG99,0)</f>
        <v>0</v>
      </c>
      <c r="AD99" s="6">
        <f>IF(AO99="2",BF99,0)</f>
        <v>0</v>
      </c>
      <c r="AE99" s="6">
        <f>IF(AO99="2",BG99,0)</f>
        <v>0</v>
      </c>
      <c r="AF99" s="6">
        <f>IF(AO99="0",BH99,0)</f>
        <v>0</v>
      </c>
      <c r="AG99" s="13" t="s">
        <v>21</v>
      </c>
      <c r="AH99" s="6">
        <f>IF(AL99=0,K99,0)</f>
        <v>0</v>
      </c>
      <c r="AI99" s="6">
        <f>IF(AL99=12,K99,0)</f>
        <v>0</v>
      </c>
      <c r="AJ99" s="6">
        <f>IF(AL99=21,K99,0)</f>
        <v>0</v>
      </c>
      <c r="AL99" s="6">
        <v>21</v>
      </c>
      <c r="AM99" s="6">
        <f>H99*0.791454327</f>
        <v>0</v>
      </c>
      <c r="AN99" s="6">
        <f>H99*(1-0.791454327)</f>
        <v>0</v>
      </c>
      <c r="AO99" s="23" t="s">
        <v>174</v>
      </c>
      <c r="AT99" s="6">
        <f>AU99+AV99</f>
        <v>0</v>
      </c>
      <c r="AU99" s="6">
        <f>G99*AM99</f>
        <v>0</v>
      </c>
      <c r="AV99" s="6">
        <f>G99*AN99</f>
        <v>0</v>
      </c>
      <c r="AW99" s="23" t="s">
        <v>224</v>
      </c>
      <c r="AX99" s="23" t="s">
        <v>225</v>
      </c>
      <c r="AY99" s="13" t="s">
        <v>105</v>
      </c>
      <c r="BA99" s="6">
        <f>AU99+AV99</f>
        <v>0</v>
      </c>
      <c r="BB99" s="6">
        <f>H99/(100-BC99)*100</f>
        <v>0</v>
      </c>
      <c r="BC99" s="6">
        <v>0</v>
      </c>
      <c r="BD99" s="6">
        <f>M99</f>
        <v>0.12267819999999999</v>
      </c>
      <c r="BF99" s="6">
        <f>G99*AM99</f>
        <v>0</v>
      </c>
      <c r="BG99" s="6">
        <f>G99*AN99</f>
        <v>0</v>
      </c>
      <c r="BH99" s="6">
        <f>G99*H99</f>
        <v>0</v>
      </c>
      <c r="BI99" s="6"/>
      <c r="BJ99" s="6">
        <v>764</v>
      </c>
      <c r="BU99" s="6" t="e">
        <f>#REF!</f>
        <v>#REF!</v>
      </c>
      <c r="BV99" s="3" t="s">
        <v>223</v>
      </c>
    </row>
    <row r="100" spans="1:74" ht="14.5" x14ac:dyDescent="0.35">
      <c r="A100" s="24"/>
      <c r="D100" s="25" t="s">
        <v>226</v>
      </c>
      <c r="E100" s="26" t="s">
        <v>227</v>
      </c>
      <c r="G100" s="27">
        <v>61.2</v>
      </c>
      <c r="N100" s="87"/>
    </row>
    <row r="101" spans="1:74" ht="14.5" x14ac:dyDescent="0.35">
      <c r="A101" s="24"/>
      <c r="D101" s="25" t="s">
        <v>228</v>
      </c>
      <c r="E101" s="26" t="s">
        <v>229</v>
      </c>
      <c r="G101" s="27">
        <v>6.6</v>
      </c>
      <c r="N101" s="87"/>
    </row>
    <row r="102" spans="1:74" ht="14.5" x14ac:dyDescent="0.35">
      <c r="A102" s="24"/>
      <c r="D102" s="25" t="s">
        <v>230</v>
      </c>
      <c r="E102" s="26" t="s">
        <v>231</v>
      </c>
      <c r="G102" s="27">
        <v>2.66</v>
      </c>
      <c r="N102" s="87"/>
    </row>
    <row r="103" spans="1:74" ht="14.5" x14ac:dyDescent="0.35">
      <c r="A103" s="24"/>
      <c r="D103" s="25" t="s">
        <v>232</v>
      </c>
      <c r="E103" s="26" t="s">
        <v>233</v>
      </c>
      <c r="G103" s="27">
        <v>3</v>
      </c>
      <c r="N103" s="87"/>
    </row>
    <row r="104" spans="1:74" ht="14.5" x14ac:dyDescent="0.35">
      <c r="A104" s="1" t="s">
        <v>234</v>
      </c>
      <c r="B104" s="2" t="s">
        <v>21</v>
      </c>
      <c r="C104" s="2" t="s">
        <v>235</v>
      </c>
      <c r="D104" s="138" t="s">
        <v>236</v>
      </c>
      <c r="E104" s="107"/>
      <c r="F104" s="37" t="s">
        <v>100</v>
      </c>
      <c r="G104" s="6">
        <v>29.2</v>
      </c>
      <c r="H104" s="147">
        <v>0</v>
      </c>
      <c r="I104" s="6">
        <f>G104*AM104</f>
        <v>0</v>
      </c>
      <c r="J104" s="6">
        <f>G104*AN104</f>
        <v>0</v>
      </c>
      <c r="K104" s="6">
        <f>G104*H104</f>
        <v>0</v>
      </c>
      <c r="L104" s="6">
        <v>3.0200000000000001E-3</v>
      </c>
      <c r="M104" s="6">
        <f>G104*L104</f>
        <v>8.8183999999999998E-2</v>
      </c>
      <c r="N104" s="86" t="s">
        <v>129</v>
      </c>
      <c r="X104" s="6">
        <f>IF(AO104="5",BH104,0)</f>
        <v>0</v>
      </c>
      <c r="Z104" s="6">
        <f>IF(AO104="1",BF104,0)</f>
        <v>0</v>
      </c>
      <c r="AA104" s="6">
        <f>IF(AO104="1",BG104,0)</f>
        <v>0</v>
      </c>
      <c r="AB104" s="6">
        <f>IF(AO104="7",BF104,0)</f>
        <v>0</v>
      </c>
      <c r="AC104" s="6">
        <f>IF(AO104="7",BG104,0)</f>
        <v>0</v>
      </c>
      <c r="AD104" s="6">
        <f>IF(AO104="2",BF104,0)</f>
        <v>0</v>
      </c>
      <c r="AE104" s="6">
        <f>IF(AO104="2",BG104,0)</f>
        <v>0</v>
      </c>
      <c r="AF104" s="6">
        <f>IF(AO104="0",BH104,0)</f>
        <v>0</v>
      </c>
      <c r="AG104" s="13" t="s">
        <v>21</v>
      </c>
      <c r="AH104" s="6">
        <f>IF(AL104=0,K104,0)</f>
        <v>0</v>
      </c>
      <c r="AI104" s="6">
        <f>IF(AL104=12,K104,0)</f>
        <v>0</v>
      </c>
      <c r="AJ104" s="6">
        <f>IF(AL104=21,K104,0)</f>
        <v>0</v>
      </c>
      <c r="AL104" s="6">
        <v>21</v>
      </c>
      <c r="AM104" s="6">
        <f>H104*0.864952509</f>
        <v>0</v>
      </c>
      <c r="AN104" s="6">
        <f>H104*(1-0.864952509)</f>
        <v>0</v>
      </c>
      <c r="AO104" s="23" t="s">
        <v>174</v>
      </c>
      <c r="AT104" s="6">
        <f>AU104+AV104</f>
        <v>0</v>
      </c>
      <c r="AU104" s="6">
        <f>G104*AM104</f>
        <v>0</v>
      </c>
      <c r="AV104" s="6">
        <f>G104*AN104</f>
        <v>0</v>
      </c>
      <c r="AW104" s="23" t="s">
        <v>224</v>
      </c>
      <c r="AX104" s="23" t="s">
        <v>225</v>
      </c>
      <c r="AY104" s="13" t="s">
        <v>105</v>
      </c>
      <c r="BA104" s="6">
        <f>AU104+AV104</f>
        <v>0</v>
      </c>
      <c r="BB104" s="6">
        <f>H104/(100-BC104)*100</f>
        <v>0</v>
      </c>
      <c r="BC104" s="6">
        <v>0</v>
      </c>
      <c r="BD104" s="6">
        <f>M104</f>
        <v>8.8183999999999998E-2</v>
      </c>
      <c r="BF104" s="6">
        <f>G104*AM104</f>
        <v>0</v>
      </c>
      <c r="BG104" s="6">
        <f>G104*AN104</f>
        <v>0</v>
      </c>
      <c r="BH104" s="6">
        <f>G104*H104</f>
        <v>0</v>
      </c>
      <c r="BI104" s="6"/>
      <c r="BJ104" s="6">
        <v>764</v>
      </c>
      <c r="BU104" s="6" t="e">
        <f>#REF!</f>
        <v>#REF!</v>
      </c>
      <c r="BV104" s="3" t="s">
        <v>236</v>
      </c>
    </row>
    <row r="105" spans="1:74" ht="14.5" x14ac:dyDescent="0.35">
      <c r="A105" s="24"/>
      <c r="D105" s="25" t="s">
        <v>237</v>
      </c>
      <c r="E105" s="26" t="s">
        <v>238</v>
      </c>
      <c r="G105" s="27">
        <v>4.5999999999999996</v>
      </c>
      <c r="N105" s="87"/>
    </row>
    <row r="106" spans="1:74" ht="14.5" x14ac:dyDescent="0.35">
      <c r="A106" s="24"/>
      <c r="D106" s="25" t="s">
        <v>239</v>
      </c>
      <c r="E106" s="26" t="s">
        <v>240</v>
      </c>
      <c r="G106" s="27">
        <v>24</v>
      </c>
      <c r="N106" s="87"/>
    </row>
    <row r="107" spans="1:74" ht="14.5" x14ac:dyDescent="0.35">
      <c r="A107" s="24"/>
      <c r="D107" s="25" t="s">
        <v>241</v>
      </c>
      <c r="E107" s="26" t="s">
        <v>242</v>
      </c>
      <c r="G107" s="27">
        <v>0.6</v>
      </c>
      <c r="N107" s="87"/>
    </row>
    <row r="108" spans="1:74" ht="14.5" x14ac:dyDescent="0.35">
      <c r="A108" s="1" t="s">
        <v>243</v>
      </c>
      <c r="B108" s="2" t="s">
        <v>21</v>
      </c>
      <c r="C108" s="2" t="s">
        <v>244</v>
      </c>
      <c r="D108" s="138" t="s">
        <v>245</v>
      </c>
      <c r="E108" s="107"/>
      <c r="F108" s="37" t="s">
        <v>246</v>
      </c>
      <c r="G108" s="6">
        <v>66</v>
      </c>
      <c r="H108" s="147">
        <v>0</v>
      </c>
      <c r="I108" s="6">
        <f>G108*AM108</f>
        <v>0</v>
      </c>
      <c r="J108" s="6">
        <f>G108*AN108</f>
        <v>0</v>
      </c>
      <c r="K108" s="6">
        <f>G108*H108</f>
        <v>0</v>
      </c>
      <c r="L108" s="6">
        <v>0</v>
      </c>
      <c r="M108" s="6">
        <f>G108*L108</f>
        <v>0</v>
      </c>
      <c r="N108" s="86" t="s">
        <v>129</v>
      </c>
      <c r="X108" s="6">
        <f>IF(AO108="5",BH108,0)</f>
        <v>0</v>
      </c>
      <c r="Z108" s="6">
        <f>IF(AO108="1",BF108,0)</f>
        <v>0</v>
      </c>
      <c r="AA108" s="6">
        <f>IF(AO108="1",BG108,0)</f>
        <v>0</v>
      </c>
      <c r="AB108" s="6">
        <f>IF(AO108="7",BF108,0)</f>
        <v>0</v>
      </c>
      <c r="AC108" s="6">
        <f>IF(AO108="7",BG108,0)</f>
        <v>0</v>
      </c>
      <c r="AD108" s="6">
        <f>IF(AO108="2",BF108,0)</f>
        <v>0</v>
      </c>
      <c r="AE108" s="6">
        <f>IF(AO108="2",BG108,0)</f>
        <v>0</v>
      </c>
      <c r="AF108" s="6">
        <f>IF(AO108="0",BH108,0)</f>
        <v>0</v>
      </c>
      <c r="AG108" s="13" t="s">
        <v>21</v>
      </c>
      <c r="AH108" s="6">
        <f>IF(AL108=0,K108,0)</f>
        <v>0</v>
      </c>
      <c r="AI108" s="6">
        <f>IF(AL108=12,K108,0)</f>
        <v>0</v>
      </c>
      <c r="AJ108" s="6">
        <f>IF(AL108=21,K108,0)</f>
        <v>0</v>
      </c>
      <c r="AL108" s="6">
        <v>21</v>
      </c>
      <c r="AM108" s="6">
        <f>H108*0.965322101</f>
        <v>0</v>
      </c>
      <c r="AN108" s="6">
        <f>H108*(1-0.965322101)</f>
        <v>0</v>
      </c>
      <c r="AO108" s="23" t="s">
        <v>174</v>
      </c>
      <c r="AT108" s="6">
        <f>AU108+AV108</f>
        <v>0</v>
      </c>
      <c r="AU108" s="6">
        <f>G108*AM108</f>
        <v>0</v>
      </c>
      <c r="AV108" s="6">
        <f>G108*AN108</f>
        <v>0</v>
      </c>
      <c r="AW108" s="23" t="s">
        <v>224</v>
      </c>
      <c r="AX108" s="23" t="s">
        <v>225</v>
      </c>
      <c r="AY108" s="13" t="s">
        <v>105</v>
      </c>
      <c r="BA108" s="6">
        <f>AU108+AV108</f>
        <v>0</v>
      </c>
      <c r="BB108" s="6">
        <f>H108/(100-BC108)*100</f>
        <v>0</v>
      </c>
      <c r="BC108" s="6">
        <v>0</v>
      </c>
      <c r="BD108" s="6">
        <f>M108</f>
        <v>0</v>
      </c>
      <c r="BF108" s="6">
        <f>G108*AM108</f>
        <v>0</v>
      </c>
      <c r="BG108" s="6">
        <f>G108*AN108</f>
        <v>0</v>
      </c>
      <c r="BH108" s="6">
        <f>G108*H108</f>
        <v>0</v>
      </c>
      <c r="BI108" s="6"/>
      <c r="BJ108" s="6">
        <v>764</v>
      </c>
      <c r="BU108" s="6" t="e">
        <f>#REF!</f>
        <v>#REF!</v>
      </c>
      <c r="BV108" s="3" t="s">
        <v>245</v>
      </c>
    </row>
    <row r="109" spans="1:74" ht="14.5" x14ac:dyDescent="0.35">
      <c r="A109" s="24"/>
      <c r="D109" s="25" t="s">
        <v>247</v>
      </c>
      <c r="E109" s="26" t="s">
        <v>248</v>
      </c>
      <c r="G109" s="27">
        <v>66</v>
      </c>
      <c r="N109" s="87"/>
    </row>
    <row r="110" spans="1:74" ht="14.5" x14ac:dyDescent="0.35">
      <c r="A110" s="1" t="s">
        <v>249</v>
      </c>
      <c r="B110" s="2" t="s">
        <v>21</v>
      </c>
      <c r="C110" s="2" t="s">
        <v>250</v>
      </c>
      <c r="D110" s="138" t="s">
        <v>251</v>
      </c>
      <c r="E110" s="107"/>
      <c r="F110" s="37" t="s">
        <v>246</v>
      </c>
      <c r="G110" s="6">
        <v>19</v>
      </c>
      <c r="H110" s="147">
        <v>0</v>
      </c>
      <c r="I110" s="6">
        <f>G110*AM110</f>
        <v>0</v>
      </c>
      <c r="J110" s="6">
        <f>G110*AN110</f>
        <v>0</v>
      </c>
      <c r="K110" s="6">
        <f>G110*H110</f>
        <v>0</v>
      </c>
      <c r="L110" s="6">
        <v>0</v>
      </c>
      <c r="M110" s="6">
        <f>G110*L110</f>
        <v>0</v>
      </c>
      <c r="N110" s="86" t="s">
        <v>129</v>
      </c>
      <c r="X110" s="6">
        <f>IF(AO110="5",BH110,0)</f>
        <v>0</v>
      </c>
      <c r="Z110" s="6">
        <f>IF(AO110="1",BF110,0)</f>
        <v>0</v>
      </c>
      <c r="AA110" s="6">
        <f>IF(AO110="1",BG110,0)</f>
        <v>0</v>
      </c>
      <c r="AB110" s="6">
        <f>IF(AO110="7",BF110,0)</f>
        <v>0</v>
      </c>
      <c r="AC110" s="6">
        <f>IF(AO110="7",BG110,0)</f>
        <v>0</v>
      </c>
      <c r="AD110" s="6">
        <f>IF(AO110="2",BF110,0)</f>
        <v>0</v>
      </c>
      <c r="AE110" s="6">
        <f>IF(AO110="2",BG110,0)</f>
        <v>0</v>
      </c>
      <c r="AF110" s="6">
        <f>IF(AO110="0",BH110,0)</f>
        <v>0</v>
      </c>
      <c r="AG110" s="13" t="s">
        <v>21</v>
      </c>
      <c r="AH110" s="6">
        <f>IF(AL110=0,K110,0)</f>
        <v>0</v>
      </c>
      <c r="AI110" s="6">
        <f>IF(AL110=12,K110,0)</f>
        <v>0</v>
      </c>
      <c r="AJ110" s="6">
        <f>IF(AL110=21,K110,0)</f>
        <v>0</v>
      </c>
      <c r="AL110" s="6">
        <v>21</v>
      </c>
      <c r="AM110" s="6">
        <f>H110*0.968898468</f>
        <v>0</v>
      </c>
      <c r="AN110" s="6">
        <f>H110*(1-0.968898468)</f>
        <v>0</v>
      </c>
      <c r="AO110" s="23" t="s">
        <v>174</v>
      </c>
      <c r="AT110" s="6">
        <f>AU110+AV110</f>
        <v>0</v>
      </c>
      <c r="AU110" s="6">
        <f>G110*AM110</f>
        <v>0</v>
      </c>
      <c r="AV110" s="6">
        <f>G110*AN110</f>
        <v>0</v>
      </c>
      <c r="AW110" s="23" t="s">
        <v>224</v>
      </c>
      <c r="AX110" s="23" t="s">
        <v>225</v>
      </c>
      <c r="AY110" s="13" t="s">
        <v>105</v>
      </c>
      <c r="BA110" s="6">
        <f>AU110+AV110</f>
        <v>0</v>
      </c>
      <c r="BB110" s="6">
        <f>H110/(100-BC110)*100</f>
        <v>0</v>
      </c>
      <c r="BC110" s="6">
        <v>0</v>
      </c>
      <c r="BD110" s="6">
        <f>M110</f>
        <v>0</v>
      </c>
      <c r="BF110" s="6">
        <f>G110*AM110</f>
        <v>0</v>
      </c>
      <c r="BG110" s="6">
        <f>G110*AN110</f>
        <v>0</v>
      </c>
      <c r="BH110" s="6">
        <f>G110*H110</f>
        <v>0</v>
      </c>
      <c r="BI110" s="6"/>
      <c r="BJ110" s="6">
        <v>764</v>
      </c>
      <c r="BU110" s="6" t="e">
        <f>#REF!</f>
        <v>#REF!</v>
      </c>
      <c r="BV110" s="3" t="s">
        <v>251</v>
      </c>
    </row>
    <row r="111" spans="1:74" ht="14.5" x14ac:dyDescent="0.35">
      <c r="A111" s="24"/>
      <c r="D111" s="25" t="s">
        <v>252</v>
      </c>
      <c r="E111" s="26" t="s">
        <v>253</v>
      </c>
      <c r="G111" s="27">
        <v>19</v>
      </c>
      <c r="N111" s="87"/>
    </row>
    <row r="112" spans="1:74" ht="14.5" x14ac:dyDescent="0.35">
      <c r="A112" s="1" t="s">
        <v>101</v>
      </c>
      <c r="B112" s="2" t="s">
        <v>21</v>
      </c>
      <c r="C112" s="2" t="s">
        <v>254</v>
      </c>
      <c r="D112" s="138" t="s">
        <v>255</v>
      </c>
      <c r="E112" s="107"/>
      <c r="F112" s="37" t="s">
        <v>200</v>
      </c>
      <c r="G112" s="6">
        <v>0.34</v>
      </c>
      <c r="H112" s="147">
        <v>0</v>
      </c>
      <c r="I112" s="6">
        <f>G112*AM112</f>
        <v>0</v>
      </c>
      <c r="J112" s="6">
        <f>G112*AN112</f>
        <v>0</v>
      </c>
      <c r="K112" s="6">
        <f>G112*H112</f>
        <v>0</v>
      </c>
      <c r="L112" s="6">
        <v>0</v>
      </c>
      <c r="M112" s="6">
        <f>G112*L112</f>
        <v>0</v>
      </c>
      <c r="N112" s="86" t="s">
        <v>129</v>
      </c>
      <c r="X112" s="6">
        <f>IF(AO112="5",BH112,0)</f>
        <v>0</v>
      </c>
      <c r="Z112" s="6">
        <f>IF(AO112="1",BF112,0)</f>
        <v>0</v>
      </c>
      <c r="AA112" s="6">
        <f>IF(AO112="1",BG112,0)</f>
        <v>0</v>
      </c>
      <c r="AB112" s="6">
        <f>IF(AO112="7",BF112,0)</f>
        <v>0</v>
      </c>
      <c r="AC112" s="6">
        <f>IF(AO112="7",BG112,0)</f>
        <v>0</v>
      </c>
      <c r="AD112" s="6">
        <f>IF(AO112="2",BF112,0)</f>
        <v>0</v>
      </c>
      <c r="AE112" s="6">
        <f>IF(AO112="2",BG112,0)</f>
        <v>0</v>
      </c>
      <c r="AF112" s="6">
        <f>IF(AO112="0",BH112,0)</f>
        <v>0</v>
      </c>
      <c r="AG112" s="13" t="s">
        <v>21</v>
      </c>
      <c r="AH112" s="6">
        <f>IF(AL112=0,K112,0)</f>
        <v>0</v>
      </c>
      <c r="AI112" s="6">
        <f>IF(AL112=12,K112,0)</f>
        <v>0</v>
      </c>
      <c r="AJ112" s="6">
        <f>IF(AL112=21,K112,0)</f>
        <v>0</v>
      </c>
      <c r="AL112" s="6">
        <v>21</v>
      </c>
      <c r="AM112" s="6">
        <f>H112*0</f>
        <v>0</v>
      </c>
      <c r="AN112" s="6">
        <f>H112*(1-0)</f>
        <v>0</v>
      </c>
      <c r="AO112" s="23" t="s">
        <v>164</v>
      </c>
      <c r="AT112" s="6">
        <f>AU112+AV112</f>
        <v>0</v>
      </c>
      <c r="AU112" s="6">
        <f>G112*AM112</f>
        <v>0</v>
      </c>
      <c r="AV112" s="6">
        <f>G112*AN112</f>
        <v>0</v>
      </c>
      <c r="AW112" s="23" t="s">
        <v>224</v>
      </c>
      <c r="AX112" s="23" t="s">
        <v>225</v>
      </c>
      <c r="AY112" s="13" t="s">
        <v>105</v>
      </c>
      <c r="BA112" s="6">
        <f>AU112+AV112</f>
        <v>0</v>
      </c>
      <c r="BB112" s="6">
        <f>H112/(100-BC112)*100</f>
        <v>0</v>
      </c>
      <c r="BC112" s="6">
        <v>0</v>
      </c>
      <c r="BD112" s="6">
        <f>M112</f>
        <v>0</v>
      </c>
      <c r="BF112" s="6">
        <f>G112*AM112</f>
        <v>0</v>
      </c>
      <c r="BG112" s="6">
        <f>G112*AN112</f>
        <v>0</v>
      </c>
      <c r="BH112" s="6">
        <f>G112*H112</f>
        <v>0</v>
      </c>
      <c r="BI112" s="6"/>
      <c r="BJ112" s="6">
        <v>764</v>
      </c>
      <c r="BU112" s="6" t="e">
        <f>#REF!</f>
        <v>#REF!</v>
      </c>
      <c r="BV112" s="3" t="s">
        <v>255</v>
      </c>
    </row>
    <row r="113" spans="1:74" ht="14.5" x14ac:dyDescent="0.35">
      <c r="A113" s="20" t="s">
        <v>22</v>
      </c>
      <c r="B113" s="21" t="s">
        <v>21</v>
      </c>
      <c r="C113" s="21" t="s">
        <v>34</v>
      </c>
      <c r="D113" s="133" t="s">
        <v>35</v>
      </c>
      <c r="E113" s="134"/>
      <c r="F113" s="91" t="s">
        <v>12</v>
      </c>
      <c r="G113" s="22" t="s">
        <v>12</v>
      </c>
      <c r="H113" s="22" t="s">
        <v>12</v>
      </c>
      <c r="I113" s="12">
        <f>SUM(I114:I173)</f>
        <v>0</v>
      </c>
      <c r="J113" s="12">
        <f>SUM(J114:J173)</f>
        <v>0</v>
      </c>
      <c r="K113" s="12">
        <f>SUM(K114:K173)</f>
        <v>0</v>
      </c>
      <c r="L113" s="13" t="s">
        <v>22</v>
      </c>
      <c r="M113" s="12">
        <f>SUM(M114:M173)</f>
        <v>2.6359163999999997</v>
      </c>
      <c r="N113" s="85" t="s">
        <v>22</v>
      </c>
      <c r="AG113" s="13" t="s">
        <v>21</v>
      </c>
      <c r="AQ113" s="12">
        <f>SUM(AH114:AH173)</f>
        <v>0</v>
      </c>
      <c r="AR113" s="12">
        <f>SUM(AI114:AI173)</f>
        <v>0</v>
      </c>
      <c r="AS113" s="12">
        <f>SUM(AJ114:AJ173)</f>
        <v>0</v>
      </c>
    </row>
    <row r="114" spans="1:74" ht="14.5" x14ac:dyDescent="0.35">
      <c r="A114" s="1" t="s">
        <v>256</v>
      </c>
      <c r="B114" s="2" t="s">
        <v>21</v>
      </c>
      <c r="C114" s="2" t="s">
        <v>257</v>
      </c>
      <c r="D114" s="138" t="s">
        <v>258</v>
      </c>
      <c r="E114" s="107"/>
      <c r="F114" s="37" t="s">
        <v>259</v>
      </c>
      <c r="G114" s="6">
        <v>12</v>
      </c>
      <c r="H114" s="147">
        <v>0</v>
      </c>
      <c r="I114" s="6">
        <f>G114*AM114</f>
        <v>0</v>
      </c>
      <c r="J114" s="6">
        <f>G114*AN114</f>
        <v>0</v>
      </c>
      <c r="K114" s="6">
        <f>G114*H114</f>
        <v>0</v>
      </c>
      <c r="L114" s="6">
        <v>8.9999999999999998E-4</v>
      </c>
      <c r="M114" s="6">
        <f>G114*L114</f>
        <v>1.0800000000000001E-2</v>
      </c>
      <c r="N114" s="86" t="s">
        <v>129</v>
      </c>
      <c r="X114" s="6">
        <f>IF(AO114="5",BH114,0)</f>
        <v>0</v>
      </c>
      <c r="Z114" s="6">
        <f>IF(AO114="1",BF114,0)</f>
        <v>0</v>
      </c>
      <c r="AA114" s="6">
        <f>IF(AO114="1",BG114,0)</f>
        <v>0</v>
      </c>
      <c r="AB114" s="6">
        <f>IF(AO114="7",BF114,0)</f>
        <v>0</v>
      </c>
      <c r="AC114" s="6">
        <f>IF(AO114="7",BG114,0)</f>
        <v>0</v>
      </c>
      <c r="AD114" s="6">
        <f>IF(AO114="2",BF114,0)</f>
        <v>0</v>
      </c>
      <c r="AE114" s="6">
        <f>IF(AO114="2",BG114,0)</f>
        <v>0</v>
      </c>
      <c r="AF114" s="6">
        <f>IF(AO114="0",BH114,0)</f>
        <v>0</v>
      </c>
      <c r="AG114" s="13" t="s">
        <v>21</v>
      </c>
      <c r="AH114" s="6">
        <f>IF(AL114=0,K114,0)</f>
        <v>0</v>
      </c>
      <c r="AI114" s="6">
        <f>IF(AL114=12,K114,0)</f>
        <v>0</v>
      </c>
      <c r="AJ114" s="6">
        <f>IF(AL114=21,K114,0)</f>
        <v>0</v>
      </c>
      <c r="AL114" s="6">
        <v>21</v>
      </c>
      <c r="AM114" s="6">
        <f>H114*0.087655123</f>
        <v>0</v>
      </c>
      <c r="AN114" s="6">
        <f>H114*(1-0.087655123)</f>
        <v>0</v>
      </c>
      <c r="AO114" s="23" t="s">
        <v>174</v>
      </c>
      <c r="AT114" s="6">
        <f>AU114+AV114</f>
        <v>0</v>
      </c>
      <c r="AU114" s="6">
        <f>G114*AM114</f>
        <v>0</v>
      </c>
      <c r="AV114" s="6">
        <f>G114*AN114</f>
        <v>0</v>
      </c>
      <c r="AW114" s="23" t="s">
        <v>260</v>
      </c>
      <c r="AX114" s="23" t="s">
        <v>225</v>
      </c>
      <c r="AY114" s="13" t="s">
        <v>105</v>
      </c>
      <c r="BA114" s="6">
        <f>AU114+AV114</f>
        <v>0</v>
      </c>
      <c r="BB114" s="6">
        <f>H114/(100-BC114)*100</f>
        <v>0</v>
      </c>
      <c r="BC114" s="6">
        <v>0</v>
      </c>
      <c r="BD114" s="6">
        <f>M114</f>
        <v>1.0800000000000001E-2</v>
      </c>
      <c r="BF114" s="6">
        <f>G114*AM114</f>
        <v>0</v>
      </c>
      <c r="BG114" s="6">
        <f>G114*AN114</f>
        <v>0</v>
      </c>
      <c r="BH114" s="6">
        <f>G114*H114</f>
        <v>0</v>
      </c>
      <c r="BI114" s="6"/>
      <c r="BJ114" s="6">
        <v>766</v>
      </c>
      <c r="BU114" s="6" t="e">
        <f>#REF!</f>
        <v>#REF!</v>
      </c>
      <c r="BV114" s="3" t="s">
        <v>258</v>
      </c>
    </row>
    <row r="115" spans="1:74" ht="14.5" x14ac:dyDescent="0.35">
      <c r="A115" s="24"/>
      <c r="D115" s="25" t="s">
        <v>261</v>
      </c>
      <c r="E115" s="26" t="s">
        <v>262</v>
      </c>
      <c r="G115" s="27">
        <v>12</v>
      </c>
      <c r="N115" s="87"/>
    </row>
    <row r="116" spans="1:74" ht="14.5" x14ac:dyDescent="0.35">
      <c r="A116" s="1" t="s">
        <v>263</v>
      </c>
      <c r="B116" s="2" t="s">
        <v>21</v>
      </c>
      <c r="C116" s="2" t="s">
        <v>264</v>
      </c>
      <c r="D116" s="138" t="s">
        <v>265</v>
      </c>
      <c r="E116" s="107"/>
      <c r="F116" s="37" t="s">
        <v>259</v>
      </c>
      <c r="G116" s="6">
        <v>65</v>
      </c>
      <c r="H116" s="147">
        <v>0</v>
      </c>
      <c r="I116" s="6">
        <f>G116*AM116</f>
        <v>0</v>
      </c>
      <c r="J116" s="6">
        <f>G116*AN116</f>
        <v>0</v>
      </c>
      <c r="K116" s="6">
        <f>G116*H116</f>
        <v>0</v>
      </c>
      <c r="L116" s="6">
        <v>1.1999999999999999E-3</v>
      </c>
      <c r="M116" s="6">
        <f>G116*L116</f>
        <v>7.8E-2</v>
      </c>
      <c r="N116" s="86" t="s">
        <v>129</v>
      </c>
      <c r="X116" s="6">
        <f>IF(AO116="5",BH116,0)</f>
        <v>0</v>
      </c>
      <c r="Z116" s="6">
        <f>IF(AO116="1",BF116,0)</f>
        <v>0</v>
      </c>
      <c r="AA116" s="6">
        <f>IF(AO116="1",BG116,0)</f>
        <v>0</v>
      </c>
      <c r="AB116" s="6">
        <f>IF(AO116="7",BF116,0)</f>
        <v>0</v>
      </c>
      <c r="AC116" s="6">
        <f>IF(AO116="7",BG116,0)</f>
        <v>0</v>
      </c>
      <c r="AD116" s="6">
        <f>IF(AO116="2",BF116,0)</f>
        <v>0</v>
      </c>
      <c r="AE116" s="6">
        <f>IF(AO116="2",BG116,0)</f>
        <v>0</v>
      </c>
      <c r="AF116" s="6">
        <f>IF(AO116="0",BH116,0)</f>
        <v>0</v>
      </c>
      <c r="AG116" s="13" t="s">
        <v>21</v>
      </c>
      <c r="AH116" s="6">
        <f>IF(AL116=0,K116,0)</f>
        <v>0</v>
      </c>
      <c r="AI116" s="6">
        <f>IF(AL116=12,K116,0)</f>
        <v>0</v>
      </c>
      <c r="AJ116" s="6">
        <f>IF(AL116=21,K116,0)</f>
        <v>0</v>
      </c>
      <c r="AL116" s="6">
        <v>21</v>
      </c>
      <c r="AM116" s="6">
        <f>H116*0.095741742</f>
        <v>0</v>
      </c>
      <c r="AN116" s="6">
        <f>H116*(1-0.095741742)</f>
        <v>0</v>
      </c>
      <c r="AO116" s="23" t="s">
        <v>174</v>
      </c>
      <c r="AT116" s="6">
        <f>AU116+AV116</f>
        <v>0</v>
      </c>
      <c r="AU116" s="6">
        <f>G116*AM116</f>
        <v>0</v>
      </c>
      <c r="AV116" s="6">
        <f>G116*AN116</f>
        <v>0</v>
      </c>
      <c r="AW116" s="23" t="s">
        <v>260</v>
      </c>
      <c r="AX116" s="23" t="s">
        <v>225</v>
      </c>
      <c r="AY116" s="13" t="s">
        <v>105</v>
      </c>
      <c r="BA116" s="6">
        <f>AU116+AV116</f>
        <v>0</v>
      </c>
      <c r="BB116" s="6">
        <f>H116/(100-BC116)*100</f>
        <v>0</v>
      </c>
      <c r="BC116" s="6">
        <v>0</v>
      </c>
      <c r="BD116" s="6">
        <f>M116</f>
        <v>7.8E-2</v>
      </c>
      <c r="BF116" s="6">
        <f>G116*AM116</f>
        <v>0</v>
      </c>
      <c r="BG116" s="6">
        <f>G116*AN116</f>
        <v>0</v>
      </c>
      <c r="BH116" s="6">
        <f>G116*H116</f>
        <v>0</v>
      </c>
      <c r="BI116" s="6"/>
      <c r="BJ116" s="6">
        <v>766</v>
      </c>
      <c r="BU116" s="6" t="e">
        <f>#REF!</f>
        <v>#REF!</v>
      </c>
      <c r="BV116" s="3" t="s">
        <v>265</v>
      </c>
    </row>
    <row r="117" spans="1:74" ht="14.5" x14ac:dyDescent="0.35">
      <c r="A117" s="24"/>
      <c r="D117" s="25" t="s">
        <v>266</v>
      </c>
      <c r="E117" s="26" t="s">
        <v>267</v>
      </c>
      <c r="G117" s="27">
        <v>65</v>
      </c>
      <c r="N117" s="87"/>
    </row>
    <row r="118" spans="1:74" ht="14.5" x14ac:dyDescent="0.35">
      <c r="A118" s="1" t="s">
        <v>268</v>
      </c>
      <c r="B118" s="2" t="s">
        <v>21</v>
      </c>
      <c r="C118" s="2" t="s">
        <v>269</v>
      </c>
      <c r="D118" s="138" t="s">
        <v>270</v>
      </c>
      <c r="E118" s="107"/>
      <c r="F118" s="37" t="s">
        <v>259</v>
      </c>
      <c r="G118" s="6">
        <v>4</v>
      </c>
      <c r="H118" s="147">
        <v>0</v>
      </c>
      <c r="I118" s="6">
        <f>G118*AM118</f>
        <v>0</v>
      </c>
      <c r="J118" s="6">
        <f>G118*AN118</f>
        <v>0</v>
      </c>
      <c r="K118" s="6">
        <f>G118*H118</f>
        <v>0</v>
      </c>
      <c r="L118" s="6">
        <v>1.65E-3</v>
      </c>
      <c r="M118" s="6">
        <f>G118*L118</f>
        <v>6.6E-3</v>
      </c>
      <c r="N118" s="86" t="s">
        <v>129</v>
      </c>
      <c r="X118" s="6">
        <f>IF(AO118="5",BH118,0)</f>
        <v>0</v>
      </c>
      <c r="Z118" s="6">
        <f>IF(AO118="1",BF118,0)</f>
        <v>0</v>
      </c>
      <c r="AA118" s="6">
        <f>IF(AO118="1",BG118,0)</f>
        <v>0</v>
      </c>
      <c r="AB118" s="6">
        <f>IF(AO118="7",BF118,0)</f>
        <v>0</v>
      </c>
      <c r="AC118" s="6">
        <f>IF(AO118="7",BG118,0)</f>
        <v>0</v>
      </c>
      <c r="AD118" s="6">
        <f>IF(AO118="2",BF118,0)</f>
        <v>0</v>
      </c>
      <c r="AE118" s="6">
        <f>IF(AO118="2",BG118,0)</f>
        <v>0</v>
      </c>
      <c r="AF118" s="6">
        <f>IF(AO118="0",BH118,0)</f>
        <v>0</v>
      </c>
      <c r="AG118" s="13" t="s">
        <v>21</v>
      </c>
      <c r="AH118" s="6">
        <f>IF(AL118=0,K118,0)</f>
        <v>0</v>
      </c>
      <c r="AI118" s="6">
        <f>IF(AL118=12,K118,0)</f>
        <v>0</v>
      </c>
      <c r="AJ118" s="6">
        <f>IF(AL118=21,K118,0)</f>
        <v>0</v>
      </c>
      <c r="AL118" s="6">
        <v>21</v>
      </c>
      <c r="AM118" s="6">
        <f>H118*0.120674686</f>
        <v>0</v>
      </c>
      <c r="AN118" s="6">
        <f>H118*(1-0.120674686)</f>
        <v>0</v>
      </c>
      <c r="AO118" s="23" t="s">
        <v>174</v>
      </c>
      <c r="AT118" s="6">
        <f>AU118+AV118</f>
        <v>0</v>
      </c>
      <c r="AU118" s="6">
        <f>G118*AM118</f>
        <v>0</v>
      </c>
      <c r="AV118" s="6">
        <f>G118*AN118</f>
        <v>0</v>
      </c>
      <c r="AW118" s="23" t="s">
        <v>260</v>
      </c>
      <c r="AX118" s="23" t="s">
        <v>225</v>
      </c>
      <c r="AY118" s="13" t="s">
        <v>105</v>
      </c>
      <c r="BA118" s="6">
        <f>AU118+AV118</f>
        <v>0</v>
      </c>
      <c r="BB118" s="6">
        <f>H118/(100-BC118)*100</f>
        <v>0</v>
      </c>
      <c r="BC118" s="6">
        <v>0</v>
      </c>
      <c r="BD118" s="6">
        <f>M118</f>
        <v>6.6E-3</v>
      </c>
      <c r="BF118" s="6">
        <f>G118*AM118</f>
        <v>0</v>
      </c>
      <c r="BG118" s="6">
        <f>G118*AN118</f>
        <v>0</v>
      </c>
      <c r="BH118" s="6">
        <f>G118*H118</f>
        <v>0</v>
      </c>
      <c r="BI118" s="6"/>
      <c r="BJ118" s="6">
        <v>766</v>
      </c>
      <c r="BU118" s="6" t="e">
        <f>#REF!</f>
        <v>#REF!</v>
      </c>
      <c r="BV118" s="3" t="s">
        <v>270</v>
      </c>
    </row>
    <row r="119" spans="1:74" ht="14.5" x14ac:dyDescent="0.35">
      <c r="A119" s="24"/>
      <c r="D119" s="25" t="s">
        <v>271</v>
      </c>
      <c r="E119" s="26" t="s">
        <v>272</v>
      </c>
      <c r="G119" s="27">
        <v>4</v>
      </c>
      <c r="N119" s="87"/>
    </row>
    <row r="120" spans="1:74" ht="14.5" x14ac:dyDescent="0.35">
      <c r="A120" s="1" t="s">
        <v>273</v>
      </c>
      <c r="B120" s="2" t="s">
        <v>21</v>
      </c>
      <c r="C120" s="2" t="s">
        <v>274</v>
      </c>
      <c r="D120" s="138" t="s">
        <v>275</v>
      </c>
      <c r="E120" s="107"/>
      <c r="F120" s="37" t="s">
        <v>145</v>
      </c>
      <c r="G120" s="6">
        <v>38.57</v>
      </c>
      <c r="H120" s="147">
        <v>0</v>
      </c>
      <c r="I120" s="6">
        <f>G120*AM120</f>
        <v>0</v>
      </c>
      <c r="J120" s="6">
        <f>G120*AN120</f>
        <v>0</v>
      </c>
      <c r="K120" s="6">
        <f>G120*H120</f>
        <v>0</v>
      </c>
      <c r="L120" s="6">
        <v>3.2000000000000003E-4</v>
      </c>
      <c r="M120" s="6">
        <f>G120*L120</f>
        <v>1.2342400000000002E-2</v>
      </c>
      <c r="N120" s="86" t="s">
        <v>129</v>
      </c>
      <c r="X120" s="6">
        <f>IF(AO120="5",BH120,0)</f>
        <v>0</v>
      </c>
      <c r="Z120" s="6">
        <f>IF(AO120="1",BF120,0)</f>
        <v>0</v>
      </c>
      <c r="AA120" s="6">
        <f>IF(AO120="1",BG120,0)</f>
        <v>0</v>
      </c>
      <c r="AB120" s="6">
        <f>IF(AO120="7",BF120,0)</f>
        <v>0</v>
      </c>
      <c r="AC120" s="6">
        <f>IF(AO120="7",BG120,0)</f>
        <v>0</v>
      </c>
      <c r="AD120" s="6">
        <f>IF(AO120="2",BF120,0)</f>
        <v>0</v>
      </c>
      <c r="AE120" s="6">
        <f>IF(AO120="2",BG120,0)</f>
        <v>0</v>
      </c>
      <c r="AF120" s="6">
        <f>IF(AO120="0",BH120,0)</f>
        <v>0</v>
      </c>
      <c r="AG120" s="13" t="s">
        <v>21</v>
      </c>
      <c r="AH120" s="6">
        <f>IF(AL120=0,K120,0)</f>
        <v>0</v>
      </c>
      <c r="AI120" s="6">
        <f>IF(AL120=12,K120,0)</f>
        <v>0</v>
      </c>
      <c r="AJ120" s="6">
        <f>IF(AL120=21,K120,0)</f>
        <v>0</v>
      </c>
      <c r="AL120" s="6">
        <v>21</v>
      </c>
      <c r="AM120" s="6">
        <f>H120*0.031946528</f>
        <v>0</v>
      </c>
      <c r="AN120" s="6">
        <f>H120*(1-0.031946528)</f>
        <v>0</v>
      </c>
      <c r="AO120" s="23" t="s">
        <v>174</v>
      </c>
      <c r="AT120" s="6">
        <f>AU120+AV120</f>
        <v>0</v>
      </c>
      <c r="AU120" s="6">
        <f>G120*AM120</f>
        <v>0</v>
      </c>
      <c r="AV120" s="6">
        <f>G120*AN120</f>
        <v>0</v>
      </c>
      <c r="AW120" s="23" t="s">
        <v>260</v>
      </c>
      <c r="AX120" s="23" t="s">
        <v>225</v>
      </c>
      <c r="AY120" s="13" t="s">
        <v>105</v>
      </c>
      <c r="BA120" s="6">
        <f>AU120+AV120</f>
        <v>0</v>
      </c>
      <c r="BB120" s="6">
        <f>H120/(100-BC120)*100</f>
        <v>0</v>
      </c>
      <c r="BC120" s="6">
        <v>0</v>
      </c>
      <c r="BD120" s="6">
        <f>M120</f>
        <v>1.2342400000000002E-2</v>
      </c>
      <c r="BF120" s="6">
        <f>G120*AM120</f>
        <v>0</v>
      </c>
      <c r="BG120" s="6">
        <f>G120*AN120</f>
        <v>0</v>
      </c>
      <c r="BH120" s="6">
        <f>G120*H120</f>
        <v>0</v>
      </c>
      <c r="BI120" s="6"/>
      <c r="BJ120" s="6">
        <v>766</v>
      </c>
      <c r="BU120" s="6" t="e">
        <f>#REF!</f>
        <v>#REF!</v>
      </c>
      <c r="BV120" s="3" t="s">
        <v>275</v>
      </c>
    </row>
    <row r="121" spans="1:74" ht="14.5" x14ac:dyDescent="0.35">
      <c r="A121" s="24"/>
      <c r="D121" s="25" t="s">
        <v>276</v>
      </c>
      <c r="E121" s="26" t="s">
        <v>277</v>
      </c>
      <c r="G121" s="27">
        <v>25.05</v>
      </c>
      <c r="N121" s="87"/>
    </row>
    <row r="122" spans="1:74" ht="14.5" x14ac:dyDescent="0.35">
      <c r="A122" s="24"/>
      <c r="D122" s="25" t="s">
        <v>278</v>
      </c>
      <c r="E122" s="26" t="s">
        <v>279</v>
      </c>
      <c r="G122" s="27">
        <v>13.52</v>
      </c>
      <c r="N122" s="87"/>
    </row>
    <row r="123" spans="1:74" ht="14.5" x14ac:dyDescent="0.35">
      <c r="A123" s="1" t="s">
        <v>280</v>
      </c>
      <c r="B123" s="2" t="s">
        <v>21</v>
      </c>
      <c r="C123" s="2" t="s">
        <v>281</v>
      </c>
      <c r="D123" s="138" t="s">
        <v>282</v>
      </c>
      <c r="E123" s="107"/>
      <c r="F123" s="37" t="s">
        <v>100</v>
      </c>
      <c r="G123" s="6">
        <v>6.8</v>
      </c>
      <c r="H123" s="147">
        <v>0</v>
      </c>
      <c r="I123" s="6">
        <f>G123*AM123</f>
        <v>0</v>
      </c>
      <c r="J123" s="6">
        <f>G123*AN123</f>
        <v>0</v>
      </c>
      <c r="K123" s="6">
        <f>G123*H123</f>
        <v>0</v>
      </c>
      <c r="L123" s="6">
        <v>3.4000000000000002E-4</v>
      </c>
      <c r="M123" s="6">
        <f>G123*L123</f>
        <v>2.3120000000000003E-3</v>
      </c>
      <c r="N123" s="86" t="s">
        <v>129</v>
      </c>
      <c r="X123" s="6">
        <f>IF(AO123="5",BH123,0)</f>
        <v>0</v>
      </c>
      <c r="Z123" s="6">
        <f>IF(AO123="1",BF123,0)</f>
        <v>0</v>
      </c>
      <c r="AA123" s="6">
        <f>IF(AO123="1",BG123,0)</f>
        <v>0</v>
      </c>
      <c r="AB123" s="6">
        <f>IF(AO123="7",BF123,0)</f>
        <v>0</v>
      </c>
      <c r="AC123" s="6">
        <f>IF(AO123="7",BG123,0)</f>
        <v>0</v>
      </c>
      <c r="AD123" s="6">
        <f>IF(AO123="2",BF123,0)</f>
        <v>0</v>
      </c>
      <c r="AE123" s="6">
        <f>IF(AO123="2",BG123,0)</f>
        <v>0</v>
      </c>
      <c r="AF123" s="6">
        <f>IF(AO123="0",BH123,0)</f>
        <v>0</v>
      </c>
      <c r="AG123" s="13" t="s">
        <v>21</v>
      </c>
      <c r="AH123" s="6">
        <f>IF(AL123=0,K123,0)</f>
        <v>0</v>
      </c>
      <c r="AI123" s="6">
        <f>IF(AL123=12,K123,0)</f>
        <v>0</v>
      </c>
      <c r="AJ123" s="6">
        <f>IF(AL123=21,K123,0)</f>
        <v>0</v>
      </c>
      <c r="AL123" s="6">
        <v>21</v>
      </c>
      <c r="AM123" s="6">
        <f>H123*0.154844534</f>
        <v>0</v>
      </c>
      <c r="AN123" s="6">
        <f>H123*(1-0.154844534)</f>
        <v>0</v>
      </c>
      <c r="AO123" s="23" t="s">
        <v>174</v>
      </c>
      <c r="AT123" s="6">
        <f>AU123+AV123</f>
        <v>0</v>
      </c>
      <c r="AU123" s="6">
        <f>G123*AM123</f>
        <v>0</v>
      </c>
      <c r="AV123" s="6">
        <f>G123*AN123</f>
        <v>0</v>
      </c>
      <c r="AW123" s="23" t="s">
        <v>260</v>
      </c>
      <c r="AX123" s="23" t="s">
        <v>225</v>
      </c>
      <c r="AY123" s="13" t="s">
        <v>105</v>
      </c>
      <c r="BA123" s="6">
        <f>AU123+AV123</f>
        <v>0</v>
      </c>
      <c r="BB123" s="6">
        <f>H123/(100-BC123)*100</f>
        <v>0</v>
      </c>
      <c r="BC123" s="6">
        <v>0</v>
      </c>
      <c r="BD123" s="6">
        <f>M123</f>
        <v>2.3120000000000003E-3</v>
      </c>
      <c r="BF123" s="6">
        <f>G123*AM123</f>
        <v>0</v>
      </c>
      <c r="BG123" s="6">
        <f>G123*AN123</f>
        <v>0</v>
      </c>
      <c r="BH123" s="6">
        <f>G123*H123</f>
        <v>0</v>
      </c>
      <c r="BI123" s="6"/>
      <c r="BJ123" s="6">
        <v>766</v>
      </c>
      <c r="BU123" s="6" t="e">
        <f>#REF!</f>
        <v>#REF!</v>
      </c>
      <c r="BV123" s="3" t="s">
        <v>282</v>
      </c>
    </row>
    <row r="124" spans="1:74" ht="14.5" x14ac:dyDescent="0.35">
      <c r="A124" s="24"/>
      <c r="D124" s="25" t="s">
        <v>283</v>
      </c>
      <c r="E124" s="26" t="s">
        <v>284</v>
      </c>
      <c r="G124" s="27">
        <v>6.8</v>
      </c>
      <c r="N124" s="87"/>
    </row>
    <row r="125" spans="1:74" ht="14.5" x14ac:dyDescent="0.35">
      <c r="A125" s="1" t="s">
        <v>285</v>
      </c>
      <c r="B125" s="2" t="s">
        <v>21</v>
      </c>
      <c r="C125" s="2" t="s">
        <v>286</v>
      </c>
      <c r="D125" s="138" t="s">
        <v>287</v>
      </c>
      <c r="E125" s="107"/>
      <c r="F125" s="37" t="s">
        <v>100</v>
      </c>
      <c r="G125" s="6">
        <v>477.38</v>
      </c>
      <c r="H125" s="147">
        <v>0</v>
      </c>
      <c r="I125" s="6">
        <f>G125*AM125</f>
        <v>0</v>
      </c>
      <c r="J125" s="6">
        <f>G125*AN125</f>
        <v>0</v>
      </c>
      <c r="K125" s="6">
        <f>G125*H125</f>
        <v>0</v>
      </c>
      <c r="L125" s="6">
        <v>0</v>
      </c>
      <c r="M125" s="6">
        <f>G125*L125</f>
        <v>0</v>
      </c>
      <c r="N125" s="86" t="s">
        <v>129</v>
      </c>
      <c r="X125" s="6">
        <f>IF(AO125="5",BH125,0)</f>
        <v>0</v>
      </c>
      <c r="Z125" s="6">
        <f>IF(AO125="1",BF125,0)</f>
        <v>0</v>
      </c>
      <c r="AA125" s="6">
        <f>IF(AO125="1",BG125,0)</f>
        <v>0</v>
      </c>
      <c r="AB125" s="6">
        <f>IF(AO125="7",BF125,0)</f>
        <v>0</v>
      </c>
      <c r="AC125" s="6">
        <f>IF(AO125="7",BG125,0)</f>
        <v>0</v>
      </c>
      <c r="AD125" s="6">
        <f>IF(AO125="2",BF125,0)</f>
        <v>0</v>
      </c>
      <c r="AE125" s="6">
        <f>IF(AO125="2",BG125,0)</f>
        <v>0</v>
      </c>
      <c r="AF125" s="6">
        <f>IF(AO125="0",BH125,0)</f>
        <v>0</v>
      </c>
      <c r="AG125" s="13" t="s">
        <v>21</v>
      </c>
      <c r="AH125" s="6">
        <f>IF(AL125=0,K125,0)</f>
        <v>0</v>
      </c>
      <c r="AI125" s="6">
        <f>IF(AL125=12,K125,0)</f>
        <v>0</v>
      </c>
      <c r="AJ125" s="6">
        <f>IF(AL125=21,K125,0)</f>
        <v>0</v>
      </c>
      <c r="AL125" s="6">
        <v>21</v>
      </c>
      <c r="AM125" s="6">
        <f>H125*0.373765623</f>
        <v>0</v>
      </c>
      <c r="AN125" s="6">
        <f>H125*(1-0.373765623)</f>
        <v>0</v>
      </c>
      <c r="AO125" s="23" t="s">
        <v>174</v>
      </c>
      <c r="AT125" s="6">
        <f>AU125+AV125</f>
        <v>0</v>
      </c>
      <c r="AU125" s="6">
        <f>G125*AM125</f>
        <v>0</v>
      </c>
      <c r="AV125" s="6">
        <f>G125*AN125</f>
        <v>0</v>
      </c>
      <c r="AW125" s="23" t="s">
        <v>260</v>
      </c>
      <c r="AX125" s="23" t="s">
        <v>225</v>
      </c>
      <c r="AY125" s="13" t="s">
        <v>105</v>
      </c>
      <c r="BA125" s="6">
        <f>AU125+AV125</f>
        <v>0</v>
      </c>
      <c r="BB125" s="6">
        <f>H125/(100-BC125)*100</f>
        <v>0</v>
      </c>
      <c r="BC125" s="6">
        <v>0</v>
      </c>
      <c r="BD125" s="6">
        <f>M125</f>
        <v>0</v>
      </c>
      <c r="BF125" s="6">
        <f>G125*AM125</f>
        <v>0</v>
      </c>
      <c r="BG125" s="6">
        <f>G125*AN125</f>
        <v>0</v>
      </c>
      <c r="BH125" s="6">
        <f>G125*H125</f>
        <v>0</v>
      </c>
      <c r="BI125" s="6"/>
      <c r="BJ125" s="6">
        <v>766</v>
      </c>
      <c r="BU125" s="6" t="e">
        <f>#REF!</f>
        <v>#REF!</v>
      </c>
      <c r="BV125" s="3" t="s">
        <v>287</v>
      </c>
    </row>
    <row r="126" spans="1:74" ht="14.5" x14ac:dyDescent="0.35">
      <c r="A126" s="24"/>
      <c r="D126" s="25" t="s">
        <v>106</v>
      </c>
      <c r="E126" s="26" t="s">
        <v>107</v>
      </c>
      <c r="G126" s="27">
        <v>340.2</v>
      </c>
      <c r="N126" s="87"/>
    </row>
    <row r="127" spans="1:74" ht="14.5" x14ac:dyDescent="0.35">
      <c r="A127" s="24"/>
      <c r="D127" s="25" t="s">
        <v>108</v>
      </c>
      <c r="E127" s="26" t="s">
        <v>109</v>
      </c>
      <c r="G127" s="27">
        <v>29.7</v>
      </c>
      <c r="N127" s="87"/>
    </row>
    <row r="128" spans="1:74" ht="14.5" x14ac:dyDescent="0.35">
      <c r="A128" s="24"/>
      <c r="D128" s="25" t="s">
        <v>110</v>
      </c>
      <c r="E128" s="26" t="s">
        <v>111</v>
      </c>
      <c r="G128" s="27">
        <v>14.72</v>
      </c>
      <c r="N128" s="87"/>
    </row>
    <row r="129" spans="1:74" ht="14.5" x14ac:dyDescent="0.35">
      <c r="A129" s="24"/>
      <c r="D129" s="25" t="s">
        <v>112</v>
      </c>
      <c r="E129" s="26" t="s">
        <v>113</v>
      </c>
      <c r="G129" s="27">
        <v>15.2</v>
      </c>
      <c r="N129" s="87"/>
    </row>
    <row r="130" spans="1:74" ht="14.5" x14ac:dyDescent="0.35">
      <c r="A130" s="24"/>
      <c r="D130" s="25" t="s">
        <v>114</v>
      </c>
      <c r="E130" s="26" t="s">
        <v>115</v>
      </c>
      <c r="G130" s="27">
        <v>5.4</v>
      </c>
      <c r="N130" s="87"/>
    </row>
    <row r="131" spans="1:74" ht="14.5" x14ac:dyDescent="0.35">
      <c r="A131" s="24"/>
      <c r="D131" s="25" t="s">
        <v>116</v>
      </c>
      <c r="E131" s="26" t="s">
        <v>117</v>
      </c>
      <c r="G131" s="27">
        <v>4.2</v>
      </c>
      <c r="N131" s="87"/>
    </row>
    <row r="132" spans="1:74" ht="14.5" x14ac:dyDescent="0.35">
      <c r="A132" s="24"/>
      <c r="D132" s="25" t="s">
        <v>114</v>
      </c>
      <c r="E132" s="26" t="s">
        <v>118</v>
      </c>
      <c r="G132" s="27">
        <v>5.4</v>
      </c>
      <c r="N132" s="87"/>
    </row>
    <row r="133" spans="1:74" ht="14.5" x14ac:dyDescent="0.35">
      <c r="A133" s="24"/>
      <c r="D133" s="25" t="s">
        <v>119</v>
      </c>
      <c r="E133" s="26" t="s">
        <v>120</v>
      </c>
      <c r="G133" s="27">
        <v>19.7</v>
      </c>
      <c r="N133" s="87"/>
    </row>
    <row r="134" spans="1:74" ht="14.5" x14ac:dyDescent="0.35">
      <c r="A134" s="24"/>
      <c r="D134" s="25" t="s">
        <v>119</v>
      </c>
      <c r="E134" s="26" t="s">
        <v>121</v>
      </c>
      <c r="G134" s="27">
        <v>19.7</v>
      </c>
      <c r="N134" s="87"/>
    </row>
    <row r="135" spans="1:74" ht="14.5" x14ac:dyDescent="0.35">
      <c r="A135" s="24"/>
      <c r="D135" s="25" t="s">
        <v>122</v>
      </c>
      <c r="E135" s="26" t="s">
        <v>123</v>
      </c>
      <c r="G135" s="27">
        <v>16.36</v>
      </c>
      <c r="N135" s="87"/>
    </row>
    <row r="136" spans="1:74" ht="14.5" x14ac:dyDescent="0.35">
      <c r="A136" s="24"/>
      <c r="D136" s="25" t="s">
        <v>124</v>
      </c>
      <c r="E136" s="26" t="s">
        <v>125</v>
      </c>
      <c r="G136" s="27">
        <v>6.8</v>
      </c>
      <c r="N136" s="87"/>
    </row>
    <row r="137" spans="1:74" ht="14.5" x14ac:dyDescent="0.35">
      <c r="A137" s="1" t="s">
        <v>288</v>
      </c>
      <c r="B137" s="2" t="s">
        <v>21</v>
      </c>
      <c r="C137" s="2" t="s">
        <v>289</v>
      </c>
      <c r="D137" s="138" t="s">
        <v>290</v>
      </c>
      <c r="E137" s="107"/>
      <c r="F137" s="37" t="s">
        <v>100</v>
      </c>
      <c r="G137" s="6">
        <v>477.38</v>
      </c>
      <c r="H137" s="147">
        <v>0</v>
      </c>
      <c r="I137" s="6">
        <f t="shared" ref="I137:I153" si="0">G137*AM137</f>
        <v>0</v>
      </c>
      <c r="J137" s="6">
        <f t="shared" ref="J137:J153" si="1">G137*AN137</f>
        <v>0</v>
      </c>
      <c r="K137" s="6">
        <f t="shared" ref="K137:K153" si="2">G137*H137</f>
        <v>0</v>
      </c>
      <c r="L137" s="6">
        <v>0</v>
      </c>
      <c r="M137" s="6">
        <f t="shared" ref="M137:M153" si="3">G137*L137</f>
        <v>0</v>
      </c>
      <c r="N137" s="86" t="s">
        <v>129</v>
      </c>
      <c r="X137" s="6">
        <f t="shared" ref="X137:X153" si="4">IF(AO137="5",BH137,0)</f>
        <v>0</v>
      </c>
      <c r="Z137" s="6">
        <f t="shared" ref="Z137:Z153" si="5">IF(AO137="1",BF137,0)</f>
        <v>0</v>
      </c>
      <c r="AA137" s="6">
        <f t="shared" ref="AA137:AA153" si="6">IF(AO137="1",BG137,0)</f>
        <v>0</v>
      </c>
      <c r="AB137" s="6">
        <f t="shared" ref="AB137:AB153" si="7">IF(AO137="7",BF137,0)</f>
        <v>0</v>
      </c>
      <c r="AC137" s="6">
        <f t="shared" ref="AC137:AC153" si="8">IF(AO137="7",BG137,0)</f>
        <v>0</v>
      </c>
      <c r="AD137" s="6">
        <f t="shared" ref="AD137:AD153" si="9">IF(AO137="2",BF137,0)</f>
        <v>0</v>
      </c>
      <c r="AE137" s="6">
        <f t="shared" ref="AE137:AE153" si="10">IF(AO137="2",BG137,0)</f>
        <v>0</v>
      </c>
      <c r="AF137" s="6">
        <f t="shared" ref="AF137:AF153" si="11">IF(AO137="0",BH137,0)</f>
        <v>0</v>
      </c>
      <c r="AG137" s="13" t="s">
        <v>21</v>
      </c>
      <c r="AH137" s="6">
        <f t="shared" ref="AH137:AH153" si="12">IF(AL137=0,K137,0)</f>
        <v>0</v>
      </c>
      <c r="AI137" s="6">
        <f t="shared" ref="AI137:AI153" si="13">IF(AL137=12,K137,0)</f>
        <v>0</v>
      </c>
      <c r="AJ137" s="6">
        <f t="shared" ref="AJ137:AJ153" si="14">IF(AL137=21,K137,0)</f>
        <v>0</v>
      </c>
      <c r="AL137" s="6">
        <v>21</v>
      </c>
      <c r="AM137" s="6">
        <f>H137*0</f>
        <v>0</v>
      </c>
      <c r="AN137" s="6">
        <f>H137*(1-0)</f>
        <v>0</v>
      </c>
      <c r="AO137" s="23" t="s">
        <v>174</v>
      </c>
      <c r="AT137" s="6">
        <f t="shared" ref="AT137:AT153" si="15">AU137+AV137</f>
        <v>0</v>
      </c>
      <c r="AU137" s="6">
        <f t="shared" ref="AU137:AU153" si="16">G137*AM137</f>
        <v>0</v>
      </c>
      <c r="AV137" s="6">
        <f t="shared" ref="AV137:AV153" si="17">G137*AN137</f>
        <v>0</v>
      </c>
      <c r="AW137" s="23" t="s">
        <v>260</v>
      </c>
      <c r="AX137" s="23" t="s">
        <v>225</v>
      </c>
      <c r="AY137" s="13" t="s">
        <v>105</v>
      </c>
      <c r="BA137" s="6">
        <f t="shared" ref="BA137:BA153" si="18">AU137+AV137</f>
        <v>0</v>
      </c>
      <c r="BB137" s="6">
        <f t="shared" ref="BB137:BB153" si="19">H137/(100-BC137)*100</f>
        <v>0</v>
      </c>
      <c r="BC137" s="6">
        <v>0</v>
      </c>
      <c r="BD137" s="6">
        <f t="shared" ref="BD137:BD153" si="20">M137</f>
        <v>0</v>
      </c>
      <c r="BF137" s="6">
        <f t="shared" ref="BF137:BF153" si="21">G137*AM137</f>
        <v>0</v>
      </c>
      <c r="BG137" s="6">
        <f t="shared" ref="BG137:BG153" si="22">G137*AN137</f>
        <v>0</v>
      </c>
      <c r="BH137" s="6">
        <f t="shared" ref="BH137:BH153" si="23">G137*H137</f>
        <v>0</v>
      </c>
      <c r="BI137" s="6"/>
      <c r="BJ137" s="6">
        <v>766</v>
      </c>
      <c r="BU137" s="6" t="e">
        <f>#REF!</f>
        <v>#REF!</v>
      </c>
      <c r="BV137" s="3" t="s">
        <v>290</v>
      </c>
    </row>
    <row r="138" spans="1:74" ht="25" x14ac:dyDescent="0.35">
      <c r="A138" s="1" t="s">
        <v>291</v>
      </c>
      <c r="B138" s="2" t="s">
        <v>21</v>
      </c>
      <c r="C138" s="2" t="s">
        <v>292</v>
      </c>
      <c r="D138" s="138" t="s">
        <v>293</v>
      </c>
      <c r="E138" s="107"/>
      <c r="F138" s="37" t="s">
        <v>259</v>
      </c>
      <c r="G138" s="6">
        <v>31</v>
      </c>
      <c r="H138" s="147">
        <v>0</v>
      </c>
      <c r="I138" s="6">
        <f t="shared" si="0"/>
        <v>0</v>
      </c>
      <c r="J138" s="6">
        <f t="shared" si="1"/>
        <v>0</v>
      </c>
      <c r="K138" s="6">
        <f t="shared" si="2"/>
        <v>0</v>
      </c>
      <c r="L138" s="6">
        <v>1.7999999999999999E-2</v>
      </c>
      <c r="M138" s="6">
        <f t="shared" si="3"/>
        <v>0.55799999999999994</v>
      </c>
      <c r="N138" s="86" t="s">
        <v>102</v>
      </c>
      <c r="X138" s="6">
        <f t="shared" si="4"/>
        <v>0</v>
      </c>
      <c r="Z138" s="6">
        <f t="shared" si="5"/>
        <v>0</v>
      </c>
      <c r="AA138" s="6">
        <f t="shared" si="6"/>
        <v>0</v>
      </c>
      <c r="AB138" s="6">
        <f t="shared" si="7"/>
        <v>0</v>
      </c>
      <c r="AC138" s="6">
        <f t="shared" si="8"/>
        <v>0</v>
      </c>
      <c r="AD138" s="6">
        <f t="shared" si="9"/>
        <v>0</v>
      </c>
      <c r="AE138" s="6">
        <f t="shared" si="10"/>
        <v>0</v>
      </c>
      <c r="AF138" s="6">
        <f t="shared" si="11"/>
        <v>0</v>
      </c>
      <c r="AG138" s="13" t="s">
        <v>21</v>
      </c>
      <c r="AH138" s="6">
        <f t="shared" si="12"/>
        <v>0</v>
      </c>
      <c r="AI138" s="6">
        <f t="shared" si="13"/>
        <v>0</v>
      </c>
      <c r="AJ138" s="6">
        <f t="shared" si="14"/>
        <v>0</v>
      </c>
      <c r="AL138" s="6">
        <v>21</v>
      </c>
      <c r="AM138" s="6">
        <f t="shared" ref="AM138:AM152" si="24">H138*1</f>
        <v>0</v>
      </c>
      <c r="AN138" s="6">
        <f t="shared" ref="AN138:AN152" si="25">H138*(1-1)</f>
        <v>0</v>
      </c>
      <c r="AO138" s="23" t="s">
        <v>174</v>
      </c>
      <c r="AT138" s="6">
        <f t="shared" si="15"/>
        <v>0</v>
      </c>
      <c r="AU138" s="6">
        <f t="shared" si="16"/>
        <v>0</v>
      </c>
      <c r="AV138" s="6">
        <f t="shared" si="17"/>
        <v>0</v>
      </c>
      <c r="AW138" s="23" t="s">
        <v>260</v>
      </c>
      <c r="AX138" s="23" t="s">
        <v>225</v>
      </c>
      <c r="AY138" s="13" t="s">
        <v>105</v>
      </c>
      <c r="BA138" s="6">
        <f t="shared" si="18"/>
        <v>0</v>
      </c>
      <c r="BB138" s="6">
        <f t="shared" si="19"/>
        <v>0</v>
      </c>
      <c r="BC138" s="6">
        <v>0</v>
      </c>
      <c r="BD138" s="6">
        <f t="shared" si="20"/>
        <v>0.55799999999999994</v>
      </c>
      <c r="BF138" s="6">
        <f t="shared" si="21"/>
        <v>0</v>
      </c>
      <c r="BG138" s="6">
        <f t="shared" si="22"/>
        <v>0</v>
      </c>
      <c r="BH138" s="6">
        <f t="shared" si="23"/>
        <v>0</v>
      </c>
      <c r="BI138" s="6"/>
      <c r="BJ138" s="6">
        <v>766</v>
      </c>
      <c r="BU138" s="6" t="e">
        <f>#REF!</f>
        <v>#REF!</v>
      </c>
      <c r="BV138" s="3" t="s">
        <v>293</v>
      </c>
    </row>
    <row r="139" spans="1:74" ht="25" x14ac:dyDescent="0.35">
      <c r="A139" s="1" t="s">
        <v>294</v>
      </c>
      <c r="B139" s="2" t="s">
        <v>21</v>
      </c>
      <c r="C139" s="2" t="s">
        <v>295</v>
      </c>
      <c r="D139" s="138" t="s">
        <v>296</v>
      </c>
      <c r="E139" s="107"/>
      <c r="F139" s="37" t="s">
        <v>259</v>
      </c>
      <c r="G139" s="6">
        <v>19</v>
      </c>
      <c r="H139" s="147">
        <v>0</v>
      </c>
      <c r="I139" s="6">
        <f t="shared" si="0"/>
        <v>0</v>
      </c>
      <c r="J139" s="6">
        <f t="shared" si="1"/>
        <v>0</v>
      </c>
      <c r="K139" s="6">
        <f t="shared" si="2"/>
        <v>0</v>
      </c>
      <c r="L139" s="6">
        <v>1.7999999999999999E-2</v>
      </c>
      <c r="M139" s="6">
        <f t="shared" si="3"/>
        <v>0.34199999999999997</v>
      </c>
      <c r="N139" s="86" t="s">
        <v>102</v>
      </c>
      <c r="X139" s="6">
        <f t="shared" si="4"/>
        <v>0</v>
      </c>
      <c r="Z139" s="6">
        <f t="shared" si="5"/>
        <v>0</v>
      </c>
      <c r="AA139" s="6">
        <f t="shared" si="6"/>
        <v>0</v>
      </c>
      <c r="AB139" s="6">
        <f t="shared" si="7"/>
        <v>0</v>
      </c>
      <c r="AC139" s="6">
        <f t="shared" si="8"/>
        <v>0</v>
      </c>
      <c r="AD139" s="6">
        <f t="shared" si="9"/>
        <v>0</v>
      </c>
      <c r="AE139" s="6">
        <f t="shared" si="10"/>
        <v>0</v>
      </c>
      <c r="AF139" s="6">
        <f t="shared" si="11"/>
        <v>0</v>
      </c>
      <c r="AG139" s="13" t="s">
        <v>21</v>
      </c>
      <c r="AH139" s="6">
        <f t="shared" si="12"/>
        <v>0</v>
      </c>
      <c r="AI139" s="6">
        <f t="shared" si="13"/>
        <v>0</v>
      </c>
      <c r="AJ139" s="6">
        <f t="shared" si="14"/>
        <v>0</v>
      </c>
      <c r="AL139" s="6">
        <v>21</v>
      </c>
      <c r="AM139" s="6">
        <f t="shared" si="24"/>
        <v>0</v>
      </c>
      <c r="AN139" s="6">
        <f t="shared" si="25"/>
        <v>0</v>
      </c>
      <c r="AO139" s="23" t="s">
        <v>174</v>
      </c>
      <c r="AT139" s="6">
        <f t="shared" si="15"/>
        <v>0</v>
      </c>
      <c r="AU139" s="6">
        <f t="shared" si="16"/>
        <v>0</v>
      </c>
      <c r="AV139" s="6">
        <f t="shared" si="17"/>
        <v>0</v>
      </c>
      <c r="AW139" s="23" t="s">
        <v>260</v>
      </c>
      <c r="AX139" s="23" t="s">
        <v>225</v>
      </c>
      <c r="AY139" s="13" t="s">
        <v>105</v>
      </c>
      <c r="BA139" s="6">
        <f t="shared" si="18"/>
        <v>0</v>
      </c>
      <c r="BB139" s="6">
        <f t="shared" si="19"/>
        <v>0</v>
      </c>
      <c r="BC139" s="6">
        <v>0</v>
      </c>
      <c r="BD139" s="6">
        <f t="shared" si="20"/>
        <v>0.34199999999999997</v>
      </c>
      <c r="BF139" s="6">
        <f t="shared" si="21"/>
        <v>0</v>
      </c>
      <c r="BG139" s="6">
        <f t="shared" si="22"/>
        <v>0</v>
      </c>
      <c r="BH139" s="6">
        <f t="shared" si="23"/>
        <v>0</v>
      </c>
      <c r="BI139" s="6"/>
      <c r="BJ139" s="6">
        <v>766</v>
      </c>
      <c r="BU139" s="6" t="e">
        <f>#REF!</f>
        <v>#REF!</v>
      </c>
      <c r="BV139" s="3" t="s">
        <v>296</v>
      </c>
    </row>
    <row r="140" spans="1:74" ht="25" x14ac:dyDescent="0.35">
      <c r="A140" s="1" t="s">
        <v>297</v>
      </c>
      <c r="B140" s="2" t="s">
        <v>21</v>
      </c>
      <c r="C140" s="2" t="s">
        <v>298</v>
      </c>
      <c r="D140" s="138" t="s">
        <v>299</v>
      </c>
      <c r="E140" s="107"/>
      <c r="F140" s="37" t="s">
        <v>259</v>
      </c>
      <c r="G140" s="6">
        <v>7</v>
      </c>
      <c r="H140" s="147">
        <v>0</v>
      </c>
      <c r="I140" s="6">
        <f t="shared" si="0"/>
        <v>0</v>
      </c>
      <c r="J140" s="6">
        <f t="shared" si="1"/>
        <v>0</v>
      </c>
      <c r="K140" s="6">
        <f t="shared" si="2"/>
        <v>0</v>
      </c>
      <c r="L140" s="6">
        <v>1.7999999999999999E-2</v>
      </c>
      <c r="M140" s="6">
        <f t="shared" si="3"/>
        <v>0.126</v>
      </c>
      <c r="N140" s="86" t="s">
        <v>102</v>
      </c>
      <c r="X140" s="6">
        <f t="shared" si="4"/>
        <v>0</v>
      </c>
      <c r="Z140" s="6">
        <f t="shared" si="5"/>
        <v>0</v>
      </c>
      <c r="AA140" s="6">
        <f t="shared" si="6"/>
        <v>0</v>
      </c>
      <c r="AB140" s="6">
        <f t="shared" si="7"/>
        <v>0</v>
      </c>
      <c r="AC140" s="6">
        <f t="shared" si="8"/>
        <v>0</v>
      </c>
      <c r="AD140" s="6">
        <f t="shared" si="9"/>
        <v>0</v>
      </c>
      <c r="AE140" s="6">
        <f t="shared" si="10"/>
        <v>0</v>
      </c>
      <c r="AF140" s="6">
        <f t="shared" si="11"/>
        <v>0</v>
      </c>
      <c r="AG140" s="13" t="s">
        <v>21</v>
      </c>
      <c r="AH140" s="6">
        <f t="shared" si="12"/>
        <v>0</v>
      </c>
      <c r="AI140" s="6">
        <f t="shared" si="13"/>
        <v>0</v>
      </c>
      <c r="AJ140" s="6">
        <f t="shared" si="14"/>
        <v>0</v>
      </c>
      <c r="AL140" s="6">
        <v>21</v>
      </c>
      <c r="AM140" s="6">
        <f t="shared" si="24"/>
        <v>0</v>
      </c>
      <c r="AN140" s="6">
        <f t="shared" si="25"/>
        <v>0</v>
      </c>
      <c r="AO140" s="23" t="s">
        <v>174</v>
      </c>
      <c r="AT140" s="6">
        <f t="shared" si="15"/>
        <v>0</v>
      </c>
      <c r="AU140" s="6">
        <f t="shared" si="16"/>
        <v>0</v>
      </c>
      <c r="AV140" s="6">
        <f t="shared" si="17"/>
        <v>0</v>
      </c>
      <c r="AW140" s="23" t="s">
        <v>260</v>
      </c>
      <c r="AX140" s="23" t="s">
        <v>225</v>
      </c>
      <c r="AY140" s="13" t="s">
        <v>105</v>
      </c>
      <c r="BA140" s="6">
        <f t="shared" si="18"/>
        <v>0</v>
      </c>
      <c r="BB140" s="6">
        <f t="shared" si="19"/>
        <v>0</v>
      </c>
      <c r="BC140" s="6">
        <v>0</v>
      </c>
      <c r="BD140" s="6">
        <f t="shared" si="20"/>
        <v>0.126</v>
      </c>
      <c r="BF140" s="6">
        <f t="shared" si="21"/>
        <v>0</v>
      </c>
      <c r="BG140" s="6">
        <f t="shared" si="22"/>
        <v>0</v>
      </c>
      <c r="BH140" s="6">
        <f t="shared" si="23"/>
        <v>0</v>
      </c>
      <c r="BI140" s="6"/>
      <c r="BJ140" s="6">
        <v>766</v>
      </c>
      <c r="BU140" s="6" t="e">
        <f>#REF!</f>
        <v>#REF!</v>
      </c>
      <c r="BV140" s="3" t="s">
        <v>299</v>
      </c>
    </row>
    <row r="141" spans="1:74" ht="25" x14ac:dyDescent="0.35">
      <c r="A141" s="1" t="s">
        <v>300</v>
      </c>
      <c r="B141" s="2" t="s">
        <v>21</v>
      </c>
      <c r="C141" s="2" t="s">
        <v>301</v>
      </c>
      <c r="D141" s="138" t="s">
        <v>302</v>
      </c>
      <c r="E141" s="107"/>
      <c r="F141" s="37" t="s">
        <v>259</v>
      </c>
      <c r="G141" s="6">
        <v>6</v>
      </c>
      <c r="H141" s="147">
        <v>0</v>
      </c>
      <c r="I141" s="6">
        <f t="shared" si="0"/>
        <v>0</v>
      </c>
      <c r="J141" s="6">
        <f t="shared" si="1"/>
        <v>0</v>
      </c>
      <c r="K141" s="6">
        <f t="shared" si="2"/>
        <v>0</v>
      </c>
      <c r="L141" s="6">
        <v>1.7999999999999999E-2</v>
      </c>
      <c r="M141" s="6">
        <f t="shared" si="3"/>
        <v>0.10799999999999998</v>
      </c>
      <c r="N141" s="86" t="s">
        <v>102</v>
      </c>
      <c r="X141" s="6">
        <f t="shared" si="4"/>
        <v>0</v>
      </c>
      <c r="Z141" s="6">
        <f t="shared" si="5"/>
        <v>0</v>
      </c>
      <c r="AA141" s="6">
        <f t="shared" si="6"/>
        <v>0</v>
      </c>
      <c r="AB141" s="6">
        <f t="shared" si="7"/>
        <v>0</v>
      </c>
      <c r="AC141" s="6">
        <f t="shared" si="8"/>
        <v>0</v>
      </c>
      <c r="AD141" s="6">
        <f t="shared" si="9"/>
        <v>0</v>
      </c>
      <c r="AE141" s="6">
        <f t="shared" si="10"/>
        <v>0</v>
      </c>
      <c r="AF141" s="6">
        <f t="shared" si="11"/>
        <v>0</v>
      </c>
      <c r="AG141" s="13" t="s">
        <v>21</v>
      </c>
      <c r="AH141" s="6">
        <f t="shared" si="12"/>
        <v>0</v>
      </c>
      <c r="AI141" s="6">
        <f t="shared" si="13"/>
        <v>0</v>
      </c>
      <c r="AJ141" s="6">
        <f t="shared" si="14"/>
        <v>0</v>
      </c>
      <c r="AL141" s="6">
        <v>21</v>
      </c>
      <c r="AM141" s="6">
        <f t="shared" si="24"/>
        <v>0</v>
      </c>
      <c r="AN141" s="6">
        <f t="shared" si="25"/>
        <v>0</v>
      </c>
      <c r="AO141" s="23" t="s">
        <v>174</v>
      </c>
      <c r="AT141" s="6">
        <f t="shared" si="15"/>
        <v>0</v>
      </c>
      <c r="AU141" s="6">
        <f t="shared" si="16"/>
        <v>0</v>
      </c>
      <c r="AV141" s="6">
        <f t="shared" si="17"/>
        <v>0</v>
      </c>
      <c r="AW141" s="23" t="s">
        <v>260</v>
      </c>
      <c r="AX141" s="23" t="s">
        <v>225</v>
      </c>
      <c r="AY141" s="13" t="s">
        <v>105</v>
      </c>
      <c r="BA141" s="6">
        <f t="shared" si="18"/>
        <v>0</v>
      </c>
      <c r="BB141" s="6">
        <f t="shared" si="19"/>
        <v>0</v>
      </c>
      <c r="BC141" s="6">
        <v>0</v>
      </c>
      <c r="BD141" s="6">
        <f t="shared" si="20"/>
        <v>0.10799999999999998</v>
      </c>
      <c r="BF141" s="6">
        <f t="shared" si="21"/>
        <v>0</v>
      </c>
      <c r="BG141" s="6">
        <f t="shared" si="22"/>
        <v>0</v>
      </c>
      <c r="BH141" s="6">
        <f t="shared" si="23"/>
        <v>0</v>
      </c>
      <c r="BI141" s="6"/>
      <c r="BJ141" s="6">
        <v>766</v>
      </c>
      <c r="BU141" s="6" t="e">
        <f>#REF!</f>
        <v>#REF!</v>
      </c>
      <c r="BV141" s="3" t="s">
        <v>302</v>
      </c>
    </row>
    <row r="142" spans="1:74" ht="25" x14ac:dyDescent="0.35">
      <c r="A142" s="1" t="s">
        <v>303</v>
      </c>
      <c r="B142" s="2" t="s">
        <v>21</v>
      </c>
      <c r="C142" s="2" t="s">
        <v>304</v>
      </c>
      <c r="D142" s="138" t="s">
        <v>305</v>
      </c>
      <c r="E142" s="107"/>
      <c r="F142" s="37" t="s">
        <v>259</v>
      </c>
      <c r="G142" s="6">
        <v>6</v>
      </c>
      <c r="H142" s="147">
        <v>0</v>
      </c>
      <c r="I142" s="6">
        <f t="shared" si="0"/>
        <v>0</v>
      </c>
      <c r="J142" s="6">
        <f t="shared" si="1"/>
        <v>0</v>
      </c>
      <c r="K142" s="6">
        <f t="shared" si="2"/>
        <v>0</v>
      </c>
      <c r="L142" s="6">
        <v>8.0000000000000002E-3</v>
      </c>
      <c r="M142" s="6">
        <f t="shared" si="3"/>
        <v>4.8000000000000001E-2</v>
      </c>
      <c r="N142" s="86" t="s">
        <v>102</v>
      </c>
      <c r="X142" s="6">
        <f t="shared" si="4"/>
        <v>0</v>
      </c>
      <c r="Z142" s="6">
        <f t="shared" si="5"/>
        <v>0</v>
      </c>
      <c r="AA142" s="6">
        <f t="shared" si="6"/>
        <v>0</v>
      </c>
      <c r="AB142" s="6">
        <f t="shared" si="7"/>
        <v>0</v>
      </c>
      <c r="AC142" s="6">
        <f t="shared" si="8"/>
        <v>0</v>
      </c>
      <c r="AD142" s="6">
        <f t="shared" si="9"/>
        <v>0</v>
      </c>
      <c r="AE142" s="6">
        <f t="shared" si="10"/>
        <v>0</v>
      </c>
      <c r="AF142" s="6">
        <f t="shared" si="11"/>
        <v>0</v>
      </c>
      <c r="AG142" s="13" t="s">
        <v>21</v>
      </c>
      <c r="AH142" s="6">
        <f t="shared" si="12"/>
        <v>0</v>
      </c>
      <c r="AI142" s="6">
        <f t="shared" si="13"/>
        <v>0</v>
      </c>
      <c r="AJ142" s="6">
        <f t="shared" si="14"/>
        <v>0</v>
      </c>
      <c r="AL142" s="6">
        <v>21</v>
      </c>
      <c r="AM142" s="6">
        <f t="shared" si="24"/>
        <v>0</v>
      </c>
      <c r="AN142" s="6">
        <f t="shared" si="25"/>
        <v>0</v>
      </c>
      <c r="AO142" s="23" t="s">
        <v>174</v>
      </c>
      <c r="AT142" s="6">
        <f t="shared" si="15"/>
        <v>0</v>
      </c>
      <c r="AU142" s="6">
        <f t="shared" si="16"/>
        <v>0</v>
      </c>
      <c r="AV142" s="6">
        <f t="shared" si="17"/>
        <v>0</v>
      </c>
      <c r="AW142" s="23" t="s">
        <v>260</v>
      </c>
      <c r="AX142" s="23" t="s">
        <v>225</v>
      </c>
      <c r="AY142" s="13" t="s">
        <v>105</v>
      </c>
      <c r="BA142" s="6">
        <f t="shared" si="18"/>
        <v>0</v>
      </c>
      <c r="BB142" s="6">
        <f t="shared" si="19"/>
        <v>0</v>
      </c>
      <c r="BC142" s="6">
        <v>0</v>
      </c>
      <c r="BD142" s="6">
        <f t="shared" si="20"/>
        <v>4.8000000000000001E-2</v>
      </c>
      <c r="BF142" s="6">
        <f t="shared" si="21"/>
        <v>0</v>
      </c>
      <c r="BG142" s="6">
        <f t="shared" si="22"/>
        <v>0</v>
      </c>
      <c r="BH142" s="6">
        <f t="shared" si="23"/>
        <v>0</v>
      </c>
      <c r="BI142" s="6"/>
      <c r="BJ142" s="6">
        <v>766</v>
      </c>
      <c r="BU142" s="6" t="e">
        <f>#REF!</f>
        <v>#REF!</v>
      </c>
      <c r="BV142" s="3" t="s">
        <v>305</v>
      </c>
    </row>
    <row r="143" spans="1:74" ht="25" x14ac:dyDescent="0.35">
      <c r="A143" s="1" t="s">
        <v>306</v>
      </c>
      <c r="B143" s="2" t="s">
        <v>21</v>
      </c>
      <c r="C143" s="2" t="s">
        <v>307</v>
      </c>
      <c r="D143" s="138" t="s">
        <v>308</v>
      </c>
      <c r="E143" s="107"/>
      <c r="F143" s="37" t="s">
        <v>259</v>
      </c>
      <c r="G143" s="6">
        <v>5</v>
      </c>
      <c r="H143" s="147">
        <v>0</v>
      </c>
      <c r="I143" s="6">
        <f t="shared" si="0"/>
        <v>0</v>
      </c>
      <c r="J143" s="6">
        <f t="shared" si="1"/>
        <v>0</v>
      </c>
      <c r="K143" s="6">
        <f t="shared" si="2"/>
        <v>0</v>
      </c>
      <c r="L143" s="6">
        <v>8.0000000000000002E-3</v>
      </c>
      <c r="M143" s="6">
        <f t="shared" si="3"/>
        <v>0.04</v>
      </c>
      <c r="N143" s="86" t="s">
        <v>102</v>
      </c>
      <c r="X143" s="6">
        <f t="shared" si="4"/>
        <v>0</v>
      </c>
      <c r="Z143" s="6">
        <f t="shared" si="5"/>
        <v>0</v>
      </c>
      <c r="AA143" s="6">
        <f t="shared" si="6"/>
        <v>0</v>
      </c>
      <c r="AB143" s="6">
        <f t="shared" si="7"/>
        <v>0</v>
      </c>
      <c r="AC143" s="6">
        <f t="shared" si="8"/>
        <v>0</v>
      </c>
      <c r="AD143" s="6">
        <f t="shared" si="9"/>
        <v>0</v>
      </c>
      <c r="AE143" s="6">
        <f t="shared" si="10"/>
        <v>0</v>
      </c>
      <c r="AF143" s="6">
        <f t="shared" si="11"/>
        <v>0</v>
      </c>
      <c r="AG143" s="13" t="s">
        <v>21</v>
      </c>
      <c r="AH143" s="6">
        <f t="shared" si="12"/>
        <v>0</v>
      </c>
      <c r="AI143" s="6">
        <f t="shared" si="13"/>
        <v>0</v>
      </c>
      <c r="AJ143" s="6">
        <f t="shared" si="14"/>
        <v>0</v>
      </c>
      <c r="AL143" s="6">
        <v>21</v>
      </c>
      <c r="AM143" s="6">
        <f t="shared" si="24"/>
        <v>0</v>
      </c>
      <c r="AN143" s="6">
        <f t="shared" si="25"/>
        <v>0</v>
      </c>
      <c r="AO143" s="23" t="s">
        <v>174</v>
      </c>
      <c r="AT143" s="6">
        <f t="shared" si="15"/>
        <v>0</v>
      </c>
      <c r="AU143" s="6">
        <f t="shared" si="16"/>
        <v>0</v>
      </c>
      <c r="AV143" s="6">
        <f t="shared" si="17"/>
        <v>0</v>
      </c>
      <c r="AW143" s="23" t="s">
        <v>260</v>
      </c>
      <c r="AX143" s="23" t="s">
        <v>225</v>
      </c>
      <c r="AY143" s="13" t="s">
        <v>105</v>
      </c>
      <c r="BA143" s="6">
        <f t="shared" si="18"/>
        <v>0</v>
      </c>
      <c r="BB143" s="6">
        <f t="shared" si="19"/>
        <v>0</v>
      </c>
      <c r="BC143" s="6">
        <v>0</v>
      </c>
      <c r="BD143" s="6">
        <f t="shared" si="20"/>
        <v>0.04</v>
      </c>
      <c r="BF143" s="6">
        <f t="shared" si="21"/>
        <v>0</v>
      </c>
      <c r="BG143" s="6">
        <f t="shared" si="22"/>
        <v>0</v>
      </c>
      <c r="BH143" s="6">
        <f t="shared" si="23"/>
        <v>0</v>
      </c>
      <c r="BI143" s="6"/>
      <c r="BJ143" s="6">
        <v>766</v>
      </c>
      <c r="BU143" s="6" t="e">
        <f>#REF!</f>
        <v>#REF!</v>
      </c>
      <c r="BV143" s="3" t="s">
        <v>308</v>
      </c>
    </row>
    <row r="144" spans="1:74" ht="25" x14ac:dyDescent="0.35">
      <c r="A144" s="1" t="s">
        <v>309</v>
      </c>
      <c r="B144" s="2" t="s">
        <v>21</v>
      </c>
      <c r="C144" s="2" t="s">
        <v>310</v>
      </c>
      <c r="D144" s="138" t="s">
        <v>311</v>
      </c>
      <c r="E144" s="107"/>
      <c r="F144" s="37" t="s">
        <v>259</v>
      </c>
      <c r="G144" s="6">
        <v>2</v>
      </c>
      <c r="H144" s="147">
        <v>0</v>
      </c>
      <c r="I144" s="6">
        <f t="shared" si="0"/>
        <v>0</v>
      </c>
      <c r="J144" s="6">
        <f t="shared" si="1"/>
        <v>0</v>
      </c>
      <c r="K144" s="6">
        <f t="shared" si="2"/>
        <v>0</v>
      </c>
      <c r="L144" s="6">
        <v>3.2000000000000001E-2</v>
      </c>
      <c r="M144" s="6">
        <f t="shared" si="3"/>
        <v>6.4000000000000001E-2</v>
      </c>
      <c r="N144" s="86" t="s">
        <v>102</v>
      </c>
      <c r="X144" s="6">
        <f t="shared" si="4"/>
        <v>0</v>
      </c>
      <c r="Z144" s="6">
        <f t="shared" si="5"/>
        <v>0</v>
      </c>
      <c r="AA144" s="6">
        <f t="shared" si="6"/>
        <v>0</v>
      </c>
      <c r="AB144" s="6">
        <f t="shared" si="7"/>
        <v>0</v>
      </c>
      <c r="AC144" s="6">
        <f t="shared" si="8"/>
        <v>0</v>
      </c>
      <c r="AD144" s="6">
        <f t="shared" si="9"/>
        <v>0</v>
      </c>
      <c r="AE144" s="6">
        <f t="shared" si="10"/>
        <v>0</v>
      </c>
      <c r="AF144" s="6">
        <f t="shared" si="11"/>
        <v>0</v>
      </c>
      <c r="AG144" s="13" t="s">
        <v>21</v>
      </c>
      <c r="AH144" s="6">
        <f t="shared" si="12"/>
        <v>0</v>
      </c>
      <c r="AI144" s="6">
        <f t="shared" si="13"/>
        <v>0</v>
      </c>
      <c r="AJ144" s="6">
        <f t="shared" si="14"/>
        <v>0</v>
      </c>
      <c r="AL144" s="6">
        <v>21</v>
      </c>
      <c r="AM144" s="6">
        <f t="shared" si="24"/>
        <v>0</v>
      </c>
      <c r="AN144" s="6">
        <f t="shared" si="25"/>
        <v>0</v>
      </c>
      <c r="AO144" s="23" t="s">
        <v>174</v>
      </c>
      <c r="AT144" s="6">
        <f t="shared" si="15"/>
        <v>0</v>
      </c>
      <c r="AU144" s="6">
        <f t="shared" si="16"/>
        <v>0</v>
      </c>
      <c r="AV144" s="6">
        <f t="shared" si="17"/>
        <v>0</v>
      </c>
      <c r="AW144" s="23" t="s">
        <v>260</v>
      </c>
      <c r="AX144" s="23" t="s">
        <v>225</v>
      </c>
      <c r="AY144" s="13" t="s">
        <v>105</v>
      </c>
      <c r="BA144" s="6">
        <f t="shared" si="18"/>
        <v>0</v>
      </c>
      <c r="BB144" s="6">
        <f t="shared" si="19"/>
        <v>0</v>
      </c>
      <c r="BC144" s="6">
        <v>0</v>
      </c>
      <c r="BD144" s="6">
        <f t="shared" si="20"/>
        <v>6.4000000000000001E-2</v>
      </c>
      <c r="BF144" s="6">
        <f t="shared" si="21"/>
        <v>0</v>
      </c>
      <c r="BG144" s="6">
        <f t="shared" si="22"/>
        <v>0</v>
      </c>
      <c r="BH144" s="6">
        <f t="shared" si="23"/>
        <v>0</v>
      </c>
      <c r="BI144" s="6"/>
      <c r="BJ144" s="6">
        <v>766</v>
      </c>
      <c r="BU144" s="6" t="e">
        <f>#REF!</f>
        <v>#REF!</v>
      </c>
      <c r="BV144" s="3" t="s">
        <v>311</v>
      </c>
    </row>
    <row r="145" spans="1:74" ht="25" x14ac:dyDescent="0.35">
      <c r="A145" s="1" t="s">
        <v>312</v>
      </c>
      <c r="B145" s="2" t="s">
        <v>21</v>
      </c>
      <c r="C145" s="2" t="s">
        <v>313</v>
      </c>
      <c r="D145" s="138" t="s">
        <v>314</v>
      </c>
      <c r="E145" s="107"/>
      <c r="F145" s="37" t="s">
        <v>259</v>
      </c>
      <c r="G145" s="6">
        <v>2</v>
      </c>
      <c r="H145" s="147">
        <v>0</v>
      </c>
      <c r="I145" s="6">
        <f t="shared" si="0"/>
        <v>0</v>
      </c>
      <c r="J145" s="6">
        <f t="shared" si="1"/>
        <v>0</v>
      </c>
      <c r="K145" s="6">
        <f t="shared" si="2"/>
        <v>0</v>
      </c>
      <c r="L145" s="6">
        <v>3.5000000000000003E-2</v>
      </c>
      <c r="M145" s="6">
        <f t="shared" si="3"/>
        <v>7.0000000000000007E-2</v>
      </c>
      <c r="N145" s="86" t="s">
        <v>102</v>
      </c>
      <c r="X145" s="6">
        <f t="shared" si="4"/>
        <v>0</v>
      </c>
      <c r="Z145" s="6">
        <f t="shared" si="5"/>
        <v>0</v>
      </c>
      <c r="AA145" s="6">
        <f t="shared" si="6"/>
        <v>0</v>
      </c>
      <c r="AB145" s="6">
        <f t="shared" si="7"/>
        <v>0</v>
      </c>
      <c r="AC145" s="6">
        <f t="shared" si="8"/>
        <v>0</v>
      </c>
      <c r="AD145" s="6">
        <f t="shared" si="9"/>
        <v>0</v>
      </c>
      <c r="AE145" s="6">
        <f t="shared" si="10"/>
        <v>0</v>
      </c>
      <c r="AF145" s="6">
        <f t="shared" si="11"/>
        <v>0</v>
      </c>
      <c r="AG145" s="13" t="s">
        <v>21</v>
      </c>
      <c r="AH145" s="6">
        <f t="shared" si="12"/>
        <v>0</v>
      </c>
      <c r="AI145" s="6">
        <f t="shared" si="13"/>
        <v>0</v>
      </c>
      <c r="AJ145" s="6">
        <f t="shared" si="14"/>
        <v>0</v>
      </c>
      <c r="AL145" s="6">
        <v>21</v>
      </c>
      <c r="AM145" s="6">
        <f t="shared" si="24"/>
        <v>0</v>
      </c>
      <c r="AN145" s="6">
        <f t="shared" si="25"/>
        <v>0</v>
      </c>
      <c r="AO145" s="23" t="s">
        <v>174</v>
      </c>
      <c r="AT145" s="6">
        <f t="shared" si="15"/>
        <v>0</v>
      </c>
      <c r="AU145" s="6">
        <f t="shared" si="16"/>
        <v>0</v>
      </c>
      <c r="AV145" s="6">
        <f t="shared" si="17"/>
        <v>0</v>
      </c>
      <c r="AW145" s="23" t="s">
        <v>260</v>
      </c>
      <c r="AX145" s="23" t="s">
        <v>225</v>
      </c>
      <c r="AY145" s="13" t="s">
        <v>105</v>
      </c>
      <c r="BA145" s="6">
        <f t="shared" si="18"/>
        <v>0</v>
      </c>
      <c r="BB145" s="6">
        <f t="shared" si="19"/>
        <v>0</v>
      </c>
      <c r="BC145" s="6">
        <v>0</v>
      </c>
      <c r="BD145" s="6">
        <f t="shared" si="20"/>
        <v>7.0000000000000007E-2</v>
      </c>
      <c r="BF145" s="6">
        <f t="shared" si="21"/>
        <v>0</v>
      </c>
      <c r="BG145" s="6">
        <f t="shared" si="22"/>
        <v>0</v>
      </c>
      <c r="BH145" s="6">
        <f t="shared" si="23"/>
        <v>0</v>
      </c>
      <c r="BI145" s="6"/>
      <c r="BJ145" s="6">
        <v>766</v>
      </c>
      <c r="BU145" s="6" t="e">
        <f>#REF!</f>
        <v>#REF!</v>
      </c>
      <c r="BV145" s="3" t="s">
        <v>314</v>
      </c>
    </row>
    <row r="146" spans="1:74" ht="25" x14ac:dyDescent="0.35">
      <c r="A146" s="1" t="s">
        <v>315</v>
      </c>
      <c r="B146" s="2" t="s">
        <v>21</v>
      </c>
      <c r="C146" s="2" t="s">
        <v>316</v>
      </c>
      <c r="D146" s="138" t="s">
        <v>317</v>
      </c>
      <c r="E146" s="107"/>
      <c r="F146" s="37" t="s">
        <v>259</v>
      </c>
      <c r="G146" s="6">
        <v>1</v>
      </c>
      <c r="H146" s="147">
        <v>0</v>
      </c>
      <c r="I146" s="6">
        <f t="shared" si="0"/>
        <v>0</v>
      </c>
      <c r="J146" s="6">
        <f t="shared" si="1"/>
        <v>0</v>
      </c>
      <c r="K146" s="6">
        <f t="shared" si="2"/>
        <v>0</v>
      </c>
      <c r="L146" s="6">
        <v>0.02</v>
      </c>
      <c r="M146" s="6">
        <f t="shared" si="3"/>
        <v>0.02</v>
      </c>
      <c r="N146" s="86" t="s">
        <v>102</v>
      </c>
      <c r="X146" s="6">
        <f t="shared" si="4"/>
        <v>0</v>
      </c>
      <c r="Z146" s="6">
        <f t="shared" si="5"/>
        <v>0</v>
      </c>
      <c r="AA146" s="6">
        <f t="shared" si="6"/>
        <v>0</v>
      </c>
      <c r="AB146" s="6">
        <f t="shared" si="7"/>
        <v>0</v>
      </c>
      <c r="AC146" s="6">
        <f t="shared" si="8"/>
        <v>0</v>
      </c>
      <c r="AD146" s="6">
        <f t="shared" si="9"/>
        <v>0</v>
      </c>
      <c r="AE146" s="6">
        <f t="shared" si="10"/>
        <v>0</v>
      </c>
      <c r="AF146" s="6">
        <f t="shared" si="11"/>
        <v>0</v>
      </c>
      <c r="AG146" s="13" t="s">
        <v>21</v>
      </c>
      <c r="AH146" s="6">
        <f t="shared" si="12"/>
        <v>0</v>
      </c>
      <c r="AI146" s="6">
        <f t="shared" si="13"/>
        <v>0</v>
      </c>
      <c r="AJ146" s="6">
        <f t="shared" si="14"/>
        <v>0</v>
      </c>
      <c r="AL146" s="6">
        <v>21</v>
      </c>
      <c r="AM146" s="6">
        <f t="shared" si="24"/>
        <v>0</v>
      </c>
      <c r="AN146" s="6">
        <f t="shared" si="25"/>
        <v>0</v>
      </c>
      <c r="AO146" s="23" t="s">
        <v>174</v>
      </c>
      <c r="AT146" s="6">
        <f t="shared" si="15"/>
        <v>0</v>
      </c>
      <c r="AU146" s="6">
        <f t="shared" si="16"/>
        <v>0</v>
      </c>
      <c r="AV146" s="6">
        <f t="shared" si="17"/>
        <v>0</v>
      </c>
      <c r="AW146" s="23" t="s">
        <v>260</v>
      </c>
      <c r="AX146" s="23" t="s">
        <v>225</v>
      </c>
      <c r="AY146" s="13" t="s">
        <v>105</v>
      </c>
      <c r="BA146" s="6">
        <f t="shared" si="18"/>
        <v>0</v>
      </c>
      <c r="BB146" s="6">
        <f t="shared" si="19"/>
        <v>0</v>
      </c>
      <c r="BC146" s="6">
        <v>0</v>
      </c>
      <c r="BD146" s="6">
        <f t="shared" si="20"/>
        <v>0.02</v>
      </c>
      <c r="BF146" s="6">
        <f t="shared" si="21"/>
        <v>0</v>
      </c>
      <c r="BG146" s="6">
        <f t="shared" si="22"/>
        <v>0</v>
      </c>
      <c r="BH146" s="6">
        <f t="shared" si="23"/>
        <v>0</v>
      </c>
      <c r="BI146" s="6"/>
      <c r="BJ146" s="6">
        <v>766</v>
      </c>
      <c r="BU146" s="6" t="e">
        <f>#REF!</f>
        <v>#REF!</v>
      </c>
      <c r="BV146" s="3" t="s">
        <v>317</v>
      </c>
    </row>
    <row r="147" spans="1:74" ht="25" x14ac:dyDescent="0.35">
      <c r="A147" s="1" t="s">
        <v>318</v>
      </c>
      <c r="B147" s="2" t="s">
        <v>21</v>
      </c>
      <c r="C147" s="2" t="s">
        <v>319</v>
      </c>
      <c r="D147" s="138" t="s">
        <v>320</v>
      </c>
      <c r="E147" s="107"/>
      <c r="F147" s="37" t="s">
        <v>259</v>
      </c>
      <c r="G147" s="6">
        <v>1</v>
      </c>
      <c r="H147" s="147">
        <v>0</v>
      </c>
      <c r="I147" s="6">
        <f t="shared" si="0"/>
        <v>0</v>
      </c>
      <c r="J147" s="6">
        <f t="shared" si="1"/>
        <v>0</v>
      </c>
      <c r="K147" s="6">
        <f t="shared" si="2"/>
        <v>0</v>
      </c>
      <c r="L147" s="6">
        <v>7.0000000000000001E-3</v>
      </c>
      <c r="M147" s="6">
        <f t="shared" si="3"/>
        <v>7.0000000000000001E-3</v>
      </c>
      <c r="N147" s="86" t="s">
        <v>102</v>
      </c>
      <c r="X147" s="6">
        <f t="shared" si="4"/>
        <v>0</v>
      </c>
      <c r="Z147" s="6">
        <f t="shared" si="5"/>
        <v>0</v>
      </c>
      <c r="AA147" s="6">
        <f t="shared" si="6"/>
        <v>0</v>
      </c>
      <c r="AB147" s="6">
        <f t="shared" si="7"/>
        <v>0</v>
      </c>
      <c r="AC147" s="6">
        <f t="shared" si="8"/>
        <v>0</v>
      </c>
      <c r="AD147" s="6">
        <f t="shared" si="9"/>
        <v>0</v>
      </c>
      <c r="AE147" s="6">
        <f t="shared" si="10"/>
        <v>0</v>
      </c>
      <c r="AF147" s="6">
        <f t="shared" si="11"/>
        <v>0</v>
      </c>
      <c r="AG147" s="13" t="s">
        <v>21</v>
      </c>
      <c r="AH147" s="6">
        <f t="shared" si="12"/>
        <v>0</v>
      </c>
      <c r="AI147" s="6">
        <f t="shared" si="13"/>
        <v>0</v>
      </c>
      <c r="AJ147" s="6">
        <f t="shared" si="14"/>
        <v>0</v>
      </c>
      <c r="AL147" s="6">
        <v>21</v>
      </c>
      <c r="AM147" s="6">
        <f t="shared" si="24"/>
        <v>0</v>
      </c>
      <c r="AN147" s="6">
        <f t="shared" si="25"/>
        <v>0</v>
      </c>
      <c r="AO147" s="23" t="s">
        <v>174</v>
      </c>
      <c r="AT147" s="6">
        <f t="shared" si="15"/>
        <v>0</v>
      </c>
      <c r="AU147" s="6">
        <f t="shared" si="16"/>
        <v>0</v>
      </c>
      <c r="AV147" s="6">
        <f t="shared" si="17"/>
        <v>0</v>
      </c>
      <c r="AW147" s="23" t="s">
        <v>260</v>
      </c>
      <c r="AX147" s="23" t="s">
        <v>225</v>
      </c>
      <c r="AY147" s="13" t="s">
        <v>105</v>
      </c>
      <c r="BA147" s="6">
        <f t="shared" si="18"/>
        <v>0</v>
      </c>
      <c r="BB147" s="6">
        <f t="shared" si="19"/>
        <v>0</v>
      </c>
      <c r="BC147" s="6">
        <v>0</v>
      </c>
      <c r="BD147" s="6">
        <f t="shared" si="20"/>
        <v>7.0000000000000001E-3</v>
      </c>
      <c r="BF147" s="6">
        <f t="shared" si="21"/>
        <v>0</v>
      </c>
      <c r="BG147" s="6">
        <f t="shared" si="22"/>
        <v>0</v>
      </c>
      <c r="BH147" s="6">
        <f t="shared" si="23"/>
        <v>0</v>
      </c>
      <c r="BI147" s="6"/>
      <c r="BJ147" s="6">
        <v>766</v>
      </c>
      <c r="BU147" s="6" t="e">
        <f>#REF!</f>
        <v>#REF!</v>
      </c>
      <c r="BV147" s="3" t="s">
        <v>320</v>
      </c>
    </row>
    <row r="148" spans="1:74" ht="25" x14ac:dyDescent="0.35">
      <c r="A148" s="1" t="s">
        <v>321</v>
      </c>
      <c r="B148" s="2" t="s">
        <v>21</v>
      </c>
      <c r="C148" s="2" t="s">
        <v>322</v>
      </c>
      <c r="D148" s="138" t="s">
        <v>323</v>
      </c>
      <c r="E148" s="107"/>
      <c r="F148" s="37" t="s">
        <v>259</v>
      </c>
      <c r="G148" s="6">
        <v>1</v>
      </c>
      <c r="H148" s="147">
        <v>0</v>
      </c>
      <c r="I148" s="6">
        <f t="shared" si="0"/>
        <v>0</v>
      </c>
      <c r="J148" s="6">
        <f t="shared" si="1"/>
        <v>0</v>
      </c>
      <c r="K148" s="6">
        <f t="shared" si="2"/>
        <v>0</v>
      </c>
      <c r="L148" s="6">
        <v>1.7999999999999999E-2</v>
      </c>
      <c r="M148" s="6">
        <f t="shared" si="3"/>
        <v>1.7999999999999999E-2</v>
      </c>
      <c r="N148" s="86" t="s">
        <v>102</v>
      </c>
      <c r="X148" s="6">
        <f t="shared" si="4"/>
        <v>0</v>
      </c>
      <c r="Z148" s="6">
        <f t="shared" si="5"/>
        <v>0</v>
      </c>
      <c r="AA148" s="6">
        <f t="shared" si="6"/>
        <v>0</v>
      </c>
      <c r="AB148" s="6">
        <f t="shared" si="7"/>
        <v>0</v>
      </c>
      <c r="AC148" s="6">
        <f t="shared" si="8"/>
        <v>0</v>
      </c>
      <c r="AD148" s="6">
        <f t="shared" si="9"/>
        <v>0</v>
      </c>
      <c r="AE148" s="6">
        <f t="shared" si="10"/>
        <v>0</v>
      </c>
      <c r="AF148" s="6">
        <f t="shared" si="11"/>
        <v>0</v>
      </c>
      <c r="AG148" s="13" t="s">
        <v>21</v>
      </c>
      <c r="AH148" s="6">
        <f t="shared" si="12"/>
        <v>0</v>
      </c>
      <c r="AI148" s="6">
        <f t="shared" si="13"/>
        <v>0</v>
      </c>
      <c r="AJ148" s="6">
        <f t="shared" si="14"/>
        <v>0</v>
      </c>
      <c r="AL148" s="6">
        <v>21</v>
      </c>
      <c r="AM148" s="6">
        <f t="shared" si="24"/>
        <v>0</v>
      </c>
      <c r="AN148" s="6">
        <f t="shared" si="25"/>
        <v>0</v>
      </c>
      <c r="AO148" s="23" t="s">
        <v>174</v>
      </c>
      <c r="AT148" s="6">
        <f t="shared" si="15"/>
        <v>0</v>
      </c>
      <c r="AU148" s="6">
        <f t="shared" si="16"/>
        <v>0</v>
      </c>
      <c r="AV148" s="6">
        <f t="shared" si="17"/>
        <v>0</v>
      </c>
      <c r="AW148" s="23" t="s">
        <v>260</v>
      </c>
      <c r="AX148" s="23" t="s">
        <v>225</v>
      </c>
      <c r="AY148" s="13" t="s">
        <v>105</v>
      </c>
      <c r="BA148" s="6">
        <f t="shared" si="18"/>
        <v>0</v>
      </c>
      <c r="BB148" s="6">
        <f t="shared" si="19"/>
        <v>0</v>
      </c>
      <c r="BC148" s="6">
        <v>0</v>
      </c>
      <c r="BD148" s="6">
        <f t="shared" si="20"/>
        <v>1.7999999999999999E-2</v>
      </c>
      <c r="BF148" s="6">
        <f t="shared" si="21"/>
        <v>0</v>
      </c>
      <c r="BG148" s="6">
        <f t="shared" si="22"/>
        <v>0</v>
      </c>
      <c r="BH148" s="6">
        <f t="shared" si="23"/>
        <v>0</v>
      </c>
      <c r="BI148" s="6"/>
      <c r="BJ148" s="6">
        <v>766</v>
      </c>
      <c r="BU148" s="6" t="e">
        <f>#REF!</f>
        <v>#REF!</v>
      </c>
      <c r="BV148" s="3" t="s">
        <v>323</v>
      </c>
    </row>
    <row r="149" spans="1:74" ht="25" x14ac:dyDescent="0.35">
      <c r="A149" s="1" t="s">
        <v>324</v>
      </c>
      <c r="B149" s="2" t="s">
        <v>21</v>
      </c>
      <c r="C149" s="2" t="s">
        <v>325</v>
      </c>
      <c r="D149" s="138" t="s">
        <v>326</v>
      </c>
      <c r="E149" s="107"/>
      <c r="F149" s="37" t="s">
        <v>259</v>
      </c>
      <c r="G149" s="6">
        <v>1</v>
      </c>
      <c r="H149" s="147">
        <v>0</v>
      </c>
      <c r="I149" s="6">
        <f t="shared" si="0"/>
        <v>0</v>
      </c>
      <c r="J149" s="6">
        <f t="shared" si="1"/>
        <v>0</v>
      </c>
      <c r="K149" s="6">
        <f t="shared" si="2"/>
        <v>0</v>
      </c>
      <c r="L149" s="6">
        <v>0.19</v>
      </c>
      <c r="M149" s="6">
        <f t="shared" si="3"/>
        <v>0.19</v>
      </c>
      <c r="N149" s="86" t="s">
        <v>102</v>
      </c>
      <c r="X149" s="6">
        <f t="shared" si="4"/>
        <v>0</v>
      </c>
      <c r="Z149" s="6">
        <f t="shared" si="5"/>
        <v>0</v>
      </c>
      <c r="AA149" s="6">
        <f t="shared" si="6"/>
        <v>0</v>
      </c>
      <c r="AB149" s="6">
        <f t="shared" si="7"/>
        <v>0</v>
      </c>
      <c r="AC149" s="6">
        <f t="shared" si="8"/>
        <v>0</v>
      </c>
      <c r="AD149" s="6">
        <f t="shared" si="9"/>
        <v>0</v>
      </c>
      <c r="AE149" s="6">
        <f t="shared" si="10"/>
        <v>0</v>
      </c>
      <c r="AF149" s="6">
        <f t="shared" si="11"/>
        <v>0</v>
      </c>
      <c r="AG149" s="13" t="s">
        <v>21</v>
      </c>
      <c r="AH149" s="6">
        <f t="shared" si="12"/>
        <v>0</v>
      </c>
      <c r="AI149" s="6">
        <f t="shared" si="13"/>
        <v>0</v>
      </c>
      <c r="AJ149" s="6">
        <f t="shared" si="14"/>
        <v>0</v>
      </c>
      <c r="AL149" s="6">
        <v>21</v>
      </c>
      <c r="AM149" s="6">
        <f t="shared" si="24"/>
        <v>0</v>
      </c>
      <c r="AN149" s="6">
        <f t="shared" si="25"/>
        <v>0</v>
      </c>
      <c r="AO149" s="23" t="s">
        <v>174</v>
      </c>
      <c r="AT149" s="6">
        <f t="shared" si="15"/>
        <v>0</v>
      </c>
      <c r="AU149" s="6">
        <f t="shared" si="16"/>
        <v>0</v>
      </c>
      <c r="AV149" s="6">
        <f t="shared" si="17"/>
        <v>0</v>
      </c>
      <c r="AW149" s="23" t="s">
        <v>260</v>
      </c>
      <c r="AX149" s="23" t="s">
        <v>225</v>
      </c>
      <c r="AY149" s="13" t="s">
        <v>105</v>
      </c>
      <c r="BA149" s="6">
        <f t="shared" si="18"/>
        <v>0</v>
      </c>
      <c r="BB149" s="6">
        <f t="shared" si="19"/>
        <v>0</v>
      </c>
      <c r="BC149" s="6">
        <v>0</v>
      </c>
      <c r="BD149" s="6">
        <f t="shared" si="20"/>
        <v>0.19</v>
      </c>
      <c r="BF149" s="6">
        <f t="shared" si="21"/>
        <v>0</v>
      </c>
      <c r="BG149" s="6">
        <f t="shared" si="22"/>
        <v>0</v>
      </c>
      <c r="BH149" s="6">
        <f t="shared" si="23"/>
        <v>0</v>
      </c>
      <c r="BI149" s="6"/>
      <c r="BJ149" s="6">
        <v>766</v>
      </c>
      <c r="BU149" s="6" t="e">
        <f>#REF!</f>
        <v>#REF!</v>
      </c>
      <c r="BV149" s="3" t="s">
        <v>326</v>
      </c>
    </row>
    <row r="150" spans="1:74" ht="25" x14ac:dyDescent="0.35">
      <c r="A150" s="1" t="s">
        <v>327</v>
      </c>
      <c r="B150" s="2" t="s">
        <v>21</v>
      </c>
      <c r="C150" s="2" t="s">
        <v>328</v>
      </c>
      <c r="D150" s="138" t="s">
        <v>329</v>
      </c>
      <c r="E150" s="107"/>
      <c r="F150" s="37" t="s">
        <v>259</v>
      </c>
      <c r="G150" s="6">
        <v>1</v>
      </c>
      <c r="H150" s="147">
        <v>0</v>
      </c>
      <c r="I150" s="6">
        <f t="shared" si="0"/>
        <v>0</v>
      </c>
      <c r="J150" s="6">
        <f t="shared" si="1"/>
        <v>0</v>
      </c>
      <c r="K150" s="6">
        <f t="shared" si="2"/>
        <v>0</v>
      </c>
      <c r="L150" s="6">
        <v>0.16</v>
      </c>
      <c r="M150" s="6">
        <f t="shared" si="3"/>
        <v>0.16</v>
      </c>
      <c r="N150" s="86" t="s">
        <v>102</v>
      </c>
      <c r="X150" s="6">
        <f t="shared" si="4"/>
        <v>0</v>
      </c>
      <c r="Z150" s="6">
        <f t="shared" si="5"/>
        <v>0</v>
      </c>
      <c r="AA150" s="6">
        <f t="shared" si="6"/>
        <v>0</v>
      </c>
      <c r="AB150" s="6">
        <f t="shared" si="7"/>
        <v>0</v>
      </c>
      <c r="AC150" s="6">
        <f t="shared" si="8"/>
        <v>0</v>
      </c>
      <c r="AD150" s="6">
        <f t="shared" si="9"/>
        <v>0</v>
      </c>
      <c r="AE150" s="6">
        <f t="shared" si="10"/>
        <v>0</v>
      </c>
      <c r="AF150" s="6">
        <f t="shared" si="11"/>
        <v>0</v>
      </c>
      <c r="AG150" s="13" t="s">
        <v>21</v>
      </c>
      <c r="AH150" s="6">
        <f t="shared" si="12"/>
        <v>0</v>
      </c>
      <c r="AI150" s="6">
        <f t="shared" si="13"/>
        <v>0</v>
      </c>
      <c r="AJ150" s="6">
        <f t="shared" si="14"/>
        <v>0</v>
      </c>
      <c r="AL150" s="6">
        <v>21</v>
      </c>
      <c r="AM150" s="6">
        <f t="shared" si="24"/>
        <v>0</v>
      </c>
      <c r="AN150" s="6">
        <f t="shared" si="25"/>
        <v>0</v>
      </c>
      <c r="AO150" s="23" t="s">
        <v>174</v>
      </c>
      <c r="AT150" s="6">
        <f t="shared" si="15"/>
        <v>0</v>
      </c>
      <c r="AU150" s="6">
        <f t="shared" si="16"/>
        <v>0</v>
      </c>
      <c r="AV150" s="6">
        <f t="shared" si="17"/>
        <v>0</v>
      </c>
      <c r="AW150" s="23" t="s">
        <v>260</v>
      </c>
      <c r="AX150" s="23" t="s">
        <v>225</v>
      </c>
      <c r="AY150" s="13" t="s">
        <v>105</v>
      </c>
      <c r="BA150" s="6">
        <f t="shared" si="18"/>
        <v>0</v>
      </c>
      <c r="BB150" s="6">
        <f t="shared" si="19"/>
        <v>0</v>
      </c>
      <c r="BC150" s="6">
        <v>0</v>
      </c>
      <c r="BD150" s="6">
        <f t="shared" si="20"/>
        <v>0.16</v>
      </c>
      <c r="BF150" s="6">
        <f t="shared" si="21"/>
        <v>0</v>
      </c>
      <c r="BG150" s="6">
        <f t="shared" si="22"/>
        <v>0</v>
      </c>
      <c r="BH150" s="6">
        <f t="shared" si="23"/>
        <v>0</v>
      </c>
      <c r="BI150" s="6"/>
      <c r="BJ150" s="6">
        <v>766</v>
      </c>
      <c r="BU150" s="6" t="e">
        <f>#REF!</f>
        <v>#REF!</v>
      </c>
      <c r="BV150" s="3" t="s">
        <v>329</v>
      </c>
    </row>
    <row r="151" spans="1:74" ht="25" x14ac:dyDescent="0.35">
      <c r="A151" s="1" t="s">
        <v>330</v>
      </c>
      <c r="B151" s="2" t="s">
        <v>21</v>
      </c>
      <c r="C151" s="2" t="s">
        <v>331</v>
      </c>
      <c r="D151" s="138" t="s">
        <v>332</v>
      </c>
      <c r="E151" s="107"/>
      <c r="F151" s="37" t="s">
        <v>259</v>
      </c>
      <c r="G151" s="6">
        <v>1</v>
      </c>
      <c r="H151" s="147">
        <v>0</v>
      </c>
      <c r="I151" s="6">
        <f t="shared" si="0"/>
        <v>0</v>
      </c>
      <c r="J151" s="6">
        <f t="shared" si="1"/>
        <v>0</v>
      </c>
      <c r="K151" s="6">
        <f t="shared" si="2"/>
        <v>0</v>
      </c>
      <c r="L151" s="6">
        <v>0.22</v>
      </c>
      <c r="M151" s="6">
        <f t="shared" si="3"/>
        <v>0.22</v>
      </c>
      <c r="N151" s="86" t="s">
        <v>102</v>
      </c>
      <c r="X151" s="6">
        <f t="shared" si="4"/>
        <v>0</v>
      </c>
      <c r="Z151" s="6">
        <f t="shared" si="5"/>
        <v>0</v>
      </c>
      <c r="AA151" s="6">
        <f t="shared" si="6"/>
        <v>0</v>
      </c>
      <c r="AB151" s="6">
        <f t="shared" si="7"/>
        <v>0</v>
      </c>
      <c r="AC151" s="6">
        <f t="shared" si="8"/>
        <v>0</v>
      </c>
      <c r="AD151" s="6">
        <f t="shared" si="9"/>
        <v>0</v>
      </c>
      <c r="AE151" s="6">
        <f t="shared" si="10"/>
        <v>0</v>
      </c>
      <c r="AF151" s="6">
        <f t="shared" si="11"/>
        <v>0</v>
      </c>
      <c r="AG151" s="13" t="s">
        <v>21</v>
      </c>
      <c r="AH151" s="6">
        <f t="shared" si="12"/>
        <v>0</v>
      </c>
      <c r="AI151" s="6">
        <f t="shared" si="13"/>
        <v>0</v>
      </c>
      <c r="AJ151" s="6">
        <f t="shared" si="14"/>
        <v>0</v>
      </c>
      <c r="AL151" s="6">
        <v>21</v>
      </c>
      <c r="AM151" s="6">
        <f t="shared" si="24"/>
        <v>0</v>
      </c>
      <c r="AN151" s="6">
        <f t="shared" si="25"/>
        <v>0</v>
      </c>
      <c r="AO151" s="23" t="s">
        <v>174</v>
      </c>
      <c r="AT151" s="6">
        <f t="shared" si="15"/>
        <v>0</v>
      </c>
      <c r="AU151" s="6">
        <f t="shared" si="16"/>
        <v>0</v>
      </c>
      <c r="AV151" s="6">
        <f t="shared" si="17"/>
        <v>0</v>
      </c>
      <c r="AW151" s="23" t="s">
        <v>260</v>
      </c>
      <c r="AX151" s="23" t="s">
        <v>225</v>
      </c>
      <c r="AY151" s="13" t="s">
        <v>105</v>
      </c>
      <c r="BA151" s="6">
        <f t="shared" si="18"/>
        <v>0</v>
      </c>
      <c r="BB151" s="6">
        <f t="shared" si="19"/>
        <v>0</v>
      </c>
      <c r="BC151" s="6">
        <v>0</v>
      </c>
      <c r="BD151" s="6">
        <f t="shared" si="20"/>
        <v>0.22</v>
      </c>
      <c r="BF151" s="6">
        <f t="shared" si="21"/>
        <v>0</v>
      </c>
      <c r="BG151" s="6">
        <f t="shared" si="22"/>
        <v>0</v>
      </c>
      <c r="BH151" s="6">
        <f t="shared" si="23"/>
        <v>0</v>
      </c>
      <c r="BI151" s="6"/>
      <c r="BJ151" s="6">
        <v>766</v>
      </c>
      <c r="BU151" s="6" t="e">
        <f>#REF!</f>
        <v>#REF!</v>
      </c>
      <c r="BV151" s="3" t="s">
        <v>332</v>
      </c>
    </row>
    <row r="152" spans="1:74" ht="25" x14ac:dyDescent="0.35">
      <c r="A152" s="1" t="s">
        <v>333</v>
      </c>
      <c r="B152" s="2" t="s">
        <v>21</v>
      </c>
      <c r="C152" s="2" t="s">
        <v>334</v>
      </c>
      <c r="D152" s="138" t="s">
        <v>335</v>
      </c>
      <c r="E152" s="107"/>
      <c r="F152" s="37" t="s">
        <v>259</v>
      </c>
      <c r="G152" s="6">
        <v>1</v>
      </c>
      <c r="H152" s="147">
        <v>0</v>
      </c>
      <c r="I152" s="6">
        <f t="shared" si="0"/>
        <v>0</v>
      </c>
      <c r="J152" s="6">
        <f t="shared" si="1"/>
        <v>0</v>
      </c>
      <c r="K152" s="6">
        <f t="shared" si="2"/>
        <v>0</v>
      </c>
      <c r="L152" s="6">
        <v>7.0000000000000007E-2</v>
      </c>
      <c r="M152" s="6">
        <f t="shared" si="3"/>
        <v>7.0000000000000007E-2</v>
      </c>
      <c r="N152" s="86" t="s">
        <v>102</v>
      </c>
      <c r="X152" s="6">
        <f t="shared" si="4"/>
        <v>0</v>
      </c>
      <c r="Z152" s="6">
        <f t="shared" si="5"/>
        <v>0</v>
      </c>
      <c r="AA152" s="6">
        <f t="shared" si="6"/>
        <v>0</v>
      </c>
      <c r="AB152" s="6">
        <f t="shared" si="7"/>
        <v>0</v>
      </c>
      <c r="AC152" s="6">
        <f t="shared" si="8"/>
        <v>0</v>
      </c>
      <c r="AD152" s="6">
        <f t="shared" si="9"/>
        <v>0</v>
      </c>
      <c r="AE152" s="6">
        <f t="shared" si="10"/>
        <v>0</v>
      </c>
      <c r="AF152" s="6">
        <f t="shared" si="11"/>
        <v>0</v>
      </c>
      <c r="AG152" s="13" t="s">
        <v>21</v>
      </c>
      <c r="AH152" s="6">
        <f t="shared" si="12"/>
        <v>0</v>
      </c>
      <c r="AI152" s="6">
        <f t="shared" si="13"/>
        <v>0</v>
      </c>
      <c r="AJ152" s="6">
        <f t="shared" si="14"/>
        <v>0</v>
      </c>
      <c r="AL152" s="6">
        <v>21</v>
      </c>
      <c r="AM152" s="6">
        <f t="shared" si="24"/>
        <v>0</v>
      </c>
      <c r="AN152" s="6">
        <f t="shared" si="25"/>
        <v>0</v>
      </c>
      <c r="AO152" s="23" t="s">
        <v>174</v>
      </c>
      <c r="AT152" s="6">
        <f t="shared" si="15"/>
        <v>0</v>
      </c>
      <c r="AU152" s="6">
        <f t="shared" si="16"/>
        <v>0</v>
      </c>
      <c r="AV152" s="6">
        <f t="shared" si="17"/>
        <v>0</v>
      </c>
      <c r="AW152" s="23" t="s">
        <v>260</v>
      </c>
      <c r="AX152" s="23" t="s">
        <v>225</v>
      </c>
      <c r="AY152" s="13" t="s">
        <v>105</v>
      </c>
      <c r="BA152" s="6">
        <f t="shared" si="18"/>
        <v>0</v>
      </c>
      <c r="BB152" s="6">
        <f t="shared" si="19"/>
        <v>0</v>
      </c>
      <c r="BC152" s="6">
        <v>0</v>
      </c>
      <c r="BD152" s="6">
        <f t="shared" si="20"/>
        <v>7.0000000000000007E-2</v>
      </c>
      <c r="BF152" s="6">
        <f t="shared" si="21"/>
        <v>0</v>
      </c>
      <c r="BG152" s="6">
        <f t="shared" si="22"/>
        <v>0</v>
      </c>
      <c r="BH152" s="6">
        <f t="shared" si="23"/>
        <v>0</v>
      </c>
      <c r="BI152" s="6"/>
      <c r="BJ152" s="6">
        <v>766</v>
      </c>
      <c r="BU152" s="6" t="e">
        <f>#REF!</f>
        <v>#REF!</v>
      </c>
      <c r="BV152" s="3" t="s">
        <v>335</v>
      </c>
    </row>
    <row r="153" spans="1:74" ht="14.5" x14ac:dyDescent="0.35">
      <c r="A153" s="1" t="s">
        <v>336</v>
      </c>
      <c r="B153" s="2" t="s">
        <v>21</v>
      </c>
      <c r="C153" s="2" t="s">
        <v>337</v>
      </c>
      <c r="D153" s="138" t="s">
        <v>338</v>
      </c>
      <c r="E153" s="107"/>
      <c r="F153" s="37" t="s">
        <v>259</v>
      </c>
      <c r="G153" s="6">
        <v>12</v>
      </c>
      <c r="H153" s="147">
        <v>0</v>
      </c>
      <c r="I153" s="6">
        <f t="shared" si="0"/>
        <v>0</v>
      </c>
      <c r="J153" s="6">
        <f t="shared" si="1"/>
        <v>0</v>
      </c>
      <c r="K153" s="6">
        <f t="shared" si="2"/>
        <v>0</v>
      </c>
      <c r="L153" s="6">
        <v>1.0000000000000001E-5</v>
      </c>
      <c r="M153" s="6">
        <f t="shared" si="3"/>
        <v>1.2000000000000002E-4</v>
      </c>
      <c r="N153" s="86" t="s">
        <v>129</v>
      </c>
      <c r="X153" s="6">
        <f t="shared" si="4"/>
        <v>0</v>
      </c>
      <c r="Z153" s="6">
        <f t="shared" si="5"/>
        <v>0</v>
      </c>
      <c r="AA153" s="6">
        <f t="shared" si="6"/>
        <v>0</v>
      </c>
      <c r="AB153" s="6">
        <f t="shared" si="7"/>
        <v>0</v>
      </c>
      <c r="AC153" s="6">
        <f t="shared" si="8"/>
        <v>0</v>
      </c>
      <c r="AD153" s="6">
        <f t="shared" si="9"/>
        <v>0</v>
      </c>
      <c r="AE153" s="6">
        <f t="shared" si="10"/>
        <v>0</v>
      </c>
      <c r="AF153" s="6">
        <f t="shared" si="11"/>
        <v>0</v>
      </c>
      <c r="AG153" s="13" t="s">
        <v>21</v>
      </c>
      <c r="AH153" s="6">
        <f t="shared" si="12"/>
        <v>0</v>
      </c>
      <c r="AI153" s="6">
        <f t="shared" si="13"/>
        <v>0</v>
      </c>
      <c r="AJ153" s="6">
        <f t="shared" si="14"/>
        <v>0</v>
      </c>
      <c r="AL153" s="6">
        <v>21</v>
      </c>
      <c r="AM153" s="6">
        <f>H153*0.024568765</f>
        <v>0</v>
      </c>
      <c r="AN153" s="6">
        <f>H153*(1-0.024568765)</f>
        <v>0</v>
      </c>
      <c r="AO153" s="23" t="s">
        <v>174</v>
      </c>
      <c r="AT153" s="6">
        <f t="shared" si="15"/>
        <v>0</v>
      </c>
      <c r="AU153" s="6">
        <f t="shared" si="16"/>
        <v>0</v>
      </c>
      <c r="AV153" s="6">
        <f t="shared" si="17"/>
        <v>0</v>
      </c>
      <c r="AW153" s="23" t="s">
        <v>260</v>
      </c>
      <c r="AX153" s="23" t="s">
        <v>225</v>
      </c>
      <c r="AY153" s="13" t="s">
        <v>105</v>
      </c>
      <c r="BA153" s="6">
        <f t="shared" si="18"/>
        <v>0</v>
      </c>
      <c r="BB153" s="6">
        <f t="shared" si="19"/>
        <v>0</v>
      </c>
      <c r="BC153" s="6">
        <v>0</v>
      </c>
      <c r="BD153" s="6">
        <f t="shared" si="20"/>
        <v>1.2000000000000002E-4</v>
      </c>
      <c r="BF153" s="6">
        <f t="shared" si="21"/>
        <v>0</v>
      </c>
      <c r="BG153" s="6">
        <f t="shared" si="22"/>
        <v>0</v>
      </c>
      <c r="BH153" s="6">
        <f t="shared" si="23"/>
        <v>0</v>
      </c>
      <c r="BI153" s="6"/>
      <c r="BJ153" s="6">
        <v>766</v>
      </c>
      <c r="BU153" s="6" t="e">
        <f>#REF!</f>
        <v>#REF!</v>
      </c>
      <c r="BV153" s="3" t="s">
        <v>338</v>
      </c>
    </row>
    <row r="154" spans="1:74" ht="14.5" x14ac:dyDescent="0.35">
      <c r="A154" s="24"/>
      <c r="D154" s="25" t="s">
        <v>261</v>
      </c>
      <c r="E154" s="26" t="s">
        <v>339</v>
      </c>
      <c r="G154" s="27">
        <v>12</v>
      </c>
      <c r="N154" s="87"/>
    </row>
    <row r="155" spans="1:74" ht="14.5" x14ac:dyDescent="0.35">
      <c r="A155" s="1" t="s">
        <v>340</v>
      </c>
      <c r="B155" s="2" t="s">
        <v>21</v>
      </c>
      <c r="C155" s="2" t="s">
        <v>341</v>
      </c>
      <c r="D155" s="138" t="s">
        <v>342</v>
      </c>
      <c r="E155" s="107"/>
      <c r="F155" s="37" t="s">
        <v>259</v>
      </c>
      <c r="G155" s="6">
        <v>67</v>
      </c>
      <c r="H155" s="147">
        <v>0</v>
      </c>
      <c r="I155" s="6">
        <f>G155*AM155</f>
        <v>0</v>
      </c>
      <c r="J155" s="6">
        <f>G155*AN155</f>
        <v>0</v>
      </c>
      <c r="K155" s="6">
        <f>G155*H155</f>
        <v>0</v>
      </c>
      <c r="L155" s="6">
        <v>1.0000000000000001E-5</v>
      </c>
      <c r="M155" s="6">
        <f>G155*L155</f>
        <v>6.7000000000000002E-4</v>
      </c>
      <c r="N155" s="86" t="s">
        <v>129</v>
      </c>
      <c r="X155" s="6">
        <f>IF(AO155="5",BH155,0)</f>
        <v>0</v>
      </c>
      <c r="Z155" s="6">
        <f>IF(AO155="1",BF155,0)</f>
        <v>0</v>
      </c>
      <c r="AA155" s="6">
        <f>IF(AO155="1",BG155,0)</f>
        <v>0</v>
      </c>
      <c r="AB155" s="6">
        <f>IF(AO155="7",BF155,0)</f>
        <v>0</v>
      </c>
      <c r="AC155" s="6">
        <f>IF(AO155="7",BG155,0)</f>
        <v>0</v>
      </c>
      <c r="AD155" s="6">
        <f>IF(AO155="2",BF155,0)</f>
        <v>0</v>
      </c>
      <c r="AE155" s="6">
        <f>IF(AO155="2",BG155,0)</f>
        <v>0</v>
      </c>
      <c r="AF155" s="6">
        <f>IF(AO155="0",BH155,0)</f>
        <v>0</v>
      </c>
      <c r="AG155" s="13" t="s">
        <v>21</v>
      </c>
      <c r="AH155" s="6">
        <f>IF(AL155=0,K155,0)</f>
        <v>0</v>
      </c>
      <c r="AI155" s="6">
        <f>IF(AL155=12,K155,0)</f>
        <v>0</v>
      </c>
      <c r="AJ155" s="6">
        <f>IF(AL155=21,K155,0)</f>
        <v>0</v>
      </c>
      <c r="AL155" s="6">
        <v>21</v>
      </c>
      <c r="AM155" s="6">
        <f>H155*0.027275862</f>
        <v>0</v>
      </c>
      <c r="AN155" s="6">
        <f>H155*(1-0.027275862)</f>
        <v>0</v>
      </c>
      <c r="AO155" s="23" t="s">
        <v>174</v>
      </c>
      <c r="AT155" s="6">
        <f>AU155+AV155</f>
        <v>0</v>
      </c>
      <c r="AU155" s="6">
        <f>G155*AM155</f>
        <v>0</v>
      </c>
      <c r="AV155" s="6">
        <f>G155*AN155</f>
        <v>0</v>
      </c>
      <c r="AW155" s="23" t="s">
        <v>260</v>
      </c>
      <c r="AX155" s="23" t="s">
        <v>225</v>
      </c>
      <c r="AY155" s="13" t="s">
        <v>105</v>
      </c>
      <c r="BA155" s="6">
        <f>AU155+AV155</f>
        <v>0</v>
      </c>
      <c r="BB155" s="6">
        <f>H155/(100-BC155)*100</f>
        <v>0</v>
      </c>
      <c r="BC155" s="6">
        <v>0</v>
      </c>
      <c r="BD155" s="6">
        <f>M155</f>
        <v>6.7000000000000002E-4</v>
      </c>
      <c r="BF155" s="6">
        <f>G155*AM155</f>
        <v>0</v>
      </c>
      <c r="BG155" s="6">
        <f>G155*AN155</f>
        <v>0</v>
      </c>
      <c r="BH155" s="6">
        <f>G155*H155</f>
        <v>0</v>
      </c>
      <c r="BI155" s="6"/>
      <c r="BJ155" s="6">
        <v>766</v>
      </c>
      <c r="BU155" s="6" t="e">
        <f>#REF!</f>
        <v>#REF!</v>
      </c>
      <c r="BV155" s="3" t="s">
        <v>342</v>
      </c>
    </row>
    <row r="156" spans="1:74" ht="14.5" x14ac:dyDescent="0.35">
      <c r="A156" s="24"/>
      <c r="D156" s="25" t="s">
        <v>343</v>
      </c>
      <c r="E156" s="26" t="s">
        <v>344</v>
      </c>
      <c r="G156" s="27">
        <v>67</v>
      </c>
      <c r="N156" s="87"/>
    </row>
    <row r="157" spans="1:74" ht="14.5" x14ac:dyDescent="0.35">
      <c r="A157" s="1" t="s">
        <v>345</v>
      </c>
      <c r="B157" s="2" t="s">
        <v>21</v>
      </c>
      <c r="C157" s="2" t="s">
        <v>346</v>
      </c>
      <c r="D157" s="138" t="s">
        <v>347</v>
      </c>
      <c r="E157" s="107"/>
      <c r="F157" s="37" t="s">
        <v>259</v>
      </c>
      <c r="G157" s="6">
        <v>2</v>
      </c>
      <c r="H157" s="147">
        <v>0</v>
      </c>
      <c r="I157" s="6">
        <f>G157*AM157</f>
        <v>0</v>
      </c>
      <c r="J157" s="6">
        <f>G157*AN157</f>
        <v>0</v>
      </c>
      <c r="K157" s="6">
        <f>G157*H157</f>
        <v>0</v>
      </c>
      <c r="L157" s="6">
        <v>2.0000000000000002E-5</v>
      </c>
      <c r="M157" s="6">
        <f>G157*L157</f>
        <v>4.0000000000000003E-5</v>
      </c>
      <c r="N157" s="86" t="s">
        <v>129</v>
      </c>
      <c r="X157" s="6">
        <f>IF(AO157="5",BH157,0)</f>
        <v>0</v>
      </c>
      <c r="Z157" s="6">
        <f>IF(AO157="1",BF157,0)</f>
        <v>0</v>
      </c>
      <c r="AA157" s="6">
        <f>IF(AO157="1",BG157,0)</f>
        <v>0</v>
      </c>
      <c r="AB157" s="6">
        <f>IF(AO157="7",BF157,0)</f>
        <v>0</v>
      </c>
      <c r="AC157" s="6">
        <f>IF(AO157="7",BG157,0)</f>
        <v>0</v>
      </c>
      <c r="AD157" s="6">
        <f>IF(AO157="2",BF157,0)</f>
        <v>0</v>
      </c>
      <c r="AE157" s="6">
        <f>IF(AO157="2",BG157,0)</f>
        <v>0</v>
      </c>
      <c r="AF157" s="6">
        <f>IF(AO157="0",BH157,0)</f>
        <v>0</v>
      </c>
      <c r="AG157" s="13" t="s">
        <v>21</v>
      </c>
      <c r="AH157" s="6">
        <f>IF(AL157=0,K157,0)</f>
        <v>0</v>
      </c>
      <c r="AI157" s="6">
        <f>IF(AL157=12,K157,0)</f>
        <v>0</v>
      </c>
      <c r="AJ157" s="6">
        <f>IF(AL157=21,K157,0)</f>
        <v>0</v>
      </c>
      <c r="AL157" s="6">
        <v>21</v>
      </c>
      <c r="AM157" s="6">
        <f>H157*0.026853503</f>
        <v>0</v>
      </c>
      <c r="AN157" s="6">
        <f>H157*(1-0.026853503)</f>
        <v>0</v>
      </c>
      <c r="AO157" s="23" t="s">
        <v>174</v>
      </c>
      <c r="AT157" s="6">
        <f>AU157+AV157</f>
        <v>0</v>
      </c>
      <c r="AU157" s="6">
        <f>G157*AM157</f>
        <v>0</v>
      </c>
      <c r="AV157" s="6">
        <f>G157*AN157</f>
        <v>0</v>
      </c>
      <c r="AW157" s="23" t="s">
        <v>260</v>
      </c>
      <c r="AX157" s="23" t="s">
        <v>225</v>
      </c>
      <c r="AY157" s="13" t="s">
        <v>105</v>
      </c>
      <c r="BA157" s="6">
        <f>AU157+AV157</f>
        <v>0</v>
      </c>
      <c r="BB157" s="6">
        <f>H157/(100-BC157)*100</f>
        <v>0</v>
      </c>
      <c r="BC157" s="6">
        <v>0</v>
      </c>
      <c r="BD157" s="6">
        <f>M157</f>
        <v>4.0000000000000003E-5</v>
      </c>
      <c r="BF157" s="6">
        <f>G157*AM157</f>
        <v>0</v>
      </c>
      <c r="BG157" s="6">
        <f>G157*AN157</f>
        <v>0</v>
      </c>
      <c r="BH157" s="6">
        <f>G157*H157</f>
        <v>0</v>
      </c>
      <c r="BI157" s="6"/>
      <c r="BJ157" s="6">
        <v>766</v>
      </c>
      <c r="BU157" s="6" t="e">
        <f>#REF!</f>
        <v>#REF!</v>
      </c>
      <c r="BV157" s="3" t="s">
        <v>347</v>
      </c>
    </row>
    <row r="158" spans="1:74" ht="14.5" x14ac:dyDescent="0.35">
      <c r="A158" s="24"/>
      <c r="D158" s="25" t="s">
        <v>126</v>
      </c>
      <c r="E158" s="26" t="s">
        <v>348</v>
      </c>
      <c r="G158" s="27">
        <v>2</v>
      </c>
      <c r="N158" s="87"/>
    </row>
    <row r="159" spans="1:74" ht="14.5" x14ac:dyDescent="0.35">
      <c r="A159" s="1" t="s">
        <v>349</v>
      </c>
      <c r="B159" s="2" t="s">
        <v>21</v>
      </c>
      <c r="C159" s="2" t="s">
        <v>350</v>
      </c>
      <c r="D159" s="138" t="s">
        <v>351</v>
      </c>
      <c r="E159" s="107"/>
      <c r="F159" s="37" t="s">
        <v>100</v>
      </c>
      <c r="G159" s="6">
        <v>92.46</v>
      </c>
      <c r="H159" s="147">
        <v>0</v>
      </c>
      <c r="I159" s="6">
        <f>G159*AM159</f>
        <v>0</v>
      </c>
      <c r="J159" s="6">
        <f>G159*AN159</f>
        <v>0</v>
      </c>
      <c r="K159" s="6">
        <f>G159*H159</f>
        <v>0</v>
      </c>
      <c r="L159" s="6">
        <v>5.1999999999999998E-3</v>
      </c>
      <c r="M159" s="6">
        <f>G159*L159</f>
        <v>0.48079199999999994</v>
      </c>
      <c r="N159" s="86" t="s">
        <v>129</v>
      </c>
      <c r="X159" s="6">
        <f>IF(AO159="5",BH159,0)</f>
        <v>0</v>
      </c>
      <c r="Z159" s="6">
        <f>IF(AO159="1",BF159,0)</f>
        <v>0</v>
      </c>
      <c r="AA159" s="6">
        <f>IF(AO159="1",BG159,0)</f>
        <v>0</v>
      </c>
      <c r="AB159" s="6">
        <f>IF(AO159="7",BF159,0)</f>
        <v>0</v>
      </c>
      <c r="AC159" s="6">
        <f>IF(AO159="7",BG159,0)</f>
        <v>0</v>
      </c>
      <c r="AD159" s="6">
        <f>IF(AO159="2",BF159,0)</f>
        <v>0</v>
      </c>
      <c r="AE159" s="6">
        <f>IF(AO159="2",BG159,0)</f>
        <v>0</v>
      </c>
      <c r="AF159" s="6">
        <f>IF(AO159="0",BH159,0)</f>
        <v>0</v>
      </c>
      <c r="AG159" s="13" t="s">
        <v>21</v>
      </c>
      <c r="AH159" s="6">
        <f>IF(AL159=0,K159,0)</f>
        <v>0</v>
      </c>
      <c r="AI159" s="6">
        <f>IF(AL159=12,K159,0)</f>
        <v>0</v>
      </c>
      <c r="AJ159" s="6">
        <f>IF(AL159=21,K159,0)</f>
        <v>0</v>
      </c>
      <c r="AL159" s="6">
        <v>21</v>
      </c>
      <c r="AM159" s="6">
        <f>H159*1</f>
        <v>0</v>
      </c>
      <c r="AN159" s="6">
        <f>H159*(1-1)</f>
        <v>0</v>
      </c>
      <c r="AO159" s="23" t="s">
        <v>174</v>
      </c>
      <c r="AT159" s="6">
        <f>AU159+AV159</f>
        <v>0</v>
      </c>
      <c r="AU159" s="6">
        <f>G159*AM159</f>
        <v>0</v>
      </c>
      <c r="AV159" s="6">
        <f>G159*AN159</f>
        <v>0</v>
      </c>
      <c r="AW159" s="23" t="s">
        <v>260</v>
      </c>
      <c r="AX159" s="23" t="s">
        <v>225</v>
      </c>
      <c r="AY159" s="13" t="s">
        <v>105</v>
      </c>
      <c r="BA159" s="6">
        <f>AU159+AV159</f>
        <v>0</v>
      </c>
      <c r="BB159" s="6">
        <f>H159/(100-BC159)*100</f>
        <v>0</v>
      </c>
      <c r="BC159" s="6">
        <v>0</v>
      </c>
      <c r="BD159" s="6">
        <f>M159</f>
        <v>0.48079199999999994</v>
      </c>
      <c r="BF159" s="6">
        <f>G159*AM159</f>
        <v>0</v>
      </c>
      <c r="BG159" s="6">
        <f>G159*AN159</f>
        <v>0</v>
      </c>
      <c r="BH159" s="6">
        <f>G159*H159</f>
        <v>0</v>
      </c>
      <c r="BI159" s="6"/>
      <c r="BJ159" s="6">
        <v>766</v>
      </c>
      <c r="BU159" s="6" t="e">
        <f>#REF!</f>
        <v>#REF!</v>
      </c>
      <c r="BV159" s="3" t="s">
        <v>351</v>
      </c>
    </row>
    <row r="160" spans="1:74" ht="14.5" x14ac:dyDescent="0.35">
      <c r="A160" s="24"/>
      <c r="D160" s="25" t="s">
        <v>352</v>
      </c>
      <c r="E160" s="26" t="s">
        <v>353</v>
      </c>
      <c r="G160" s="27">
        <v>37.200000000000003</v>
      </c>
      <c r="N160" s="87"/>
    </row>
    <row r="161" spans="1:74" ht="14.5" x14ac:dyDescent="0.35">
      <c r="A161" s="24"/>
      <c r="D161" s="25" t="s">
        <v>354</v>
      </c>
      <c r="E161" s="26" t="s">
        <v>355</v>
      </c>
      <c r="G161" s="27">
        <v>22.8</v>
      </c>
      <c r="N161" s="87"/>
    </row>
    <row r="162" spans="1:74" ht="14.5" x14ac:dyDescent="0.35">
      <c r="A162" s="24"/>
      <c r="D162" s="25" t="s">
        <v>356</v>
      </c>
      <c r="E162" s="26" t="s">
        <v>357</v>
      </c>
      <c r="G162" s="27">
        <v>8.4</v>
      </c>
      <c r="N162" s="87"/>
    </row>
    <row r="163" spans="1:74" ht="14.5" x14ac:dyDescent="0.35">
      <c r="A163" s="24"/>
      <c r="D163" s="25" t="s">
        <v>358</v>
      </c>
      <c r="E163" s="26" t="s">
        <v>359</v>
      </c>
      <c r="G163" s="27">
        <v>7.2</v>
      </c>
      <c r="N163" s="87"/>
    </row>
    <row r="164" spans="1:74" ht="14.5" x14ac:dyDescent="0.35">
      <c r="A164" s="24"/>
      <c r="D164" s="25" t="s">
        <v>360</v>
      </c>
      <c r="E164" s="26" t="s">
        <v>361</v>
      </c>
      <c r="G164" s="27">
        <v>3.6</v>
      </c>
      <c r="N164" s="87"/>
    </row>
    <row r="165" spans="1:74" ht="14.5" x14ac:dyDescent="0.35">
      <c r="A165" s="24"/>
      <c r="D165" s="25" t="s">
        <v>362</v>
      </c>
      <c r="E165" s="26" t="s">
        <v>363</v>
      </c>
      <c r="G165" s="27">
        <v>3</v>
      </c>
      <c r="N165" s="87"/>
    </row>
    <row r="166" spans="1:74" ht="14.5" x14ac:dyDescent="0.35">
      <c r="A166" s="24"/>
      <c r="D166" s="25" t="s">
        <v>230</v>
      </c>
      <c r="E166" s="26" t="s">
        <v>364</v>
      </c>
      <c r="G166" s="27">
        <v>2.66</v>
      </c>
      <c r="N166" s="87"/>
    </row>
    <row r="167" spans="1:74" ht="14.5" x14ac:dyDescent="0.35">
      <c r="A167" s="24"/>
      <c r="D167" s="25" t="s">
        <v>237</v>
      </c>
      <c r="E167" s="26" t="s">
        <v>365</v>
      </c>
      <c r="G167" s="27">
        <v>4.5999999999999996</v>
      </c>
      <c r="N167" s="87"/>
    </row>
    <row r="168" spans="1:74" ht="14.5" x14ac:dyDescent="0.35">
      <c r="A168" s="24"/>
      <c r="D168" s="25" t="s">
        <v>366</v>
      </c>
      <c r="E168" s="26" t="s">
        <v>367</v>
      </c>
      <c r="G168" s="27">
        <v>1.2</v>
      </c>
      <c r="N168" s="87"/>
    </row>
    <row r="169" spans="1:74" ht="14.5" x14ac:dyDescent="0.35">
      <c r="A169" s="24"/>
      <c r="D169" s="25" t="s">
        <v>241</v>
      </c>
      <c r="E169" s="26" t="s">
        <v>368</v>
      </c>
      <c r="G169" s="27">
        <v>0.6</v>
      </c>
      <c r="N169" s="87"/>
    </row>
    <row r="170" spans="1:74" ht="14.5" x14ac:dyDescent="0.35">
      <c r="A170" s="24"/>
      <c r="D170" s="25" t="s">
        <v>366</v>
      </c>
      <c r="E170" s="26" t="s">
        <v>369</v>
      </c>
      <c r="G170" s="27">
        <v>1.2</v>
      </c>
      <c r="N170" s="87"/>
    </row>
    <row r="171" spans="1:74" ht="14.5" x14ac:dyDescent="0.35">
      <c r="A171" s="1" t="s">
        <v>370</v>
      </c>
      <c r="B171" s="2" t="s">
        <v>21</v>
      </c>
      <c r="C171" s="2" t="s">
        <v>371</v>
      </c>
      <c r="D171" s="138" t="s">
        <v>372</v>
      </c>
      <c r="E171" s="107"/>
      <c r="F171" s="37" t="s">
        <v>259</v>
      </c>
      <c r="G171" s="6">
        <v>162</v>
      </c>
      <c r="H171" s="147">
        <v>0</v>
      </c>
      <c r="I171" s="6">
        <f>G171*AM171</f>
        <v>0</v>
      </c>
      <c r="J171" s="6">
        <f>G171*AN171</f>
        <v>0</v>
      </c>
      <c r="K171" s="6">
        <f>G171*H171</f>
        <v>0</v>
      </c>
      <c r="L171" s="6">
        <v>2.0000000000000002E-5</v>
      </c>
      <c r="M171" s="6">
        <f>G171*L171</f>
        <v>3.2400000000000003E-3</v>
      </c>
      <c r="N171" s="86" t="s">
        <v>129</v>
      </c>
      <c r="X171" s="6">
        <f>IF(AO171="5",BH171,0)</f>
        <v>0</v>
      </c>
      <c r="Z171" s="6">
        <f>IF(AO171="1",BF171,0)</f>
        <v>0</v>
      </c>
      <c r="AA171" s="6">
        <f>IF(AO171="1",BG171,0)</f>
        <v>0</v>
      </c>
      <c r="AB171" s="6">
        <f>IF(AO171="7",BF171,0)</f>
        <v>0</v>
      </c>
      <c r="AC171" s="6">
        <f>IF(AO171="7",BG171,0)</f>
        <v>0</v>
      </c>
      <c r="AD171" s="6">
        <f>IF(AO171="2",BF171,0)</f>
        <v>0</v>
      </c>
      <c r="AE171" s="6">
        <f>IF(AO171="2",BG171,0)</f>
        <v>0</v>
      </c>
      <c r="AF171" s="6">
        <f>IF(AO171="0",BH171,0)</f>
        <v>0</v>
      </c>
      <c r="AG171" s="13" t="s">
        <v>21</v>
      </c>
      <c r="AH171" s="6">
        <f>IF(AL171=0,K171,0)</f>
        <v>0</v>
      </c>
      <c r="AI171" s="6">
        <f>IF(AL171=12,K171,0)</f>
        <v>0</v>
      </c>
      <c r="AJ171" s="6">
        <f>IF(AL171=21,K171,0)</f>
        <v>0</v>
      </c>
      <c r="AL171" s="6">
        <v>21</v>
      </c>
      <c r="AM171" s="6">
        <f>H171*1</f>
        <v>0</v>
      </c>
      <c r="AN171" s="6">
        <f>H171*(1-1)</f>
        <v>0</v>
      </c>
      <c r="AO171" s="23" t="s">
        <v>174</v>
      </c>
      <c r="AT171" s="6">
        <f>AU171+AV171</f>
        <v>0</v>
      </c>
      <c r="AU171" s="6">
        <f>G171*AM171</f>
        <v>0</v>
      </c>
      <c r="AV171" s="6">
        <f>G171*AN171</f>
        <v>0</v>
      </c>
      <c r="AW171" s="23" t="s">
        <v>260</v>
      </c>
      <c r="AX171" s="23" t="s">
        <v>225</v>
      </c>
      <c r="AY171" s="13" t="s">
        <v>105</v>
      </c>
      <c r="BA171" s="6">
        <f>AU171+AV171</f>
        <v>0</v>
      </c>
      <c r="BB171" s="6">
        <f>H171/(100-BC171)*100</f>
        <v>0</v>
      </c>
      <c r="BC171" s="6">
        <v>0</v>
      </c>
      <c r="BD171" s="6">
        <f>M171</f>
        <v>3.2400000000000003E-3</v>
      </c>
      <c r="BF171" s="6">
        <f>G171*AM171</f>
        <v>0</v>
      </c>
      <c r="BG171" s="6">
        <f>G171*AN171</f>
        <v>0</v>
      </c>
      <c r="BH171" s="6">
        <f>G171*H171</f>
        <v>0</v>
      </c>
      <c r="BI171" s="6"/>
      <c r="BJ171" s="6">
        <v>766</v>
      </c>
      <c r="BU171" s="6" t="e">
        <f>#REF!</f>
        <v>#REF!</v>
      </c>
      <c r="BV171" s="3" t="s">
        <v>372</v>
      </c>
    </row>
    <row r="172" spans="1:74" ht="14.5" x14ac:dyDescent="0.35">
      <c r="A172" s="24"/>
      <c r="D172" s="25" t="s">
        <v>373</v>
      </c>
      <c r="E172" s="26" t="s">
        <v>374</v>
      </c>
      <c r="G172" s="27">
        <v>162</v>
      </c>
      <c r="N172" s="87"/>
    </row>
    <row r="173" spans="1:74" ht="14.5" x14ac:dyDescent="0.35">
      <c r="A173" s="1" t="s">
        <v>375</v>
      </c>
      <c r="B173" s="2" t="s">
        <v>21</v>
      </c>
      <c r="C173" s="2" t="s">
        <v>376</v>
      </c>
      <c r="D173" s="138" t="s">
        <v>377</v>
      </c>
      <c r="E173" s="107"/>
      <c r="F173" s="37" t="s">
        <v>200</v>
      </c>
      <c r="G173" s="6">
        <v>2.64</v>
      </c>
      <c r="H173" s="147">
        <v>0</v>
      </c>
      <c r="I173" s="6">
        <f>G173*AM173</f>
        <v>0</v>
      </c>
      <c r="J173" s="6">
        <f>G173*AN173</f>
        <v>0</v>
      </c>
      <c r="K173" s="6">
        <f>G173*H173</f>
        <v>0</v>
      </c>
      <c r="L173" s="6">
        <v>0</v>
      </c>
      <c r="M173" s="6">
        <f>G173*L173</f>
        <v>0</v>
      </c>
      <c r="N173" s="86" t="s">
        <v>129</v>
      </c>
      <c r="X173" s="6">
        <f>IF(AO173="5",BH173,0)</f>
        <v>0</v>
      </c>
      <c r="Z173" s="6">
        <f>IF(AO173="1",BF173,0)</f>
        <v>0</v>
      </c>
      <c r="AA173" s="6">
        <f>IF(AO173="1",BG173,0)</f>
        <v>0</v>
      </c>
      <c r="AB173" s="6">
        <f>IF(AO173="7",BF173,0)</f>
        <v>0</v>
      </c>
      <c r="AC173" s="6">
        <f>IF(AO173="7",BG173,0)</f>
        <v>0</v>
      </c>
      <c r="AD173" s="6">
        <f>IF(AO173="2",BF173,0)</f>
        <v>0</v>
      </c>
      <c r="AE173" s="6">
        <f>IF(AO173="2",BG173,0)</f>
        <v>0</v>
      </c>
      <c r="AF173" s="6">
        <f>IF(AO173="0",BH173,0)</f>
        <v>0</v>
      </c>
      <c r="AG173" s="13" t="s">
        <v>21</v>
      </c>
      <c r="AH173" s="6">
        <f>IF(AL173=0,K173,0)</f>
        <v>0</v>
      </c>
      <c r="AI173" s="6">
        <f>IF(AL173=12,K173,0)</f>
        <v>0</v>
      </c>
      <c r="AJ173" s="6">
        <f>IF(AL173=21,K173,0)</f>
        <v>0</v>
      </c>
      <c r="AL173" s="6">
        <v>21</v>
      </c>
      <c r="AM173" s="6">
        <f>H173*0</f>
        <v>0</v>
      </c>
      <c r="AN173" s="6">
        <f>H173*(1-0)</f>
        <v>0</v>
      </c>
      <c r="AO173" s="23" t="s">
        <v>164</v>
      </c>
      <c r="AT173" s="6">
        <f>AU173+AV173</f>
        <v>0</v>
      </c>
      <c r="AU173" s="6">
        <f>G173*AM173</f>
        <v>0</v>
      </c>
      <c r="AV173" s="6">
        <f>G173*AN173</f>
        <v>0</v>
      </c>
      <c r="AW173" s="23" t="s">
        <v>260</v>
      </c>
      <c r="AX173" s="23" t="s">
        <v>225</v>
      </c>
      <c r="AY173" s="13" t="s">
        <v>105</v>
      </c>
      <c r="BA173" s="6">
        <f>AU173+AV173</f>
        <v>0</v>
      </c>
      <c r="BB173" s="6">
        <f>H173/(100-BC173)*100</f>
        <v>0</v>
      </c>
      <c r="BC173" s="6">
        <v>0</v>
      </c>
      <c r="BD173" s="6">
        <f>M173</f>
        <v>0</v>
      </c>
      <c r="BF173" s="6">
        <f>G173*AM173</f>
        <v>0</v>
      </c>
      <c r="BG173" s="6">
        <f>G173*AN173</f>
        <v>0</v>
      </c>
      <c r="BH173" s="6">
        <f>G173*H173</f>
        <v>0</v>
      </c>
      <c r="BI173" s="6"/>
      <c r="BJ173" s="6">
        <v>766</v>
      </c>
      <c r="BU173" s="6" t="e">
        <f>#REF!</f>
        <v>#REF!</v>
      </c>
      <c r="BV173" s="3" t="s">
        <v>377</v>
      </c>
    </row>
    <row r="174" spans="1:74" ht="14.5" x14ac:dyDescent="0.35">
      <c r="A174" s="20" t="s">
        <v>22</v>
      </c>
      <c r="B174" s="21" t="s">
        <v>21</v>
      </c>
      <c r="C174" s="21" t="s">
        <v>36</v>
      </c>
      <c r="D174" s="133" t="s">
        <v>37</v>
      </c>
      <c r="E174" s="134"/>
      <c r="F174" s="91" t="s">
        <v>12</v>
      </c>
      <c r="G174" s="22" t="s">
        <v>12</v>
      </c>
      <c r="H174" s="22" t="s">
        <v>12</v>
      </c>
      <c r="I174" s="12">
        <f>SUM(I175:I193)</f>
        <v>0</v>
      </c>
      <c r="J174" s="12">
        <f>SUM(J175:J193)</f>
        <v>0</v>
      </c>
      <c r="K174" s="12">
        <f>SUM(K175:K193)</f>
        <v>0</v>
      </c>
      <c r="L174" s="13" t="s">
        <v>22</v>
      </c>
      <c r="M174" s="12">
        <f>SUM(M175:M193)</f>
        <v>1.5621152</v>
      </c>
      <c r="N174" s="85" t="s">
        <v>22</v>
      </c>
      <c r="AG174" s="13" t="s">
        <v>21</v>
      </c>
      <c r="AQ174" s="12">
        <f>SUM(AH175:AH193)</f>
        <v>0</v>
      </c>
      <c r="AR174" s="12">
        <f>SUM(AI175:AI193)</f>
        <v>0</v>
      </c>
      <c r="AS174" s="12">
        <f>SUM(AJ175:AJ193)</f>
        <v>0</v>
      </c>
    </row>
    <row r="175" spans="1:74" ht="25" x14ac:dyDescent="0.35">
      <c r="A175" s="1" t="s">
        <v>378</v>
      </c>
      <c r="B175" s="2" t="s">
        <v>21</v>
      </c>
      <c r="C175" s="2" t="s">
        <v>379</v>
      </c>
      <c r="D175" s="138" t="s">
        <v>380</v>
      </c>
      <c r="E175" s="107"/>
      <c r="F175" s="37" t="s">
        <v>259</v>
      </c>
      <c r="G175" s="6">
        <v>49</v>
      </c>
      <c r="H175" s="147">
        <v>0</v>
      </c>
      <c r="I175" s="6">
        <f t="shared" ref="I175:I182" si="26">G175*AM175</f>
        <v>0</v>
      </c>
      <c r="J175" s="6">
        <f t="shared" ref="J175:J182" si="27">G175*AN175</f>
        <v>0</v>
      </c>
      <c r="K175" s="6">
        <f t="shared" ref="K175:K182" si="28">G175*H175</f>
        <v>0</v>
      </c>
      <c r="L175" s="6">
        <v>1.4999999999999999E-2</v>
      </c>
      <c r="M175" s="6">
        <f t="shared" ref="M175:M182" si="29">G175*L175</f>
        <v>0.73499999999999999</v>
      </c>
      <c r="N175" s="86" t="s">
        <v>102</v>
      </c>
      <c r="X175" s="6">
        <f t="shared" ref="X175:X182" si="30">IF(AO175="5",BH175,0)</f>
        <v>0</v>
      </c>
      <c r="Z175" s="6">
        <f t="shared" ref="Z175:Z182" si="31">IF(AO175="1",BF175,0)</f>
        <v>0</v>
      </c>
      <c r="AA175" s="6">
        <f t="shared" ref="AA175:AA182" si="32">IF(AO175="1",BG175,0)</f>
        <v>0</v>
      </c>
      <c r="AB175" s="6">
        <f t="shared" ref="AB175:AB182" si="33">IF(AO175="7",BF175,0)</f>
        <v>0</v>
      </c>
      <c r="AC175" s="6">
        <f t="shared" ref="AC175:AC182" si="34">IF(AO175="7",BG175,0)</f>
        <v>0</v>
      </c>
      <c r="AD175" s="6">
        <f t="shared" ref="AD175:AD182" si="35">IF(AO175="2",BF175,0)</f>
        <v>0</v>
      </c>
      <c r="AE175" s="6">
        <f t="shared" ref="AE175:AE182" si="36">IF(AO175="2",BG175,0)</f>
        <v>0</v>
      </c>
      <c r="AF175" s="6">
        <f t="shared" ref="AF175:AF182" si="37">IF(AO175="0",BH175,0)</f>
        <v>0</v>
      </c>
      <c r="AG175" s="13" t="s">
        <v>21</v>
      </c>
      <c r="AH175" s="6">
        <f t="shared" ref="AH175:AH182" si="38">IF(AL175=0,K175,0)</f>
        <v>0</v>
      </c>
      <c r="AI175" s="6">
        <f t="shared" ref="AI175:AI182" si="39">IF(AL175=12,K175,0)</f>
        <v>0</v>
      </c>
      <c r="AJ175" s="6">
        <f t="shared" ref="AJ175:AJ182" si="40">IF(AL175=21,K175,0)</f>
        <v>0</v>
      </c>
      <c r="AL175" s="6">
        <v>21</v>
      </c>
      <c r="AM175" s="6">
        <f t="shared" ref="AM175:AM181" si="41">H175*0</f>
        <v>0</v>
      </c>
      <c r="AN175" s="6">
        <f t="shared" ref="AN175:AN181" si="42">H175*(1-0)</f>
        <v>0</v>
      </c>
      <c r="AO175" s="23" t="s">
        <v>174</v>
      </c>
      <c r="AT175" s="6">
        <f t="shared" ref="AT175:AT182" si="43">AU175+AV175</f>
        <v>0</v>
      </c>
      <c r="AU175" s="6">
        <f t="shared" ref="AU175:AU182" si="44">G175*AM175</f>
        <v>0</v>
      </c>
      <c r="AV175" s="6">
        <f t="shared" ref="AV175:AV182" si="45">G175*AN175</f>
        <v>0</v>
      </c>
      <c r="AW175" s="23" t="s">
        <v>381</v>
      </c>
      <c r="AX175" s="23" t="s">
        <v>382</v>
      </c>
      <c r="AY175" s="13" t="s">
        <v>105</v>
      </c>
      <c r="BA175" s="6">
        <f t="shared" ref="BA175:BA182" si="46">AU175+AV175</f>
        <v>0</v>
      </c>
      <c r="BB175" s="6">
        <f t="shared" ref="BB175:BB182" si="47">H175/(100-BC175)*100</f>
        <v>0</v>
      </c>
      <c r="BC175" s="6">
        <v>0</v>
      </c>
      <c r="BD175" s="6">
        <f t="shared" ref="BD175:BD182" si="48">M175</f>
        <v>0.73499999999999999</v>
      </c>
      <c r="BF175" s="6">
        <f t="shared" ref="BF175:BF182" si="49">G175*AM175</f>
        <v>0</v>
      </c>
      <c r="BG175" s="6">
        <f t="shared" ref="BG175:BG182" si="50">G175*AN175</f>
        <v>0</v>
      </c>
      <c r="BH175" s="6">
        <f t="shared" ref="BH175:BH182" si="51">G175*H175</f>
        <v>0</v>
      </c>
      <c r="BI175" s="6"/>
      <c r="BJ175" s="6">
        <v>786</v>
      </c>
      <c r="BU175" s="6" t="e">
        <f>#REF!</f>
        <v>#REF!</v>
      </c>
      <c r="BV175" s="3" t="s">
        <v>380</v>
      </c>
    </row>
    <row r="176" spans="1:74" ht="25" x14ac:dyDescent="0.35">
      <c r="A176" s="1" t="s">
        <v>383</v>
      </c>
      <c r="B176" s="2" t="s">
        <v>21</v>
      </c>
      <c r="C176" s="2" t="s">
        <v>384</v>
      </c>
      <c r="D176" s="138" t="s">
        <v>385</v>
      </c>
      <c r="E176" s="107"/>
      <c r="F176" s="37" t="s">
        <v>259</v>
      </c>
      <c r="G176" s="6">
        <v>2</v>
      </c>
      <c r="H176" s="147">
        <v>0</v>
      </c>
      <c r="I176" s="6">
        <f t="shared" si="26"/>
        <v>0</v>
      </c>
      <c r="J176" s="6">
        <f t="shared" si="27"/>
        <v>0</v>
      </c>
      <c r="K176" s="6">
        <f t="shared" si="28"/>
        <v>0</v>
      </c>
      <c r="L176" s="6">
        <v>2.1999999999999999E-2</v>
      </c>
      <c r="M176" s="6">
        <f t="shared" si="29"/>
        <v>4.3999999999999997E-2</v>
      </c>
      <c r="N176" s="86" t="s">
        <v>102</v>
      </c>
      <c r="X176" s="6">
        <f t="shared" si="30"/>
        <v>0</v>
      </c>
      <c r="Z176" s="6">
        <f t="shared" si="31"/>
        <v>0</v>
      </c>
      <c r="AA176" s="6">
        <f t="shared" si="32"/>
        <v>0</v>
      </c>
      <c r="AB176" s="6">
        <f t="shared" si="33"/>
        <v>0</v>
      </c>
      <c r="AC176" s="6">
        <f t="shared" si="34"/>
        <v>0</v>
      </c>
      <c r="AD176" s="6">
        <f t="shared" si="35"/>
        <v>0</v>
      </c>
      <c r="AE176" s="6">
        <f t="shared" si="36"/>
        <v>0</v>
      </c>
      <c r="AF176" s="6">
        <f t="shared" si="37"/>
        <v>0</v>
      </c>
      <c r="AG176" s="13" t="s">
        <v>21</v>
      </c>
      <c r="AH176" s="6">
        <f t="shared" si="38"/>
        <v>0</v>
      </c>
      <c r="AI176" s="6">
        <f t="shared" si="39"/>
        <v>0</v>
      </c>
      <c r="AJ176" s="6">
        <f t="shared" si="40"/>
        <v>0</v>
      </c>
      <c r="AL176" s="6">
        <v>21</v>
      </c>
      <c r="AM176" s="6">
        <f t="shared" si="41"/>
        <v>0</v>
      </c>
      <c r="AN176" s="6">
        <f t="shared" si="42"/>
        <v>0</v>
      </c>
      <c r="AO176" s="23" t="s">
        <v>174</v>
      </c>
      <c r="AT176" s="6">
        <f t="shared" si="43"/>
        <v>0</v>
      </c>
      <c r="AU176" s="6">
        <f t="shared" si="44"/>
        <v>0</v>
      </c>
      <c r="AV176" s="6">
        <f t="shared" si="45"/>
        <v>0</v>
      </c>
      <c r="AW176" s="23" t="s">
        <v>381</v>
      </c>
      <c r="AX176" s="23" t="s">
        <v>382</v>
      </c>
      <c r="AY176" s="13" t="s">
        <v>105</v>
      </c>
      <c r="BA176" s="6">
        <f t="shared" si="46"/>
        <v>0</v>
      </c>
      <c r="BB176" s="6">
        <f t="shared" si="47"/>
        <v>0</v>
      </c>
      <c r="BC176" s="6">
        <v>0</v>
      </c>
      <c r="BD176" s="6">
        <f t="shared" si="48"/>
        <v>4.3999999999999997E-2</v>
      </c>
      <c r="BF176" s="6">
        <f t="shared" si="49"/>
        <v>0</v>
      </c>
      <c r="BG176" s="6">
        <f t="shared" si="50"/>
        <v>0</v>
      </c>
      <c r="BH176" s="6">
        <f t="shared" si="51"/>
        <v>0</v>
      </c>
      <c r="BI176" s="6"/>
      <c r="BJ176" s="6">
        <v>786</v>
      </c>
      <c r="BU176" s="6" t="e">
        <f>#REF!</f>
        <v>#REF!</v>
      </c>
      <c r="BV176" s="3" t="s">
        <v>385</v>
      </c>
    </row>
    <row r="177" spans="1:74" ht="25" x14ac:dyDescent="0.35">
      <c r="A177" s="1" t="s">
        <v>386</v>
      </c>
      <c r="B177" s="2" t="s">
        <v>21</v>
      </c>
      <c r="C177" s="2" t="s">
        <v>387</v>
      </c>
      <c r="D177" s="138" t="s">
        <v>388</v>
      </c>
      <c r="E177" s="107"/>
      <c r="F177" s="37" t="s">
        <v>259</v>
      </c>
      <c r="G177" s="6">
        <v>13</v>
      </c>
      <c r="H177" s="147">
        <v>0</v>
      </c>
      <c r="I177" s="6">
        <f t="shared" si="26"/>
        <v>0</v>
      </c>
      <c r="J177" s="6">
        <f t="shared" si="27"/>
        <v>0</v>
      </c>
      <c r="K177" s="6">
        <f t="shared" si="28"/>
        <v>0</v>
      </c>
      <c r="L177" s="6">
        <v>1.7999999999999999E-2</v>
      </c>
      <c r="M177" s="6">
        <f t="shared" si="29"/>
        <v>0.23399999999999999</v>
      </c>
      <c r="N177" s="86" t="s">
        <v>102</v>
      </c>
      <c r="X177" s="6">
        <f t="shared" si="30"/>
        <v>0</v>
      </c>
      <c r="Z177" s="6">
        <f t="shared" si="31"/>
        <v>0</v>
      </c>
      <c r="AA177" s="6">
        <f t="shared" si="32"/>
        <v>0</v>
      </c>
      <c r="AB177" s="6">
        <f t="shared" si="33"/>
        <v>0</v>
      </c>
      <c r="AC177" s="6">
        <f t="shared" si="34"/>
        <v>0</v>
      </c>
      <c r="AD177" s="6">
        <f t="shared" si="35"/>
        <v>0</v>
      </c>
      <c r="AE177" s="6">
        <f t="shared" si="36"/>
        <v>0</v>
      </c>
      <c r="AF177" s="6">
        <f t="shared" si="37"/>
        <v>0</v>
      </c>
      <c r="AG177" s="13" t="s">
        <v>21</v>
      </c>
      <c r="AH177" s="6">
        <f t="shared" si="38"/>
        <v>0</v>
      </c>
      <c r="AI177" s="6">
        <f t="shared" si="39"/>
        <v>0</v>
      </c>
      <c r="AJ177" s="6">
        <f t="shared" si="40"/>
        <v>0</v>
      </c>
      <c r="AL177" s="6">
        <v>21</v>
      </c>
      <c r="AM177" s="6">
        <f t="shared" si="41"/>
        <v>0</v>
      </c>
      <c r="AN177" s="6">
        <f t="shared" si="42"/>
        <v>0</v>
      </c>
      <c r="AO177" s="23" t="s">
        <v>174</v>
      </c>
      <c r="AT177" s="6">
        <f t="shared" si="43"/>
        <v>0</v>
      </c>
      <c r="AU177" s="6">
        <f t="shared" si="44"/>
        <v>0</v>
      </c>
      <c r="AV177" s="6">
        <f t="shared" si="45"/>
        <v>0</v>
      </c>
      <c r="AW177" s="23" t="s">
        <v>381</v>
      </c>
      <c r="AX177" s="23" t="s">
        <v>382</v>
      </c>
      <c r="AY177" s="13" t="s">
        <v>105</v>
      </c>
      <c r="BA177" s="6">
        <f t="shared" si="46"/>
        <v>0</v>
      </c>
      <c r="BB177" s="6">
        <f t="shared" si="47"/>
        <v>0</v>
      </c>
      <c r="BC177" s="6">
        <v>0</v>
      </c>
      <c r="BD177" s="6">
        <f t="shared" si="48"/>
        <v>0.23399999999999999</v>
      </c>
      <c r="BF177" s="6">
        <f t="shared" si="49"/>
        <v>0</v>
      </c>
      <c r="BG177" s="6">
        <f t="shared" si="50"/>
        <v>0</v>
      </c>
      <c r="BH177" s="6">
        <f t="shared" si="51"/>
        <v>0</v>
      </c>
      <c r="BI177" s="6"/>
      <c r="BJ177" s="6">
        <v>786</v>
      </c>
      <c r="BU177" s="6" t="e">
        <f>#REF!</f>
        <v>#REF!</v>
      </c>
      <c r="BV177" s="3" t="s">
        <v>388</v>
      </c>
    </row>
    <row r="178" spans="1:74" ht="25" x14ac:dyDescent="0.35">
      <c r="A178" s="1" t="s">
        <v>389</v>
      </c>
      <c r="B178" s="2" t="s">
        <v>21</v>
      </c>
      <c r="C178" s="2" t="s">
        <v>390</v>
      </c>
      <c r="D178" s="138" t="s">
        <v>391</v>
      </c>
      <c r="E178" s="107"/>
      <c r="F178" s="37" t="s">
        <v>259</v>
      </c>
      <c r="G178" s="6">
        <v>2</v>
      </c>
      <c r="H178" s="147">
        <v>0</v>
      </c>
      <c r="I178" s="6">
        <f t="shared" si="26"/>
        <v>0</v>
      </c>
      <c r="J178" s="6">
        <f t="shared" si="27"/>
        <v>0</v>
      </c>
      <c r="K178" s="6">
        <f t="shared" si="28"/>
        <v>0</v>
      </c>
      <c r="L178" s="6">
        <v>2.5999999999999999E-2</v>
      </c>
      <c r="M178" s="6">
        <f t="shared" si="29"/>
        <v>5.1999999999999998E-2</v>
      </c>
      <c r="N178" s="86" t="s">
        <v>102</v>
      </c>
      <c r="X178" s="6">
        <f t="shared" si="30"/>
        <v>0</v>
      </c>
      <c r="Z178" s="6">
        <f t="shared" si="31"/>
        <v>0</v>
      </c>
      <c r="AA178" s="6">
        <f t="shared" si="32"/>
        <v>0</v>
      </c>
      <c r="AB178" s="6">
        <f t="shared" si="33"/>
        <v>0</v>
      </c>
      <c r="AC178" s="6">
        <f t="shared" si="34"/>
        <v>0</v>
      </c>
      <c r="AD178" s="6">
        <f t="shared" si="35"/>
        <v>0</v>
      </c>
      <c r="AE178" s="6">
        <f t="shared" si="36"/>
        <v>0</v>
      </c>
      <c r="AF178" s="6">
        <f t="shared" si="37"/>
        <v>0</v>
      </c>
      <c r="AG178" s="13" t="s">
        <v>21</v>
      </c>
      <c r="AH178" s="6">
        <f t="shared" si="38"/>
        <v>0</v>
      </c>
      <c r="AI178" s="6">
        <f t="shared" si="39"/>
        <v>0</v>
      </c>
      <c r="AJ178" s="6">
        <f t="shared" si="40"/>
        <v>0</v>
      </c>
      <c r="AL178" s="6">
        <v>21</v>
      </c>
      <c r="AM178" s="6">
        <f t="shared" si="41"/>
        <v>0</v>
      </c>
      <c r="AN178" s="6">
        <f t="shared" si="42"/>
        <v>0</v>
      </c>
      <c r="AO178" s="23" t="s">
        <v>174</v>
      </c>
      <c r="AT178" s="6">
        <f t="shared" si="43"/>
        <v>0</v>
      </c>
      <c r="AU178" s="6">
        <f t="shared" si="44"/>
        <v>0</v>
      </c>
      <c r="AV178" s="6">
        <f t="shared" si="45"/>
        <v>0</v>
      </c>
      <c r="AW178" s="23" t="s">
        <v>381</v>
      </c>
      <c r="AX178" s="23" t="s">
        <v>382</v>
      </c>
      <c r="AY178" s="13" t="s">
        <v>105</v>
      </c>
      <c r="BA178" s="6">
        <f t="shared" si="46"/>
        <v>0</v>
      </c>
      <c r="BB178" s="6">
        <f t="shared" si="47"/>
        <v>0</v>
      </c>
      <c r="BC178" s="6">
        <v>0</v>
      </c>
      <c r="BD178" s="6">
        <f t="shared" si="48"/>
        <v>5.1999999999999998E-2</v>
      </c>
      <c r="BF178" s="6">
        <f t="shared" si="49"/>
        <v>0</v>
      </c>
      <c r="BG178" s="6">
        <f t="shared" si="50"/>
        <v>0</v>
      </c>
      <c r="BH178" s="6">
        <f t="shared" si="51"/>
        <v>0</v>
      </c>
      <c r="BI178" s="6"/>
      <c r="BJ178" s="6">
        <v>786</v>
      </c>
      <c r="BU178" s="6" t="e">
        <f>#REF!</f>
        <v>#REF!</v>
      </c>
      <c r="BV178" s="3" t="s">
        <v>391</v>
      </c>
    </row>
    <row r="179" spans="1:74" ht="25" x14ac:dyDescent="0.35">
      <c r="A179" s="1" t="s">
        <v>392</v>
      </c>
      <c r="B179" s="2" t="s">
        <v>21</v>
      </c>
      <c r="C179" s="2" t="s">
        <v>393</v>
      </c>
      <c r="D179" s="138" t="s">
        <v>394</v>
      </c>
      <c r="E179" s="107"/>
      <c r="F179" s="37" t="s">
        <v>259</v>
      </c>
      <c r="G179" s="6">
        <v>1</v>
      </c>
      <c r="H179" s="147">
        <v>0</v>
      </c>
      <c r="I179" s="6">
        <f t="shared" si="26"/>
        <v>0</v>
      </c>
      <c r="J179" s="6">
        <f t="shared" si="27"/>
        <v>0</v>
      </c>
      <c r="K179" s="6">
        <f t="shared" si="28"/>
        <v>0</v>
      </c>
      <c r="L179" s="6">
        <v>2.5000000000000001E-2</v>
      </c>
      <c r="M179" s="6">
        <f t="shared" si="29"/>
        <v>2.5000000000000001E-2</v>
      </c>
      <c r="N179" s="86" t="s">
        <v>102</v>
      </c>
      <c r="X179" s="6">
        <f t="shared" si="30"/>
        <v>0</v>
      </c>
      <c r="Z179" s="6">
        <f t="shared" si="31"/>
        <v>0</v>
      </c>
      <c r="AA179" s="6">
        <f t="shared" si="32"/>
        <v>0</v>
      </c>
      <c r="AB179" s="6">
        <f t="shared" si="33"/>
        <v>0</v>
      </c>
      <c r="AC179" s="6">
        <f t="shared" si="34"/>
        <v>0</v>
      </c>
      <c r="AD179" s="6">
        <f t="shared" si="35"/>
        <v>0</v>
      </c>
      <c r="AE179" s="6">
        <f t="shared" si="36"/>
        <v>0</v>
      </c>
      <c r="AF179" s="6">
        <f t="shared" si="37"/>
        <v>0</v>
      </c>
      <c r="AG179" s="13" t="s">
        <v>21</v>
      </c>
      <c r="AH179" s="6">
        <f t="shared" si="38"/>
        <v>0</v>
      </c>
      <c r="AI179" s="6">
        <f t="shared" si="39"/>
        <v>0</v>
      </c>
      <c r="AJ179" s="6">
        <f t="shared" si="40"/>
        <v>0</v>
      </c>
      <c r="AL179" s="6">
        <v>21</v>
      </c>
      <c r="AM179" s="6">
        <f t="shared" si="41"/>
        <v>0</v>
      </c>
      <c r="AN179" s="6">
        <f t="shared" si="42"/>
        <v>0</v>
      </c>
      <c r="AO179" s="23" t="s">
        <v>174</v>
      </c>
      <c r="AT179" s="6">
        <f t="shared" si="43"/>
        <v>0</v>
      </c>
      <c r="AU179" s="6">
        <f t="shared" si="44"/>
        <v>0</v>
      </c>
      <c r="AV179" s="6">
        <f t="shared" si="45"/>
        <v>0</v>
      </c>
      <c r="AW179" s="23" t="s">
        <v>381</v>
      </c>
      <c r="AX179" s="23" t="s">
        <v>382</v>
      </c>
      <c r="AY179" s="13" t="s">
        <v>105</v>
      </c>
      <c r="BA179" s="6">
        <f t="shared" si="46"/>
        <v>0</v>
      </c>
      <c r="BB179" s="6">
        <f t="shared" si="47"/>
        <v>0</v>
      </c>
      <c r="BC179" s="6">
        <v>0</v>
      </c>
      <c r="BD179" s="6">
        <f t="shared" si="48"/>
        <v>2.5000000000000001E-2</v>
      </c>
      <c r="BF179" s="6">
        <f t="shared" si="49"/>
        <v>0</v>
      </c>
      <c r="BG179" s="6">
        <f t="shared" si="50"/>
        <v>0</v>
      </c>
      <c r="BH179" s="6">
        <f t="shared" si="51"/>
        <v>0</v>
      </c>
      <c r="BI179" s="6"/>
      <c r="BJ179" s="6">
        <v>786</v>
      </c>
      <c r="BU179" s="6" t="e">
        <f>#REF!</f>
        <v>#REF!</v>
      </c>
      <c r="BV179" s="3" t="s">
        <v>394</v>
      </c>
    </row>
    <row r="180" spans="1:74" ht="25" x14ac:dyDescent="0.35">
      <c r="A180" s="1" t="s">
        <v>395</v>
      </c>
      <c r="B180" s="2" t="s">
        <v>21</v>
      </c>
      <c r="C180" s="2" t="s">
        <v>396</v>
      </c>
      <c r="D180" s="138" t="s">
        <v>397</v>
      </c>
      <c r="E180" s="107"/>
      <c r="F180" s="37" t="s">
        <v>259</v>
      </c>
      <c r="G180" s="6">
        <v>1</v>
      </c>
      <c r="H180" s="147">
        <v>0</v>
      </c>
      <c r="I180" s="6">
        <f t="shared" si="26"/>
        <v>0</v>
      </c>
      <c r="J180" s="6">
        <f t="shared" si="27"/>
        <v>0</v>
      </c>
      <c r="K180" s="6">
        <f t="shared" si="28"/>
        <v>0</v>
      </c>
      <c r="L180" s="6">
        <v>4.2000000000000003E-2</v>
      </c>
      <c r="M180" s="6">
        <f t="shared" si="29"/>
        <v>4.2000000000000003E-2</v>
      </c>
      <c r="N180" s="86" t="s">
        <v>102</v>
      </c>
      <c r="X180" s="6">
        <f t="shared" si="30"/>
        <v>0</v>
      </c>
      <c r="Z180" s="6">
        <f t="shared" si="31"/>
        <v>0</v>
      </c>
      <c r="AA180" s="6">
        <f t="shared" si="32"/>
        <v>0</v>
      </c>
      <c r="AB180" s="6">
        <f t="shared" si="33"/>
        <v>0</v>
      </c>
      <c r="AC180" s="6">
        <f t="shared" si="34"/>
        <v>0</v>
      </c>
      <c r="AD180" s="6">
        <f t="shared" si="35"/>
        <v>0</v>
      </c>
      <c r="AE180" s="6">
        <f t="shared" si="36"/>
        <v>0</v>
      </c>
      <c r="AF180" s="6">
        <f t="shared" si="37"/>
        <v>0</v>
      </c>
      <c r="AG180" s="13" t="s">
        <v>21</v>
      </c>
      <c r="AH180" s="6">
        <f t="shared" si="38"/>
        <v>0</v>
      </c>
      <c r="AI180" s="6">
        <f t="shared" si="39"/>
        <v>0</v>
      </c>
      <c r="AJ180" s="6">
        <f t="shared" si="40"/>
        <v>0</v>
      </c>
      <c r="AL180" s="6">
        <v>21</v>
      </c>
      <c r="AM180" s="6">
        <f t="shared" si="41"/>
        <v>0</v>
      </c>
      <c r="AN180" s="6">
        <f t="shared" si="42"/>
        <v>0</v>
      </c>
      <c r="AO180" s="23" t="s">
        <v>174</v>
      </c>
      <c r="AT180" s="6">
        <f t="shared" si="43"/>
        <v>0</v>
      </c>
      <c r="AU180" s="6">
        <f t="shared" si="44"/>
        <v>0</v>
      </c>
      <c r="AV180" s="6">
        <f t="shared" si="45"/>
        <v>0</v>
      </c>
      <c r="AW180" s="23" t="s">
        <v>381</v>
      </c>
      <c r="AX180" s="23" t="s">
        <v>382</v>
      </c>
      <c r="AY180" s="13" t="s">
        <v>105</v>
      </c>
      <c r="BA180" s="6">
        <f t="shared" si="46"/>
        <v>0</v>
      </c>
      <c r="BB180" s="6">
        <f t="shared" si="47"/>
        <v>0</v>
      </c>
      <c r="BC180" s="6">
        <v>0</v>
      </c>
      <c r="BD180" s="6">
        <f t="shared" si="48"/>
        <v>4.2000000000000003E-2</v>
      </c>
      <c r="BF180" s="6">
        <f t="shared" si="49"/>
        <v>0</v>
      </c>
      <c r="BG180" s="6">
        <f t="shared" si="50"/>
        <v>0</v>
      </c>
      <c r="BH180" s="6">
        <f t="shared" si="51"/>
        <v>0</v>
      </c>
      <c r="BI180" s="6"/>
      <c r="BJ180" s="6">
        <v>786</v>
      </c>
      <c r="BU180" s="6" t="e">
        <f>#REF!</f>
        <v>#REF!</v>
      </c>
      <c r="BV180" s="3" t="s">
        <v>397</v>
      </c>
    </row>
    <row r="181" spans="1:74" ht="25" x14ac:dyDescent="0.35">
      <c r="A181" s="1" t="s">
        <v>398</v>
      </c>
      <c r="B181" s="2" t="s">
        <v>21</v>
      </c>
      <c r="C181" s="2" t="s">
        <v>399</v>
      </c>
      <c r="D181" s="138" t="s">
        <v>400</v>
      </c>
      <c r="E181" s="107"/>
      <c r="F181" s="37" t="s">
        <v>401</v>
      </c>
      <c r="G181" s="6">
        <v>1</v>
      </c>
      <c r="H181" s="147">
        <v>0</v>
      </c>
      <c r="I181" s="6">
        <f t="shared" si="26"/>
        <v>0</v>
      </c>
      <c r="J181" s="6">
        <f t="shared" si="27"/>
        <v>0</v>
      </c>
      <c r="K181" s="6">
        <f t="shared" si="28"/>
        <v>0</v>
      </c>
      <c r="L181" s="6">
        <v>0.02</v>
      </c>
      <c r="M181" s="6">
        <f t="shared" si="29"/>
        <v>0.02</v>
      </c>
      <c r="N181" s="86" t="s">
        <v>102</v>
      </c>
      <c r="X181" s="6">
        <f t="shared" si="30"/>
        <v>0</v>
      </c>
      <c r="Z181" s="6">
        <f t="shared" si="31"/>
        <v>0</v>
      </c>
      <c r="AA181" s="6">
        <f t="shared" si="32"/>
        <v>0</v>
      </c>
      <c r="AB181" s="6">
        <f t="shared" si="33"/>
        <v>0</v>
      </c>
      <c r="AC181" s="6">
        <f t="shared" si="34"/>
        <v>0</v>
      </c>
      <c r="AD181" s="6">
        <f t="shared" si="35"/>
        <v>0</v>
      </c>
      <c r="AE181" s="6">
        <f t="shared" si="36"/>
        <v>0</v>
      </c>
      <c r="AF181" s="6">
        <f t="shared" si="37"/>
        <v>0</v>
      </c>
      <c r="AG181" s="13" t="s">
        <v>21</v>
      </c>
      <c r="AH181" s="6">
        <f t="shared" si="38"/>
        <v>0</v>
      </c>
      <c r="AI181" s="6">
        <f t="shared" si="39"/>
        <v>0</v>
      </c>
      <c r="AJ181" s="6">
        <f t="shared" si="40"/>
        <v>0</v>
      </c>
      <c r="AL181" s="6">
        <v>21</v>
      </c>
      <c r="AM181" s="6">
        <f t="shared" si="41"/>
        <v>0</v>
      </c>
      <c r="AN181" s="6">
        <f t="shared" si="42"/>
        <v>0</v>
      </c>
      <c r="AO181" s="23" t="s">
        <v>174</v>
      </c>
      <c r="AT181" s="6">
        <f t="shared" si="43"/>
        <v>0</v>
      </c>
      <c r="AU181" s="6">
        <f t="shared" si="44"/>
        <v>0</v>
      </c>
      <c r="AV181" s="6">
        <f t="shared" si="45"/>
        <v>0</v>
      </c>
      <c r="AW181" s="23" t="s">
        <v>381</v>
      </c>
      <c r="AX181" s="23" t="s">
        <v>382</v>
      </c>
      <c r="AY181" s="13" t="s">
        <v>105</v>
      </c>
      <c r="BA181" s="6">
        <f t="shared" si="46"/>
        <v>0</v>
      </c>
      <c r="BB181" s="6">
        <f t="shared" si="47"/>
        <v>0</v>
      </c>
      <c r="BC181" s="6">
        <v>0</v>
      </c>
      <c r="BD181" s="6">
        <f t="shared" si="48"/>
        <v>0.02</v>
      </c>
      <c r="BF181" s="6">
        <f t="shared" si="49"/>
        <v>0</v>
      </c>
      <c r="BG181" s="6">
        <f t="shared" si="50"/>
        <v>0</v>
      </c>
      <c r="BH181" s="6">
        <f t="shared" si="51"/>
        <v>0</v>
      </c>
      <c r="BI181" s="6"/>
      <c r="BJ181" s="6">
        <v>786</v>
      </c>
      <c r="BU181" s="6" t="e">
        <f>#REF!</f>
        <v>#REF!</v>
      </c>
      <c r="BV181" s="3" t="s">
        <v>400</v>
      </c>
    </row>
    <row r="182" spans="1:74" ht="14.5" x14ac:dyDescent="0.35">
      <c r="A182" s="1" t="s">
        <v>402</v>
      </c>
      <c r="B182" s="2" t="s">
        <v>21</v>
      </c>
      <c r="C182" s="2" t="s">
        <v>403</v>
      </c>
      <c r="D182" s="138" t="s">
        <v>404</v>
      </c>
      <c r="E182" s="107"/>
      <c r="F182" s="37" t="s">
        <v>145</v>
      </c>
      <c r="G182" s="6">
        <v>68.41</v>
      </c>
      <c r="H182" s="147">
        <v>0</v>
      </c>
      <c r="I182" s="6">
        <f t="shared" si="26"/>
        <v>0</v>
      </c>
      <c r="J182" s="6">
        <f t="shared" si="27"/>
        <v>0</v>
      </c>
      <c r="K182" s="6">
        <f t="shared" si="28"/>
        <v>0</v>
      </c>
      <c r="L182" s="6">
        <v>3.82E-3</v>
      </c>
      <c r="M182" s="6">
        <f t="shared" si="29"/>
        <v>0.26132620000000001</v>
      </c>
      <c r="N182" s="86" t="s">
        <v>129</v>
      </c>
      <c r="X182" s="6">
        <f t="shared" si="30"/>
        <v>0</v>
      </c>
      <c r="Z182" s="6">
        <f t="shared" si="31"/>
        <v>0</v>
      </c>
      <c r="AA182" s="6">
        <f t="shared" si="32"/>
        <v>0</v>
      </c>
      <c r="AB182" s="6">
        <f t="shared" si="33"/>
        <v>0</v>
      </c>
      <c r="AC182" s="6">
        <f t="shared" si="34"/>
        <v>0</v>
      </c>
      <c r="AD182" s="6">
        <f t="shared" si="35"/>
        <v>0</v>
      </c>
      <c r="AE182" s="6">
        <f t="shared" si="36"/>
        <v>0</v>
      </c>
      <c r="AF182" s="6">
        <f t="shared" si="37"/>
        <v>0</v>
      </c>
      <c r="AG182" s="13" t="s">
        <v>21</v>
      </c>
      <c r="AH182" s="6">
        <f t="shared" si="38"/>
        <v>0</v>
      </c>
      <c r="AI182" s="6">
        <f t="shared" si="39"/>
        <v>0</v>
      </c>
      <c r="AJ182" s="6">
        <f t="shared" si="40"/>
        <v>0</v>
      </c>
      <c r="AL182" s="6">
        <v>21</v>
      </c>
      <c r="AM182" s="6">
        <f>H182*0.699619835</f>
        <v>0</v>
      </c>
      <c r="AN182" s="6">
        <f>H182*(1-0.699619835)</f>
        <v>0</v>
      </c>
      <c r="AO182" s="23" t="s">
        <v>174</v>
      </c>
      <c r="AT182" s="6">
        <f t="shared" si="43"/>
        <v>0</v>
      </c>
      <c r="AU182" s="6">
        <f t="shared" si="44"/>
        <v>0</v>
      </c>
      <c r="AV182" s="6">
        <f t="shared" si="45"/>
        <v>0</v>
      </c>
      <c r="AW182" s="23" t="s">
        <v>381</v>
      </c>
      <c r="AX182" s="23" t="s">
        <v>382</v>
      </c>
      <c r="AY182" s="13" t="s">
        <v>105</v>
      </c>
      <c r="BA182" s="6">
        <f t="shared" si="46"/>
        <v>0</v>
      </c>
      <c r="BB182" s="6">
        <f t="shared" si="47"/>
        <v>0</v>
      </c>
      <c r="BC182" s="6">
        <v>0</v>
      </c>
      <c r="BD182" s="6">
        <f t="shared" si="48"/>
        <v>0.26132620000000001</v>
      </c>
      <c r="BF182" s="6">
        <f t="shared" si="49"/>
        <v>0</v>
      </c>
      <c r="BG182" s="6">
        <f t="shared" si="50"/>
        <v>0</v>
      </c>
      <c r="BH182" s="6">
        <f t="shared" si="51"/>
        <v>0</v>
      </c>
      <c r="BI182" s="6"/>
      <c r="BJ182" s="6">
        <v>786</v>
      </c>
      <c r="BU182" s="6" t="e">
        <f>#REF!</f>
        <v>#REF!</v>
      </c>
      <c r="BV182" s="3" t="s">
        <v>404</v>
      </c>
    </row>
    <row r="183" spans="1:74" ht="14.5" x14ac:dyDescent="0.35">
      <c r="A183" s="24"/>
      <c r="D183" s="25" t="s">
        <v>405</v>
      </c>
      <c r="E183" s="26" t="s">
        <v>406</v>
      </c>
      <c r="G183" s="27">
        <v>28.6</v>
      </c>
      <c r="N183" s="87"/>
    </row>
    <row r="184" spans="1:74" ht="14.5" x14ac:dyDescent="0.35">
      <c r="A184" s="24"/>
      <c r="D184" s="25" t="s">
        <v>407</v>
      </c>
      <c r="E184" s="26" t="s">
        <v>408</v>
      </c>
      <c r="G184" s="27">
        <v>18.2</v>
      </c>
      <c r="N184" s="87"/>
    </row>
    <row r="185" spans="1:74" ht="14.5" x14ac:dyDescent="0.35">
      <c r="A185" s="24"/>
      <c r="D185" s="25" t="s">
        <v>409</v>
      </c>
      <c r="E185" s="26" t="s">
        <v>410</v>
      </c>
      <c r="G185" s="27">
        <v>9.1</v>
      </c>
      <c r="N185" s="87"/>
    </row>
    <row r="186" spans="1:74" ht="14.5" x14ac:dyDescent="0.35">
      <c r="A186" s="24"/>
      <c r="D186" s="25" t="s">
        <v>411</v>
      </c>
      <c r="E186" s="26" t="s">
        <v>412</v>
      </c>
      <c r="G186" s="27">
        <v>7.8</v>
      </c>
      <c r="N186" s="87"/>
    </row>
    <row r="187" spans="1:74" ht="14.5" x14ac:dyDescent="0.35">
      <c r="A187" s="24"/>
      <c r="D187" s="25" t="s">
        <v>413</v>
      </c>
      <c r="E187" s="26" t="s">
        <v>414</v>
      </c>
      <c r="G187" s="27">
        <v>3.1</v>
      </c>
      <c r="N187" s="87"/>
    </row>
    <row r="188" spans="1:74" ht="14.5" x14ac:dyDescent="0.35">
      <c r="A188" s="24"/>
      <c r="D188" s="25" t="s">
        <v>415</v>
      </c>
      <c r="E188" s="26" t="s">
        <v>416</v>
      </c>
      <c r="G188" s="27">
        <v>1.61</v>
      </c>
      <c r="N188" s="87"/>
    </row>
    <row r="189" spans="1:74" ht="14.5" x14ac:dyDescent="0.35">
      <c r="A189" s="1" t="s">
        <v>417</v>
      </c>
      <c r="B189" s="2" t="s">
        <v>21</v>
      </c>
      <c r="C189" s="2" t="s">
        <v>418</v>
      </c>
      <c r="D189" s="138" t="s">
        <v>419</v>
      </c>
      <c r="E189" s="107"/>
      <c r="F189" s="37" t="s">
        <v>145</v>
      </c>
      <c r="G189" s="6">
        <v>38.950000000000003</v>
      </c>
      <c r="H189" s="147">
        <v>0</v>
      </c>
      <c r="I189" s="6">
        <f>G189*AM189</f>
        <v>0</v>
      </c>
      <c r="J189" s="6">
        <f>G189*AN189</f>
        <v>0</v>
      </c>
      <c r="K189" s="6">
        <f>G189*H189</f>
        <v>0</v>
      </c>
      <c r="L189" s="6">
        <v>3.82E-3</v>
      </c>
      <c r="M189" s="6">
        <f>G189*L189</f>
        <v>0.148789</v>
      </c>
      <c r="N189" s="86" t="s">
        <v>102</v>
      </c>
      <c r="X189" s="6">
        <f>IF(AO189="5",BH189,0)</f>
        <v>0</v>
      </c>
      <c r="Z189" s="6">
        <f>IF(AO189="1",BF189,0)</f>
        <v>0</v>
      </c>
      <c r="AA189" s="6">
        <f>IF(AO189="1",BG189,0)</f>
        <v>0</v>
      </c>
      <c r="AB189" s="6">
        <f>IF(AO189="7",BF189,0)</f>
        <v>0</v>
      </c>
      <c r="AC189" s="6">
        <f>IF(AO189="7",BG189,0)</f>
        <v>0</v>
      </c>
      <c r="AD189" s="6">
        <f>IF(AO189="2",BF189,0)</f>
        <v>0</v>
      </c>
      <c r="AE189" s="6">
        <f>IF(AO189="2",BG189,0)</f>
        <v>0</v>
      </c>
      <c r="AF189" s="6">
        <f>IF(AO189="0",BH189,0)</f>
        <v>0</v>
      </c>
      <c r="AG189" s="13" t="s">
        <v>21</v>
      </c>
      <c r="AH189" s="6">
        <f>IF(AL189=0,K189,0)</f>
        <v>0</v>
      </c>
      <c r="AI189" s="6">
        <f>IF(AL189=12,K189,0)</f>
        <v>0</v>
      </c>
      <c r="AJ189" s="6">
        <f>IF(AL189=21,K189,0)</f>
        <v>0</v>
      </c>
      <c r="AL189" s="6">
        <v>21</v>
      </c>
      <c r="AM189" s="6">
        <f>H189*0.69964</f>
        <v>0</v>
      </c>
      <c r="AN189" s="6">
        <f>H189*(1-0.69964)</f>
        <v>0</v>
      </c>
      <c r="AO189" s="23" t="s">
        <v>174</v>
      </c>
      <c r="AT189" s="6">
        <f>AU189+AV189</f>
        <v>0</v>
      </c>
      <c r="AU189" s="6">
        <f>G189*AM189</f>
        <v>0</v>
      </c>
      <c r="AV189" s="6">
        <f>G189*AN189</f>
        <v>0</v>
      </c>
      <c r="AW189" s="23" t="s">
        <v>381</v>
      </c>
      <c r="AX189" s="23" t="s">
        <v>382</v>
      </c>
      <c r="AY189" s="13" t="s">
        <v>105</v>
      </c>
      <c r="BA189" s="6">
        <f>AU189+AV189</f>
        <v>0</v>
      </c>
      <c r="BB189" s="6">
        <f>H189/(100-BC189)*100</f>
        <v>0</v>
      </c>
      <c r="BC189" s="6">
        <v>0</v>
      </c>
      <c r="BD189" s="6">
        <f>M189</f>
        <v>0.148789</v>
      </c>
      <c r="BF189" s="6">
        <f>G189*AM189</f>
        <v>0</v>
      </c>
      <c r="BG189" s="6">
        <f>G189*AN189</f>
        <v>0</v>
      </c>
      <c r="BH189" s="6">
        <f>G189*H189</f>
        <v>0</v>
      </c>
      <c r="BI189" s="6"/>
      <c r="BJ189" s="6">
        <v>786</v>
      </c>
      <c r="BU189" s="6" t="e">
        <f>#REF!</f>
        <v>#REF!</v>
      </c>
      <c r="BV189" s="3" t="s">
        <v>419</v>
      </c>
    </row>
    <row r="190" spans="1:74" ht="14.5" x14ac:dyDescent="0.35">
      <c r="A190" s="24"/>
      <c r="D190" s="25" t="s">
        <v>420</v>
      </c>
      <c r="E190" s="26" t="s">
        <v>421</v>
      </c>
      <c r="G190" s="27">
        <v>15.47</v>
      </c>
      <c r="N190" s="87"/>
    </row>
    <row r="191" spans="1:74" ht="14.5" x14ac:dyDescent="0.35">
      <c r="A191" s="24"/>
      <c r="D191" s="25" t="s">
        <v>422</v>
      </c>
      <c r="E191" s="26" t="s">
        <v>423</v>
      </c>
      <c r="G191" s="27">
        <v>8.84</v>
      </c>
      <c r="N191" s="87"/>
    </row>
    <row r="192" spans="1:74" ht="14.5" x14ac:dyDescent="0.35">
      <c r="A192" s="24"/>
      <c r="D192" s="25" t="s">
        <v>424</v>
      </c>
      <c r="E192" s="26" t="s">
        <v>425</v>
      </c>
      <c r="G192" s="27">
        <v>14.64</v>
      </c>
      <c r="N192" s="87"/>
    </row>
    <row r="193" spans="1:74" ht="14.5" x14ac:dyDescent="0.35">
      <c r="A193" s="1" t="s">
        <v>426</v>
      </c>
      <c r="B193" s="2" t="s">
        <v>21</v>
      </c>
      <c r="C193" s="2" t="s">
        <v>427</v>
      </c>
      <c r="D193" s="138" t="s">
        <v>428</v>
      </c>
      <c r="E193" s="107"/>
      <c r="F193" s="37" t="s">
        <v>200</v>
      </c>
      <c r="G193" s="6">
        <v>1.56</v>
      </c>
      <c r="H193" s="147">
        <v>0</v>
      </c>
      <c r="I193" s="6">
        <f>G193*AM193</f>
        <v>0</v>
      </c>
      <c r="J193" s="6">
        <f>G193*AN193</f>
        <v>0</v>
      </c>
      <c r="K193" s="6">
        <f>G193*H193</f>
        <v>0</v>
      </c>
      <c r="L193" s="6">
        <v>0</v>
      </c>
      <c r="M193" s="6">
        <f>G193*L193</f>
        <v>0</v>
      </c>
      <c r="N193" s="86" t="s">
        <v>129</v>
      </c>
      <c r="X193" s="6">
        <f>IF(AO193="5",BH193,0)</f>
        <v>0</v>
      </c>
      <c r="Z193" s="6">
        <f>IF(AO193="1",BF193,0)</f>
        <v>0</v>
      </c>
      <c r="AA193" s="6">
        <f>IF(AO193="1",BG193,0)</f>
        <v>0</v>
      </c>
      <c r="AB193" s="6">
        <f>IF(AO193="7",BF193,0)</f>
        <v>0</v>
      </c>
      <c r="AC193" s="6">
        <f>IF(AO193="7",BG193,0)</f>
        <v>0</v>
      </c>
      <c r="AD193" s="6">
        <f>IF(AO193="2",BF193,0)</f>
        <v>0</v>
      </c>
      <c r="AE193" s="6">
        <f>IF(AO193="2",BG193,0)</f>
        <v>0</v>
      </c>
      <c r="AF193" s="6">
        <f>IF(AO193="0",BH193,0)</f>
        <v>0</v>
      </c>
      <c r="AG193" s="13" t="s">
        <v>21</v>
      </c>
      <c r="AH193" s="6">
        <f>IF(AL193=0,K193,0)</f>
        <v>0</v>
      </c>
      <c r="AI193" s="6">
        <f>IF(AL193=12,K193,0)</f>
        <v>0</v>
      </c>
      <c r="AJ193" s="6">
        <f>IF(AL193=21,K193,0)</f>
        <v>0</v>
      </c>
      <c r="AL193" s="6">
        <v>21</v>
      </c>
      <c r="AM193" s="6">
        <f>H193*0</f>
        <v>0</v>
      </c>
      <c r="AN193" s="6">
        <f>H193*(1-0)</f>
        <v>0</v>
      </c>
      <c r="AO193" s="23" t="s">
        <v>164</v>
      </c>
      <c r="AT193" s="6">
        <f>AU193+AV193</f>
        <v>0</v>
      </c>
      <c r="AU193" s="6">
        <f>G193*AM193</f>
        <v>0</v>
      </c>
      <c r="AV193" s="6">
        <f>G193*AN193</f>
        <v>0</v>
      </c>
      <c r="AW193" s="23" t="s">
        <v>381</v>
      </c>
      <c r="AX193" s="23" t="s">
        <v>382</v>
      </c>
      <c r="AY193" s="13" t="s">
        <v>105</v>
      </c>
      <c r="BA193" s="6">
        <f>AU193+AV193</f>
        <v>0</v>
      </c>
      <c r="BB193" s="6">
        <f>H193/(100-BC193)*100</f>
        <v>0</v>
      </c>
      <c r="BC193" s="6">
        <v>0</v>
      </c>
      <c r="BD193" s="6">
        <f>M193</f>
        <v>0</v>
      </c>
      <c r="BF193" s="6">
        <f>G193*AM193</f>
        <v>0</v>
      </c>
      <c r="BG193" s="6">
        <f>G193*AN193</f>
        <v>0</v>
      </c>
      <c r="BH193" s="6">
        <f>G193*H193</f>
        <v>0</v>
      </c>
      <c r="BI193" s="6"/>
      <c r="BJ193" s="6">
        <v>786</v>
      </c>
      <c r="BU193" s="6" t="e">
        <f>#REF!</f>
        <v>#REF!</v>
      </c>
      <c r="BV193" s="3" t="s">
        <v>428</v>
      </c>
    </row>
    <row r="194" spans="1:74" ht="14.5" x14ac:dyDescent="0.35">
      <c r="A194" s="20" t="s">
        <v>22</v>
      </c>
      <c r="B194" s="21" t="s">
        <v>21</v>
      </c>
      <c r="C194" s="21" t="s">
        <v>38</v>
      </c>
      <c r="D194" s="133" t="s">
        <v>39</v>
      </c>
      <c r="E194" s="134"/>
      <c r="F194" s="91" t="s">
        <v>12</v>
      </c>
      <c r="G194" s="22" t="s">
        <v>12</v>
      </c>
      <c r="H194" s="22" t="s">
        <v>12</v>
      </c>
      <c r="I194" s="12">
        <f>SUM(I195:I197)</f>
        <v>0</v>
      </c>
      <c r="J194" s="12">
        <f>SUM(J195:J197)</f>
        <v>0</v>
      </c>
      <c r="K194" s="12">
        <f>SUM(K195:K197)</f>
        <v>0</v>
      </c>
      <c r="L194" s="13" t="s">
        <v>22</v>
      </c>
      <c r="M194" s="12">
        <f>SUM(M195:M197)</f>
        <v>0.1610856</v>
      </c>
      <c r="N194" s="85" t="s">
        <v>22</v>
      </c>
      <c r="AG194" s="13" t="s">
        <v>21</v>
      </c>
      <c r="AQ194" s="12">
        <f>SUM(AH195:AH197)</f>
        <v>0</v>
      </c>
      <c r="AR194" s="12">
        <f>SUM(AI195:AI197)</f>
        <v>0</v>
      </c>
      <c r="AS194" s="12">
        <f>SUM(AJ195:AJ197)</f>
        <v>0</v>
      </c>
    </row>
    <row r="195" spans="1:74" ht="14.5" x14ac:dyDescent="0.35">
      <c r="A195" s="1" t="s">
        <v>429</v>
      </c>
      <c r="B195" s="2" t="s">
        <v>21</v>
      </c>
      <c r="C195" s="2" t="s">
        <v>430</v>
      </c>
      <c r="D195" s="138" t="s">
        <v>431</v>
      </c>
      <c r="E195" s="107"/>
      <c r="F195" s="37" t="s">
        <v>145</v>
      </c>
      <c r="G195" s="6">
        <v>150</v>
      </c>
      <c r="H195" s="147">
        <v>0</v>
      </c>
      <c r="I195" s="6">
        <f>G195*AM195</f>
        <v>0</v>
      </c>
      <c r="J195" s="6">
        <f>G195*AN195</f>
        <v>0</v>
      </c>
      <c r="K195" s="6">
        <f>G195*H195</f>
        <v>0</v>
      </c>
      <c r="L195" s="6">
        <v>4.2000000000000002E-4</v>
      </c>
      <c r="M195" s="6">
        <f>G195*L195</f>
        <v>6.3E-2</v>
      </c>
      <c r="N195" s="86" t="s">
        <v>129</v>
      </c>
      <c r="X195" s="6">
        <f>IF(AO195="5",BH195,0)</f>
        <v>0</v>
      </c>
      <c r="Z195" s="6">
        <f>IF(AO195="1",BF195,0)</f>
        <v>0</v>
      </c>
      <c r="AA195" s="6">
        <f>IF(AO195="1",BG195,0)</f>
        <v>0</v>
      </c>
      <c r="AB195" s="6">
        <f>IF(AO195="7",BF195,0)</f>
        <v>0</v>
      </c>
      <c r="AC195" s="6">
        <f>IF(AO195="7",BG195,0)</f>
        <v>0</v>
      </c>
      <c r="AD195" s="6">
        <f>IF(AO195="2",BF195,0)</f>
        <v>0</v>
      </c>
      <c r="AE195" s="6">
        <f>IF(AO195="2",BG195,0)</f>
        <v>0</v>
      </c>
      <c r="AF195" s="6">
        <f>IF(AO195="0",BH195,0)</f>
        <v>0</v>
      </c>
      <c r="AG195" s="13" t="s">
        <v>21</v>
      </c>
      <c r="AH195" s="6">
        <f>IF(AL195=0,K195,0)</f>
        <v>0</v>
      </c>
      <c r="AI195" s="6">
        <f>IF(AL195=12,K195,0)</f>
        <v>0</v>
      </c>
      <c r="AJ195" s="6">
        <f>IF(AL195=21,K195,0)</f>
        <v>0</v>
      </c>
      <c r="AL195" s="6">
        <v>21</v>
      </c>
      <c r="AM195" s="6">
        <f>H195*0.227227227</f>
        <v>0</v>
      </c>
      <c r="AN195" s="6">
        <f>H195*(1-0.227227227)</f>
        <v>0</v>
      </c>
      <c r="AO195" s="23" t="s">
        <v>174</v>
      </c>
      <c r="AT195" s="6">
        <f>AU195+AV195</f>
        <v>0</v>
      </c>
      <c r="AU195" s="6">
        <f>G195*AM195</f>
        <v>0</v>
      </c>
      <c r="AV195" s="6">
        <f>G195*AN195</f>
        <v>0</v>
      </c>
      <c r="AW195" s="23" t="s">
        <v>432</v>
      </c>
      <c r="AX195" s="23" t="s">
        <v>382</v>
      </c>
      <c r="AY195" s="13" t="s">
        <v>105</v>
      </c>
      <c r="BA195" s="6">
        <f>AU195+AV195</f>
        <v>0</v>
      </c>
      <c r="BB195" s="6">
        <f>H195/(100-BC195)*100</f>
        <v>0</v>
      </c>
      <c r="BC195" s="6">
        <v>0</v>
      </c>
      <c r="BD195" s="6">
        <f>M195</f>
        <v>6.3E-2</v>
      </c>
      <c r="BF195" s="6">
        <f>G195*AM195</f>
        <v>0</v>
      </c>
      <c r="BG195" s="6">
        <f>G195*AN195</f>
        <v>0</v>
      </c>
      <c r="BH195" s="6">
        <f>G195*H195</f>
        <v>0</v>
      </c>
      <c r="BI195" s="6"/>
      <c r="BJ195" s="6">
        <v>784</v>
      </c>
      <c r="BU195" s="6" t="e">
        <f>#REF!</f>
        <v>#REF!</v>
      </c>
      <c r="BV195" s="3" t="s">
        <v>431</v>
      </c>
    </row>
    <row r="196" spans="1:74" ht="14.5" x14ac:dyDescent="0.35">
      <c r="A196" s="24"/>
      <c r="D196" s="25" t="s">
        <v>433</v>
      </c>
      <c r="E196" s="26" t="s">
        <v>434</v>
      </c>
      <c r="G196" s="27">
        <v>150</v>
      </c>
      <c r="N196" s="87"/>
    </row>
    <row r="197" spans="1:74" ht="14.5" x14ac:dyDescent="0.35">
      <c r="A197" s="1" t="s">
        <v>25</v>
      </c>
      <c r="B197" s="2" t="s">
        <v>21</v>
      </c>
      <c r="C197" s="2" t="s">
        <v>435</v>
      </c>
      <c r="D197" s="138" t="s">
        <v>436</v>
      </c>
      <c r="E197" s="107"/>
      <c r="F197" s="37" t="s">
        <v>145</v>
      </c>
      <c r="G197" s="6">
        <v>408.69</v>
      </c>
      <c r="H197" s="147">
        <v>0</v>
      </c>
      <c r="I197" s="6">
        <f>G197*AM197</f>
        <v>0</v>
      </c>
      <c r="J197" s="6">
        <f>G197*AN197</f>
        <v>0</v>
      </c>
      <c r="K197" s="6">
        <f>G197*H197</f>
        <v>0</v>
      </c>
      <c r="L197" s="6">
        <v>2.4000000000000001E-4</v>
      </c>
      <c r="M197" s="6">
        <f>G197*L197</f>
        <v>9.8085599999999995E-2</v>
      </c>
      <c r="N197" s="86" t="s">
        <v>129</v>
      </c>
      <c r="X197" s="6">
        <f>IF(AO197="5",BH197,0)</f>
        <v>0</v>
      </c>
      <c r="Z197" s="6">
        <f>IF(AO197="1",BF197,0)</f>
        <v>0</v>
      </c>
      <c r="AA197" s="6">
        <f>IF(AO197="1",BG197,0)</f>
        <v>0</v>
      </c>
      <c r="AB197" s="6">
        <f>IF(AO197="7",BF197,0)</f>
        <v>0</v>
      </c>
      <c r="AC197" s="6">
        <f>IF(AO197="7",BG197,0)</f>
        <v>0</v>
      </c>
      <c r="AD197" s="6">
        <f>IF(AO197="2",BF197,0)</f>
        <v>0</v>
      </c>
      <c r="AE197" s="6">
        <f>IF(AO197="2",BG197,0)</f>
        <v>0</v>
      </c>
      <c r="AF197" s="6">
        <f>IF(AO197="0",BH197,0)</f>
        <v>0</v>
      </c>
      <c r="AG197" s="13" t="s">
        <v>21</v>
      </c>
      <c r="AH197" s="6">
        <f>IF(AL197=0,K197,0)</f>
        <v>0</v>
      </c>
      <c r="AI197" s="6">
        <f>IF(AL197=12,K197,0)</f>
        <v>0</v>
      </c>
      <c r="AJ197" s="6">
        <f>IF(AL197=21,K197,0)</f>
        <v>0</v>
      </c>
      <c r="AL197" s="6">
        <v>21</v>
      </c>
      <c r="AM197" s="6">
        <f>H197*0.069045829</f>
        <v>0</v>
      </c>
      <c r="AN197" s="6">
        <f>H197*(1-0.069045829)</f>
        <v>0</v>
      </c>
      <c r="AO197" s="23" t="s">
        <v>174</v>
      </c>
      <c r="AT197" s="6">
        <f>AU197+AV197</f>
        <v>0</v>
      </c>
      <c r="AU197" s="6">
        <f>G197*AM197</f>
        <v>0</v>
      </c>
      <c r="AV197" s="6">
        <f>G197*AN197</f>
        <v>0</v>
      </c>
      <c r="AW197" s="23" t="s">
        <v>432</v>
      </c>
      <c r="AX197" s="23" t="s">
        <v>382</v>
      </c>
      <c r="AY197" s="13" t="s">
        <v>105</v>
      </c>
      <c r="BA197" s="6">
        <f>AU197+AV197</f>
        <v>0</v>
      </c>
      <c r="BB197" s="6">
        <f>H197/(100-BC197)*100</f>
        <v>0</v>
      </c>
      <c r="BC197" s="6">
        <v>0</v>
      </c>
      <c r="BD197" s="6">
        <f>M197</f>
        <v>9.8085599999999995E-2</v>
      </c>
      <c r="BF197" s="6">
        <f>G197*AM197</f>
        <v>0</v>
      </c>
      <c r="BG197" s="6">
        <f>G197*AN197</f>
        <v>0</v>
      </c>
      <c r="BH197" s="6">
        <f>G197*H197</f>
        <v>0</v>
      </c>
      <c r="BI197" s="6"/>
      <c r="BJ197" s="6">
        <v>784</v>
      </c>
      <c r="BU197" s="6" t="e">
        <f>#REF!</f>
        <v>#REF!</v>
      </c>
      <c r="BV197" s="3" t="s">
        <v>436</v>
      </c>
    </row>
    <row r="198" spans="1:74" ht="14.5" x14ac:dyDescent="0.35">
      <c r="A198" s="24"/>
      <c r="D198" s="25" t="s">
        <v>437</v>
      </c>
      <c r="E198" s="26" t="s">
        <v>438</v>
      </c>
      <c r="G198" s="27">
        <v>594</v>
      </c>
      <c r="N198" s="87"/>
    </row>
    <row r="199" spans="1:74" ht="14.5" x14ac:dyDescent="0.35">
      <c r="A199" s="24"/>
      <c r="D199" s="25" t="s">
        <v>439</v>
      </c>
      <c r="E199" s="26" t="s">
        <v>440</v>
      </c>
      <c r="G199" s="27">
        <v>-185.31</v>
      </c>
      <c r="N199" s="87"/>
    </row>
    <row r="200" spans="1:74" ht="14.5" x14ac:dyDescent="0.35">
      <c r="A200" s="20" t="s">
        <v>22</v>
      </c>
      <c r="B200" s="21" t="s">
        <v>21</v>
      </c>
      <c r="C200" s="21" t="s">
        <v>40</v>
      </c>
      <c r="D200" s="133" t="s">
        <v>41</v>
      </c>
      <c r="E200" s="134"/>
      <c r="F200" s="91" t="s">
        <v>12</v>
      </c>
      <c r="G200" s="22" t="s">
        <v>12</v>
      </c>
      <c r="H200" s="22" t="s">
        <v>12</v>
      </c>
      <c r="I200" s="12">
        <f>SUM(I201:I219)</f>
        <v>0</v>
      </c>
      <c r="J200" s="12">
        <f>SUM(J201:J219)</f>
        <v>0</v>
      </c>
      <c r="K200" s="12">
        <f>SUM(K201:K219)</f>
        <v>0</v>
      </c>
      <c r="L200" s="13" t="s">
        <v>22</v>
      </c>
      <c r="M200" s="12">
        <f>SUM(M201:M219)</f>
        <v>0.16947399999999999</v>
      </c>
      <c r="N200" s="85" t="s">
        <v>22</v>
      </c>
      <c r="AG200" s="13" t="s">
        <v>21</v>
      </c>
      <c r="AQ200" s="12">
        <f>SUM(AH201:AH219)</f>
        <v>0</v>
      </c>
      <c r="AR200" s="12">
        <f>SUM(AI201:AI219)</f>
        <v>0</v>
      </c>
      <c r="AS200" s="12">
        <f>SUM(AJ201:AJ219)</f>
        <v>0</v>
      </c>
    </row>
    <row r="201" spans="1:74" ht="14.5" x14ac:dyDescent="0.35">
      <c r="A201" s="1" t="s">
        <v>46</v>
      </c>
      <c r="B201" s="2" t="s">
        <v>21</v>
      </c>
      <c r="C201" s="2" t="s">
        <v>441</v>
      </c>
      <c r="D201" s="138" t="s">
        <v>442</v>
      </c>
      <c r="E201" s="107"/>
      <c r="F201" s="37" t="s">
        <v>145</v>
      </c>
      <c r="G201" s="6">
        <v>175.25</v>
      </c>
      <c r="H201" s="147">
        <v>0</v>
      </c>
      <c r="I201" s="6">
        <f>G201*AM201</f>
        <v>0</v>
      </c>
      <c r="J201" s="6">
        <f>G201*AN201</f>
        <v>0</v>
      </c>
      <c r="K201" s="6">
        <f>G201*H201</f>
        <v>0</v>
      </c>
      <c r="L201" s="6">
        <v>4.0000000000000003E-5</v>
      </c>
      <c r="M201" s="6">
        <f>G201*L201</f>
        <v>7.0100000000000006E-3</v>
      </c>
      <c r="N201" s="86" t="s">
        <v>129</v>
      </c>
      <c r="X201" s="6">
        <f>IF(AO201="5",BH201,0)</f>
        <v>0</v>
      </c>
      <c r="Z201" s="6">
        <f>IF(AO201="1",BF201,0)</f>
        <v>0</v>
      </c>
      <c r="AA201" s="6">
        <f>IF(AO201="1",BG201,0)</f>
        <v>0</v>
      </c>
      <c r="AB201" s="6">
        <f>IF(AO201="7",BF201,0)</f>
        <v>0</v>
      </c>
      <c r="AC201" s="6">
        <f>IF(AO201="7",BG201,0)</f>
        <v>0</v>
      </c>
      <c r="AD201" s="6">
        <f>IF(AO201="2",BF201,0)</f>
        <v>0</v>
      </c>
      <c r="AE201" s="6">
        <f>IF(AO201="2",BG201,0)</f>
        <v>0</v>
      </c>
      <c r="AF201" s="6">
        <f>IF(AO201="0",BH201,0)</f>
        <v>0</v>
      </c>
      <c r="AG201" s="13" t="s">
        <v>21</v>
      </c>
      <c r="AH201" s="6">
        <f>IF(AL201=0,K201,0)</f>
        <v>0</v>
      </c>
      <c r="AI201" s="6">
        <f>IF(AL201=12,K201,0)</f>
        <v>0</v>
      </c>
      <c r="AJ201" s="6">
        <f>IF(AL201=21,K201,0)</f>
        <v>0</v>
      </c>
      <c r="AL201" s="6">
        <v>21</v>
      </c>
      <c r="AM201" s="6">
        <f>H201*0.333785307</f>
        <v>0</v>
      </c>
      <c r="AN201" s="6">
        <f>H201*(1-0.333785307)</f>
        <v>0</v>
      </c>
      <c r="AO201" s="23" t="s">
        <v>97</v>
      </c>
      <c r="AT201" s="6">
        <f>AU201+AV201</f>
        <v>0</v>
      </c>
      <c r="AU201" s="6">
        <f>G201*AM201</f>
        <v>0</v>
      </c>
      <c r="AV201" s="6">
        <f>G201*AN201</f>
        <v>0</v>
      </c>
      <c r="AW201" s="23" t="s">
        <v>443</v>
      </c>
      <c r="AX201" s="23" t="s">
        <v>147</v>
      </c>
      <c r="AY201" s="13" t="s">
        <v>105</v>
      </c>
      <c r="BA201" s="6">
        <f>AU201+AV201</f>
        <v>0</v>
      </c>
      <c r="BB201" s="6">
        <f>H201/(100-BC201)*100</f>
        <v>0</v>
      </c>
      <c r="BC201" s="6">
        <v>0</v>
      </c>
      <c r="BD201" s="6">
        <f>M201</f>
        <v>7.0100000000000006E-3</v>
      </c>
      <c r="BF201" s="6">
        <f>G201*AM201</f>
        <v>0</v>
      </c>
      <c r="BG201" s="6">
        <f>G201*AN201</f>
        <v>0</v>
      </c>
      <c r="BH201" s="6">
        <f>G201*H201</f>
        <v>0</v>
      </c>
      <c r="BI201" s="6"/>
      <c r="BJ201" s="6">
        <v>95</v>
      </c>
      <c r="BU201" s="6" t="e">
        <f>#REF!</f>
        <v>#REF!</v>
      </c>
      <c r="BV201" s="3" t="s">
        <v>442</v>
      </c>
    </row>
    <row r="202" spans="1:74" ht="14.5" x14ac:dyDescent="0.35">
      <c r="A202" s="24"/>
      <c r="D202" s="25" t="s">
        <v>444</v>
      </c>
      <c r="E202" s="26" t="s">
        <v>107</v>
      </c>
      <c r="G202" s="27">
        <v>113.4</v>
      </c>
      <c r="N202" s="87"/>
    </row>
    <row r="203" spans="1:74" ht="14.5" x14ac:dyDescent="0.35">
      <c r="A203" s="24"/>
      <c r="D203" s="25" t="s">
        <v>445</v>
      </c>
      <c r="E203" s="26" t="s">
        <v>109</v>
      </c>
      <c r="G203" s="27">
        <v>4.95</v>
      </c>
      <c r="N203" s="87"/>
    </row>
    <row r="204" spans="1:74" ht="14.5" x14ac:dyDescent="0.35">
      <c r="A204" s="24"/>
      <c r="D204" s="25" t="s">
        <v>446</v>
      </c>
      <c r="E204" s="26" t="s">
        <v>111</v>
      </c>
      <c r="G204" s="27">
        <v>6.25</v>
      </c>
      <c r="N204" s="87"/>
    </row>
    <row r="205" spans="1:74" ht="14.5" x14ac:dyDescent="0.35">
      <c r="A205" s="24"/>
      <c r="D205" s="25" t="s">
        <v>447</v>
      </c>
      <c r="E205" s="26" t="s">
        <v>113</v>
      </c>
      <c r="G205" s="27">
        <v>6.9</v>
      </c>
      <c r="N205" s="87"/>
    </row>
    <row r="206" spans="1:74" ht="14.5" x14ac:dyDescent="0.35">
      <c r="A206" s="24"/>
      <c r="D206" s="25" t="s">
        <v>448</v>
      </c>
      <c r="E206" s="26" t="s">
        <v>115</v>
      </c>
      <c r="G206" s="27">
        <v>0</v>
      </c>
      <c r="N206" s="87"/>
    </row>
    <row r="207" spans="1:74" ht="14.5" x14ac:dyDescent="0.35">
      <c r="A207" s="24"/>
      <c r="D207" s="25" t="s">
        <v>449</v>
      </c>
      <c r="E207" s="26" t="s">
        <v>117</v>
      </c>
      <c r="G207" s="27">
        <v>0.9</v>
      </c>
      <c r="N207" s="87"/>
    </row>
    <row r="208" spans="1:74" ht="14.5" x14ac:dyDescent="0.35">
      <c r="A208" s="24"/>
      <c r="D208" s="25" t="s">
        <v>450</v>
      </c>
      <c r="E208" s="26" t="s">
        <v>118</v>
      </c>
      <c r="G208" s="27">
        <v>1.8</v>
      </c>
      <c r="N208" s="87"/>
    </row>
    <row r="209" spans="1:74" ht="14.5" x14ac:dyDescent="0.35">
      <c r="A209" s="24"/>
      <c r="D209" s="25" t="s">
        <v>451</v>
      </c>
      <c r="E209" s="26" t="s">
        <v>120</v>
      </c>
      <c r="G209" s="27">
        <v>12.53</v>
      </c>
      <c r="N209" s="87"/>
    </row>
    <row r="210" spans="1:74" ht="14.5" x14ac:dyDescent="0.35">
      <c r="A210" s="24"/>
      <c r="D210" s="25" t="s">
        <v>451</v>
      </c>
      <c r="E210" s="26" t="s">
        <v>121</v>
      </c>
      <c r="G210" s="27">
        <v>12.53</v>
      </c>
      <c r="N210" s="87"/>
    </row>
    <row r="211" spans="1:74" ht="14.5" x14ac:dyDescent="0.35">
      <c r="A211" s="24"/>
      <c r="D211" s="25" t="s">
        <v>452</v>
      </c>
      <c r="E211" s="26" t="s">
        <v>123</v>
      </c>
      <c r="G211" s="27">
        <v>13.52</v>
      </c>
      <c r="N211" s="87"/>
    </row>
    <row r="212" spans="1:74" ht="14.5" x14ac:dyDescent="0.35">
      <c r="A212" s="24"/>
      <c r="D212" s="25" t="s">
        <v>453</v>
      </c>
      <c r="E212" s="26" t="s">
        <v>125</v>
      </c>
      <c r="G212" s="27">
        <v>2.4700000000000002</v>
      </c>
      <c r="N212" s="87"/>
    </row>
    <row r="213" spans="1:74" ht="14.5" x14ac:dyDescent="0.35">
      <c r="A213" s="1" t="s">
        <v>454</v>
      </c>
      <c r="B213" s="2" t="s">
        <v>21</v>
      </c>
      <c r="C213" s="2" t="s">
        <v>455</v>
      </c>
      <c r="D213" s="138" t="s">
        <v>456</v>
      </c>
      <c r="E213" s="107"/>
      <c r="F213" s="37" t="s">
        <v>145</v>
      </c>
      <c r="G213" s="6">
        <v>338.4</v>
      </c>
      <c r="H213" s="147">
        <v>0</v>
      </c>
      <c r="I213" s="6">
        <f>G213*AM213</f>
        <v>0</v>
      </c>
      <c r="J213" s="6">
        <f>G213*AN213</f>
        <v>0</v>
      </c>
      <c r="K213" s="6">
        <f>G213*H213</f>
        <v>0</v>
      </c>
      <c r="L213" s="6">
        <v>3.5E-4</v>
      </c>
      <c r="M213" s="6">
        <f>G213*L213</f>
        <v>0.11843999999999999</v>
      </c>
      <c r="N213" s="86" t="s">
        <v>129</v>
      </c>
      <c r="X213" s="6">
        <f>IF(AO213="5",BH213,0)</f>
        <v>0</v>
      </c>
      <c r="Z213" s="6">
        <f>IF(AO213="1",BF213,0)</f>
        <v>0</v>
      </c>
      <c r="AA213" s="6">
        <f>IF(AO213="1",BG213,0)</f>
        <v>0</v>
      </c>
      <c r="AB213" s="6">
        <f>IF(AO213="7",BF213,0)</f>
        <v>0</v>
      </c>
      <c r="AC213" s="6">
        <f>IF(AO213="7",BG213,0)</f>
        <v>0</v>
      </c>
      <c r="AD213" s="6">
        <f>IF(AO213="2",BF213,0)</f>
        <v>0</v>
      </c>
      <c r="AE213" s="6">
        <f>IF(AO213="2",BG213,0)</f>
        <v>0</v>
      </c>
      <c r="AF213" s="6">
        <f>IF(AO213="0",BH213,0)</f>
        <v>0</v>
      </c>
      <c r="AG213" s="13" t="s">
        <v>21</v>
      </c>
      <c r="AH213" s="6">
        <f>IF(AL213=0,K213,0)</f>
        <v>0</v>
      </c>
      <c r="AI213" s="6">
        <f>IF(AL213=12,K213,0)</f>
        <v>0</v>
      </c>
      <c r="AJ213" s="6">
        <f>IF(AL213=21,K213,0)</f>
        <v>0</v>
      </c>
      <c r="AL213" s="6">
        <v>21</v>
      </c>
      <c r="AM213" s="6">
        <f>H213*0.624</f>
        <v>0</v>
      </c>
      <c r="AN213" s="6">
        <f>H213*(1-0.624)</f>
        <v>0</v>
      </c>
      <c r="AO213" s="23" t="s">
        <v>97</v>
      </c>
      <c r="AT213" s="6">
        <f>AU213+AV213</f>
        <v>0</v>
      </c>
      <c r="AU213" s="6">
        <f>G213*AM213</f>
        <v>0</v>
      </c>
      <c r="AV213" s="6">
        <f>G213*AN213</f>
        <v>0</v>
      </c>
      <c r="AW213" s="23" t="s">
        <v>443</v>
      </c>
      <c r="AX213" s="23" t="s">
        <v>147</v>
      </c>
      <c r="AY213" s="13" t="s">
        <v>105</v>
      </c>
      <c r="BA213" s="6">
        <f>AU213+AV213</f>
        <v>0</v>
      </c>
      <c r="BB213" s="6">
        <f>H213/(100-BC213)*100</f>
        <v>0</v>
      </c>
      <c r="BC213" s="6">
        <v>0</v>
      </c>
      <c r="BD213" s="6">
        <f>M213</f>
        <v>0.11843999999999999</v>
      </c>
      <c r="BF213" s="6">
        <f>G213*AM213</f>
        <v>0</v>
      </c>
      <c r="BG213" s="6">
        <f>G213*AN213</f>
        <v>0</v>
      </c>
      <c r="BH213" s="6">
        <f>G213*H213</f>
        <v>0</v>
      </c>
      <c r="BI213" s="6"/>
      <c r="BJ213" s="6">
        <v>95</v>
      </c>
      <c r="BU213" s="6" t="e">
        <f>#REF!</f>
        <v>#REF!</v>
      </c>
      <c r="BV213" s="3" t="s">
        <v>456</v>
      </c>
    </row>
    <row r="214" spans="1:74" ht="14.5" x14ac:dyDescent="0.35">
      <c r="A214" s="24"/>
      <c r="D214" s="25" t="s">
        <v>457</v>
      </c>
      <c r="E214" s="26" t="s">
        <v>458</v>
      </c>
      <c r="G214" s="27">
        <v>338.4</v>
      </c>
      <c r="N214" s="87"/>
    </row>
    <row r="215" spans="1:74" ht="14.5" x14ac:dyDescent="0.35">
      <c r="A215" s="1" t="s">
        <v>459</v>
      </c>
      <c r="B215" s="2" t="s">
        <v>21</v>
      </c>
      <c r="C215" s="2" t="s">
        <v>460</v>
      </c>
      <c r="D215" s="138" t="s">
        <v>461</v>
      </c>
      <c r="E215" s="107"/>
      <c r="F215" s="37" t="s">
        <v>145</v>
      </c>
      <c r="G215" s="6">
        <v>338.4</v>
      </c>
      <c r="H215" s="147">
        <v>0</v>
      </c>
      <c r="I215" s="6">
        <f>G215*AM215</f>
        <v>0</v>
      </c>
      <c r="J215" s="6">
        <f>G215*AN215</f>
        <v>0</v>
      </c>
      <c r="K215" s="6">
        <f>G215*H215</f>
        <v>0</v>
      </c>
      <c r="L215" s="6">
        <v>1.0000000000000001E-5</v>
      </c>
      <c r="M215" s="6">
        <f>G215*L215</f>
        <v>3.3839999999999999E-3</v>
      </c>
      <c r="N215" s="86" t="s">
        <v>129</v>
      </c>
      <c r="X215" s="6">
        <f>IF(AO215="5",BH215,0)</f>
        <v>0</v>
      </c>
      <c r="Z215" s="6">
        <f>IF(AO215="1",BF215,0)</f>
        <v>0</v>
      </c>
      <c r="AA215" s="6">
        <f>IF(AO215="1",BG215,0)</f>
        <v>0</v>
      </c>
      <c r="AB215" s="6">
        <f>IF(AO215="7",BF215,0)</f>
        <v>0</v>
      </c>
      <c r="AC215" s="6">
        <f>IF(AO215="7",BG215,0)</f>
        <v>0</v>
      </c>
      <c r="AD215" s="6">
        <f>IF(AO215="2",BF215,0)</f>
        <v>0</v>
      </c>
      <c r="AE215" s="6">
        <f>IF(AO215="2",BG215,0)</f>
        <v>0</v>
      </c>
      <c r="AF215" s="6">
        <f>IF(AO215="0",BH215,0)</f>
        <v>0</v>
      </c>
      <c r="AG215" s="13" t="s">
        <v>21</v>
      </c>
      <c r="AH215" s="6">
        <f>IF(AL215=0,K215,0)</f>
        <v>0</v>
      </c>
      <c r="AI215" s="6">
        <f>IF(AL215=12,K215,0)</f>
        <v>0</v>
      </c>
      <c r="AJ215" s="6">
        <f>IF(AL215=21,K215,0)</f>
        <v>0</v>
      </c>
      <c r="AL215" s="6">
        <v>21</v>
      </c>
      <c r="AM215" s="6">
        <f>H215*0.329460581</f>
        <v>0</v>
      </c>
      <c r="AN215" s="6">
        <f>H215*(1-0.329460581)</f>
        <v>0</v>
      </c>
      <c r="AO215" s="23" t="s">
        <v>97</v>
      </c>
      <c r="AT215" s="6">
        <f>AU215+AV215</f>
        <v>0</v>
      </c>
      <c r="AU215" s="6">
        <f>G215*AM215</f>
        <v>0</v>
      </c>
      <c r="AV215" s="6">
        <f>G215*AN215</f>
        <v>0</v>
      </c>
      <c r="AW215" s="23" t="s">
        <v>443</v>
      </c>
      <c r="AX215" s="23" t="s">
        <v>147</v>
      </c>
      <c r="AY215" s="13" t="s">
        <v>105</v>
      </c>
      <c r="BA215" s="6">
        <f>AU215+AV215</f>
        <v>0</v>
      </c>
      <c r="BB215" s="6">
        <f>H215/(100-BC215)*100</f>
        <v>0</v>
      </c>
      <c r="BC215" s="6">
        <v>0</v>
      </c>
      <c r="BD215" s="6">
        <f>M215</f>
        <v>3.3839999999999999E-3</v>
      </c>
      <c r="BF215" s="6">
        <f>G215*AM215</f>
        <v>0</v>
      </c>
      <c r="BG215" s="6">
        <f>G215*AN215</f>
        <v>0</v>
      </c>
      <c r="BH215" s="6">
        <f>G215*H215</f>
        <v>0</v>
      </c>
      <c r="BI215" s="6"/>
      <c r="BJ215" s="6">
        <v>95</v>
      </c>
      <c r="BU215" s="6" t="e">
        <f>#REF!</f>
        <v>#REF!</v>
      </c>
      <c r="BV215" s="3" t="s">
        <v>461</v>
      </c>
    </row>
    <row r="216" spans="1:74" ht="14.5" x14ac:dyDescent="0.35">
      <c r="A216" s="24"/>
      <c r="D216" s="25" t="s">
        <v>457</v>
      </c>
      <c r="E216" s="26" t="s">
        <v>458</v>
      </c>
      <c r="G216" s="27">
        <v>338.4</v>
      </c>
      <c r="N216" s="87"/>
    </row>
    <row r="217" spans="1:74" ht="14.5" x14ac:dyDescent="0.35">
      <c r="A217" s="1" t="s">
        <v>462</v>
      </c>
      <c r="B217" s="2" t="s">
        <v>21</v>
      </c>
      <c r="C217" s="2" t="s">
        <v>463</v>
      </c>
      <c r="D217" s="138" t="s">
        <v>464</v>
      </c>
      <c r="E217" s="107"/>
      <c r="F217" s="37" t="s">
        <v>145</v>
      </c>
      <c r="G217" s="6">
        <v>1016</v>
      </c>
      <c r="H217" s="147">
        <v>0</v>
      </c>
      <c r="I217" s="6">
        <f>G217*AM217</f>
        <v>0</v>
      </c>
      <c r="J217" s="6">
        <f>G217*AN217</f>
        <v>0</v>
      </c>
      <c r="K217" s="6">
        <f>G217*H217</f>
        <v>0</v>
      </c>
      <c r="L217" s="6">
        <v>4.0000000000000003E-5</v>
      </c>
      <c r="M217" s="6">
        <f>G217*L217</f>
        <v>4.0640000000000003E-2</v>
      </c>
      <c r="N217" s="86" t="s">
        <v>129</v>
      </c>
      <c r="X217" s="6">
        <f>IF(AO217="5",BH217,0)</f>
        <v>0</v>
      </c>
      <c r="Z217" s="6">
        <f>IF(AO217="1",BF217,0)</f>
        <v>0</v>
      </c>
      <c r="AA217" s="6">
        <f>IF(AO217="1",BG217,0)</f>
        <v>0</v>
      </c>
      <c r="AB217" s="6">
        <f>IF(AO217="7",BF217,0)</f>
        <v>0</v>
      </c>
      <c r="AC217" s="6">
        <f>IF(AO217="7",BG217,0)</f>
        <v>0</v>
      </c>
      <c r="AD217" s="6">
        <f>IF(AO217="2",BF217,0)</f>
        <v>0</v>
      </c>
      <c r="AE217" s="6">
        <f>IF(AO217="2",BG217,0)</f>
        <v>0</v>
      </c>
      <c r="AF217" s="6">
        <f>IF(AO217="0",BH217,0)</f>
        <v>0</v>
      </c>
      <c r="AG217" s="13" t="s">
        <v>21</v>
      </c>
      <c r="AH217" s="6">
        <f>IF(AL217=0,K217,0)</f>
        <v>0</v>
      </c>
      <c r="AI217" s="6">
        <f>IF(AL217=12,K217,0)</f>
        <v>0</v>
      </c>
      <c r="AJ217" s="6">
        <f>IF(AL217=21,K217,0)</f>
        <v>0</v>
      </c>
      <c r="AL217" s="6">
        <v>21</v>
      </c>
      <c r="AM217" s="6">
        <f>H217*0.016056338</f>
        <v>0</v>
      </c>
      <c r="AN217" s="6">
        <f>H217*(1-0.016056338)</f>
        <v>0</v>
      </c>
      <c r="AO217" s="23" t="s">
        <v>97</v>
      </c>
      <c r="AT217" s="6">
        <f>AU217+AV217</f>
        <v>0</v>
      </c>
      <c r="AU217" s="6">
        <f>G217*AM217</f>
        <v>0</v>
      </c>
      <c r="AV217" s="6">
        <f>G217*AN217</f>
        <v>0</v>
      </c>
      <c r="AW217" s="23" t="s">
        <v>443</v>
      </c>
      <c r="AX217" s="23" t="s">
        <v>147</v>
      </c>
      <c r="AY217" s="13" t="s">
        <v>105</v>
      </c>
      <c r="BA217" s="6">
        <f>AU217+AV217</f>
        <v>0</v>
      </c>
      <c r="BB217" s="6">
        <f>H217/(100-BC217)*100</f>
        <v>0</v>
      </c>
      <c r="BC217" s="6">
        <v>0</v>
      </c>
      <c r="BD217" s="6">
        <f>M217</f>
        <v>4.0640000000000003E-2</v>
      </c>
      <c r="BF217" s="6">
        <f>G217*AM217</f>
        <v>0</v>
      </c>
      <c r="BG217" s="6">
        <f>G217*AN217</f>
        <v>0</v>
      </c>
      <c r="BH217" s="6">
        <f>G217*H217</f>
        <v>0</v>
      </c>
      <c r="BI217" s="6"/>
      <c r="BJ217" s="6">
        <v>95</v>
      </c>
      <c r="BU217" s="6" t="e">
        <f>#REF!</f>
        <v>#REF!</v>
      </c>
      <c r="BV217" s="3" t="s">
        <v>464</v>
      </c>
    </row>
    <row r="218" spans="1:74" ht="14.5" x14ac:dyDescent="0.35">
      <c r="A218" s="24"/>
      <c r="D218" s="25" t="s">
        <v>465</v>
      </c>
      <c r="E218" s="26" t="s">
        <v>466</v>
      </c>
      <c r="G218" s="27">
        <v>1016</v>
      </c>
      <c r="N218" s="87"/>
    </row>
    <row r="219" spans="1:74" ht="14.5" x14ac:dyDescent="0.35">
      <c r="A219" s="1" t="s">
        <v>467</v>
      </c>
      <c r="B219" s="2" t="s">
        <v>21</v>
      </c>
      <c r="C219" s="2" t="s">
        <v>468</v>
      </c>
      <c r="D219" s="138" t="s">
        <v>469</v>
      </c>
      <c r="E219" s="107"/>
      <c r="F219" s="37" t="s">
        <v>200</v>
      </c>
      <c r="G219" s="6">
        <v>0.33</v>
      </c>
      <c r="H219" s="147">
        <v>0</v>
      </c>
      <c r="I219" s="6">
        <f>G219*AM219</f>
        <v>0</v>
      </c>
      <c r="J219" s="6">
        <f>G219*AN219</f>
        <v>0</v>
      </c>
      <c r="K219" s="6">
        <f>G219*H219</f>
        <v>0</v>
      </c>
      <c r="L219" s="6">
        <v>0</v>
      </c>
      <c r="M219" s="6">
        <f>G219*L219</f>
        <v>0</v>
      </c>
      <c r="N219" s="86" t="s">
        <v>129</v>
      </c>
      <c r="X219" s="6">
        <f>IF(AO219="5",BH219,0)</f>
        <v>0</v>
      </c>
      <c r="Z219" s="6">
        <f>IF(AO219="1",BF219,0)</f>
        <v>0</v>
      </c>
      <c r="AA219" s="6">
        <f>IF(AO219="1",BG219,0)</f>
        <v>0</v>
      </c>
      <c r="AB219" s="6">
        <f>IF(AO219="7",BF219,0)</f>
        <v>0</v>
      </c>
      <c r="AC219" s="6">
        <f>IF(AO219="7",BG219,0)</f>
        <v>0</v>
      </c>
      <c r="AD219" s="6">
        <f>IF(AO219="2",BF219,0)</f>
        <v>0</v>
      </c>
      <c r="AE219" s="6">
        <f>IF(AO219="2",BG219,0)</f>
        <v>0</v>
      </c>
      <c r="AF219" s="6">
        <f>IF(AO219="0",BH219,0)</f>
        <v>0</v>
      </c>
      <c r="AG219" s="13" t="s">
        <v>21</v>
      </c>
      <c r="AH219" s="6">
        <f>IF(AL219=0,K219,0)</f>
        <v>0</v>
      </c>
      <c r="AI219" s="6">
        <f>IF(AL219=12,K219,0)</f>
        <v>0</v>
      </c>
      <c r="AJ219" s="6">
        <f>IF(AL219=21,K219,0)</f>
        <v>0</v>
      </c>
      <c r="AL219" s="6">
        <v>21</v>
      </c>
      <c r="AM219" s="6">
        <f>H219*0</f>
        <v>0</v>
      </c>
      <c r="AN219" s="6">
        <f>H219*(1-0)</f>
        <v>0</v>
      </c>
      <c r="AO219" s="23" t="s">
        <v>164</v>
      </c>
      <c r="AT219" s="6">
        <f>AU219+AV219</f>
        <v>0</v>
      </c>
      <c r="AU219" s="6">
        <f>G219*AM219</f>
        <v>0</v>
      </c>
      <c r="AV219" s="6">
        <f>G219*AN219</f>
        <v>0</v>
      </c>
      <c r="AW219" s="23" t="s">
        <v>443</v>
      </c>
      <c r="AX219" s="23" t="s">
        <v>147</v>
      </c>
      <c r="AY219" s="13" t="s">
        <v>105</v>
      </c>
      <c r="BA219" s="6">
        <f>AU219+AV219</f>
        <v>0</v>
      </c>
      <c r="BB219" s="6">
        <f>H219/(100-BC219)*100</f>
        <v>0</v>
      </c>
      <c r="BC219" s="6">
        <v>0</v>
      </c>
      <c r="BD219" s="6">
        <f>M219</f>
        <v>0</v>
      </c>
      <c r="BF219" s="6">
        <f>G219*AM219</f>
        <v>0</v>
      </c>
      <c r="BG219" s="6">
        <f>G219*AN219</f>
        <v>0</v>
      </c>
      <c r="BH219" s="6">
        <f>G219*H219</f>
        <v>0</v>
      </c>
      <c r="BI219" s="6"/>
      <c r="BJ219" s="6">
        <v>95</v>
      </c>
      <c r="BU219" s="6" t="e">
        <f>#REF!</f>
        <v>#REF!</v>
      </c>
      <c r="BV219" s="3" t="s">
        <v>469</v>
      </c>
    </row>
    <row r="220" spans="1:74" ht="14.5" x14ac:dyDescent="0.35">
      <c r="A220" s="29" t="s">
        <v>22</v>
      </c>
      <c r="B220" s="30" t="s">
        <v>42</v>
      </c>
      <c r="C220" s="30" t="s">
        <v>22</v>
      </c>
      <c r="D220" s="142" t="s">
        <v>43</v>
      </c>
      <c r="E220" s="143"/>
      <c r="F220" s="92" t="s">
        <v>12</v>
      </c>
      <c r="G220" s="31" t="s">
        <v>12</v>
      </c>
      <c r="H220" s="31" t="s">
        <v>12</v>
      </c>
      <c r="I220" s="32">
        <f>I221+I240+I331+I346+I354+I389+I399+I421</f>
        <v>0</v>
      </c>
      <c r="J220" s="32">
        <f>J221+J240+J331+J346+J354+J389+J399+J421</f>
        <v>0</v>
      </c>
      <c r="K220" s="32">
        <f>K221+K240+K331+K346+K354+K389+K399+K421</f>
        <v>0</v>
      </c>
      <c r="L220" s="33" t="s">
        <v>22</v>
      </c>
      <c r="M220" s="32">
        <f>M221+M240+M331+M346+M354+M389+M399+M421</f>
        <v>68.734237500000006</v>
      </c>
      <c r="N220" s="88" t="s">
        <v>22</v>
      </c>
    </row>
    <row r="221" spans="1:74" ht="14.5" x14ac:dyDescent="0.35">
      <c r="A221" s="20" t="s">
        <v>22</v>
      </c>
      <c r="B221" s="21" t="s">
        <v>42</v>
      </c>
      <c r="C221" s="21" t="s">
        <v>44</v>
      </c>
      <c r="D221" s="133" t="s">
        <v>45</v>
      </c>
      <c r="E221" s="134"/>
      <c r="F221" s="91" t="s">
        <v>12</v>
      </c>
      <c r="G221" s="22" t="s">
        <v>12</v>
      </c>
      <c r="H221" s="22" t="s">
        <v>12</v>
      </c>
      <c r="I221" s="12">
        <f>SUM(I222:I239)</f>
        <v>0</v>
      </c>
      <c r="J221" s="12">
        <f>SUM(J222:J239)</f>
        <v>0</v>
      </c>
      <c r="K221" s="12">
        <f>SUM(K222:K239)</f>
        <v>0</v>
      </c>
      <c r="L221" s="13" t="s">
        <v>22</v>
      </c>
      <c r="M221" s="12">
        <f>SUM(M222:M239)</f>
        <v>36.854913799999999</v>
      </c>
      <c r="N221" s="85" t="s">
        <v>22</v>
      </c>
      <c r="AG221" s="13" t="s">
        <v>42</v>
      </c>
      <c r="AQ221" s="12">
        <f>SUM(AH222:AH239)</f>
        <v>0</v>
      </c>
      <c r="AR221" s="12">
        <f>SUM(AI222:AI239)</f>
        <v>0</v>
      </c>
      <c r="AS221" s="12">
        <f>SUM(AJ222:AJ239)</f>
        <v>0</v>
      </c>
    </row>
    <row r="222" spans="1:74" ht="14.5" x14ac:dyDescent="0.35">
      <c r="A222" s="1" t="s">
        <v>470</v>
      </c>
      <c r="B222" s="2" t="s">
        <v>42</v>
      </c>
      <c r="C222" s="2" t="s">
        <v>471</v>
      </c>
      <c r="D222" s="138" t="s">
        <v>472</v>
      </c>
      <c r="E222" s="107"/>
      <c r="F222" s="37" t="s">
        <v>145</v>
      </c>
      <c r="G222" s="6">
        <v>43.35</v>
      </c>
      <c r="H222" s="147">
        <v>0</v>
      </c>
      <c r="I222" s="6">
        <f>G222*AM222</f>
        <v>0</v>
      </c>
      <c r="J222" s="6">
        <f>G222*AN222</f>
        <v>0</v>
      </c>
      <c r="K222" s="6">
        <f>G222*H222</f>
        <v>0</v>
      </c>
      <c r="L222" s="6">
        <v>0.13800000000000001</v>
      </c>
      <c r="M222" s="6">
        <f>G222*L222</f>
        <v>5.9823000000000004</v>
      </c>
      <c r="N222" s="86" t="s">
        <v>129</v>
      </c>
      <c r="X222" s="6">
        <f>IF(AO222="5",BH222,0)</f>
        <v>0</v>
      </c>
      <c r="Z222" s="6">
        <f>IF(AO222="1",BF222,0)</f>
        <v>0</v>
      </c>
      <c r="AA222" s="6">
        <f>IF(AO222="1",BG222,0)</f>
        <v>0</v>
      </c>
      <c r="AB222" s="6">
        <f>IF(AO222="7",BF222,0)</f>
        <v>0</v>
      </c>
      <c r="AC222" s="6">
        <f>IF(AO222="7",BG222,0)</f>
        <v>0</v>
      </c>
      <c r="AD222" s="6">
        <f>IF(AO222="2",BF222,0)</f>
        <v>0</v>
      </c>
      <c r="AE222" s="6">
        <f>IF(AO222="2",BG222,0)</f>
        <v>0</v>
      </c>
      <c r="AF222" s="6">
        <f>IF(AO222="0",BH222,0)</f>
        <v>0</v>
      </c>
      <c r="AG222" s="13" t="s">
        <v>42</v>
      </c>
      <c r="AH222" s="6">
        <f>IF(AL222=0,K222,0)</f>
        <v>0</v>
      </c>
      <c r="AI222" s="6">
        <f>IF(AL222=12,K222,0)</f>
        <v>0</v>
      </c>
      <c r="AJ222" s="6">
        <f>IF(AL222=21,K222,0)</f>
        <v>0</v>
      </c>
      <c r="AL222" s="6">
        <v>21</v>
      </c>
      <c r="AM222" s="6">
        <f>H222*0</f>
        <v>0</v>
      </c>
      <c r="AN222" s="6">
        <f>H222*(1-0)</f>
        <v>0</v>
      </c>
      <c r="AO222" s="23" t="s">
        <v>97</v>
      </c>
      <c r="AT222" s="6">
        <f>AU222+AV222</f>
        <v>0</v>
      </c>
      <c r="AU222" s="6">
        <f>G222*AM222</f>
        <v>0</v>
      </c>
      <c r="AV222" s="6">
        <f>G222*AN222</f>
        <v>0</v>
      </c>
      <c r="AW222" s="23" t="s">
        <v>473</v>
      </c>
      <c r="AX222" s="23" t="s">
        <v>474</v>
      </c>
      <c r="AY222" s="13" t="s">
        <v>475</v>
      </c>
      <c r="BA222" s="6">
        <f>AU222+AV222</f>
        <v>0</v>
      </c>
      <c r="BB222" s="6">
        <f>H222/(100-BC222)*100</f>
        <v>0</v>
      </c>
      <c r="BC222" s="6">
        <v>0</v>
      </c>
      <c r="BD222" s="6">
        <f>M222</f>
        <v>5.9823000000000004</v>
      </c>
      <c r="BF222" s="6">
        <f>G222*AM222</f>
        <v>0</v>
      </c>
      <c r="BG222" s="6">
        <f>G222*AN222</f>
        <v>0</v>
      </c>
      <c r="BH222" s="6">
        <f>G222*H222</f>
        <v>0</v>
      </c>
      <c r="BI222" s="6"/>
      <c r="BJ222" s="6">
        <v>11</v>
      </c>
      <c r="BU222" s="6" t="e">
        <f>#REF!</f>
        <v>#REF!</v>
      </c>
      <c r="BV222" s="3" t="s">
        <v>472</v>
      </c>
    </row>
    <row r="223" spans="1:74" ht="14.5" x14ac:dyDescent="0.35">
      <c r="A223" s="24"/>
      <c r="D223" s="25" t="s">
        <v>476</v>
      </c>
      <c r="E223" s="26" t="s">
        <v>477</v>
      </c>
      <c r="G223" s="27">
        <v>43.35</v>
      </c>
      <c r="N223" s="87"/>
    </row>
    <row r="224" spans="1:74" ht="14.5" x14ac:dyDescent="0.35">
      <c r="A224" s="1" t="s">
        <v>478</v>
      </c>
      <c r="B224" s="2" t="s">
        <v>42</v>
      </c>
      <c r="C224" s="2" t="s">
        <v>479</v>
      </c>
      <c r="D224" s="138" t="s">
        <v>480</v>
      </c>
      <c r="E224" s="107"/>
      <c r="F224" s="37" t="s">
        <v>145</v>
      </c>
      <c r="G224" s="6">
        <v>43.35</v>
      </c>
      <c r="H224" s="147">
        <v>0</v>
      </c>
      <c r="I224" s="6">
        <f>G224*AM224</f>
        <v>0</v>
      </c>
      <c r="J224" s="6">
        <f>G224*AN224</f>
        <v>0</v>
      </c>
      <c r="K224" s="6">
        <f>G224*H224</f>
        <v>0</v>
      </c>
      <c r="L224" s="6">
        <v>0</v>
      </c>
      <c r="M224" s="6">
        <f>G224*L224</f>
        <v>0</v>
      </c>
      <c r="N224" s="86" t="s">
        <v>129</v>
      </c>
      <c r="X224" s="6">
        <f>IF(AO224="5",BH224,0)</f>
        <v>0</v>
      </c>
      <c r="Z224" s="6">
        <f>IF(AO224="1",BF224,0)</f>
        <v>0</v>
      </c>
      <c r="AA224" s="6">
        <f>IF(AO224="1",BG224,0)</f>
        <v>0</v>
      </c>
      <c r="AB224" s="6">
        <f>IF(AO224="7",BF224,0)</f>
        <v>0</v>
      </c>
      <c r="AC224" s="6">
        <f>IF(AO224="7",BG224,0)</f>
        <v>0</v>
      </c>
      <c r="AD224" s="6">
        <f>IF(AO224="2",BF224,0)</f>
        <v>0</v>
      </c>
      <c r="AE224" s="6">
        <f>IF(AO224="2",BG224,0)</f>
        <v>0</v>
      </c>
      <c r="AF224" s="6">
        <f>IF(AO224="0",BH224,0)</f>
        <v>0</v>
      </c>
      <c r="AG224" s="13" t="s">
        <v>42</v>
      </c>
      <c r="AH224" s="6">
        <f>IF(AL224=0,K224,0)</f>
        <v>0</v>
      </c>
      <c r="AI224" s="6">
        <f>IF(AL224=12,K224,0)</f>
        <v>0</v>
      </c>
      <c r="AJ224" s="6">
        <f>IF(AL224=21,K224,0)</f>
        <v>0</v>
      </c>
      <c r="AL224" s="6">
        <v>21</v>
      </c>
      <c r="AM224" s="6">
        <f>H224*0</f>
        <v>0</v>
      </c>
      <c r="AN224" s="6">
        <f>H224*(1-0)</f>
        <v>0</v>
      </c>
      <c r="AO224" s="23" t="s">
        <v>97</v>
      </c>
      <c r="AT224" s="6">
        <f>AU224+AV224</f>
        <v>0</v>
      </c>
      <c r="AU224" s="6">
        <f>G224*AM224</f>
        <v>0</v>
      </c>
      <c r="AV224" s="6">
        <f>G224*AN224</f>
        <v>0</v>
      </c>
      <c r="AW224" s="23" t="s">
        <v>473</v>
      </c>
      <c r="AX224" s="23" t="s">
        <v>474</v>
      </c>
      <c r="AY224" s="13" t="s">
        <v>475</v>
      </c>
      <c r="BA224" s="6">
        <f>AU224+AV224</f>
        <v>0</v>
      </c>
      <c r="BB224" s="6">
        <f>H224/(100-BC224)*100</f>
        <v>0</v>
      </c>
      <c r="BC224" s="6">
        <v>0</v>
      </c>
      <c r="BD224" s="6">
        <f>M224</f>
        <v>0</v>
      </c>
      <c r="BF224" s="6">
        <f>G224*AM224</f>
        <v>0</v>
      </c>
      <c r="BG224" s="6">
        <f>G224*AN224</f>
        <v>0</v>
      </c>
      <c r="BH224" s="6">
        <f>G224*H224</f>
        <v>0</v>
      </c>
      <c r="BI224" s="6"/>
      <c r="BJ224" s="6">
        <v>11</v>
      </c>
      <c r="BU224" s="6" t="e">
        <f>#REF!</f>
        <v>#REF!</v>
      </c>
      <c r="BV224" s="3" t="s">
        <v>480</v>
      </c>
    </row>
    <row r="225" spans="1:74" ht="14.5" x14ac:dyDescent="0.35">
      <c r="A225" s="1" t="s">
        <v>481</v>
      </c>
      <c r="B225" s="2" t="s">
        <v>42</v>
      </c>
      <c r="C225" s="2" t="s">
        <v>482</v>
      </c>
      <c r="D225" s="138" t="s">
        <v>483</v>
      </c>
      <c r="E225" s="107"/>
      <c r="F225" s="37" t="s">
        <v>145</v>
      </c>
      <c r="G225" s="6">
        <v>59.95</v>
      </c>
      <c r="H225" s="147">
        <v>0</v>
      </c>
      <c r="I225" s="6">
        <f>G225*AM225</f>
        <v>0</v>
      </c>
      <c r="J225" s="6">
        <f>G225*AN225</f>
        <v>0</v>
      </c>
      <c r="K225" s="6">
        <f>G225*H225</f>
        <v>0</v>
      </c>
      <c r="L225" s="6">
        <v>0.44</v>
      </c>
      <c r="M225" s="6">
        <f>G225*L225</f>
        <v>26.378</v>
      </c>
      <c r="N225" s="86" t="s">
        <v>129</v>
      </c>
      <c r="X225" s="6">
        <f>IF(AO225="5",BH225,0)</f>
        <v>0</v>
      </c>
      <c r="Z225" s="6">
        <f>IF(AO225="1",BF225,0)</f>
        <v>0</v>
      </c>
      <c r="AA225" s="6">
        <f>IF(AO225="1",BG225,0)</f>
        <v>0</v>
      </c>
      <c r="AB225" s="6">
        <f>IF(AO225="7",BF225,0)</f>
        <v>0</v>
      </c>
      <c r="AC225" s="6">
        <f>IF(AO225="7",BG225,0)</f>
        <v>0</v>
      </c>
      <c r="AD225" s="6">
        <f>IF(AO225="2",BF225,0)</f>
        <v>0</v>
      </c>
      <c r="AE225" s="6">
        <f>IF(AO225="2",BG225,0)</f>
        <v>0</v>
      </c>
      <c r="AF225" s="6">
        <f>IF(AO225="0",BH225,0)</f>
        <v>0</v>
      </c>
      <c r="AG225" s="13" t="s">
        <v>42</v>
      </c>
      <c r="AH225" s="6">
        <f>IF(AL225=0,K225,0)</f>
        <v>0</v>
      </c>
      <c r="AI225" s="6">
        <f>IF(AL225=12,K225,0)</f>
        <v>0</v>
      </c>
      <c r="AJ225" s="6">
        <f>IF(AL225=21,K225,0)</f>
        <v>0</v>
      </c>
      <c r="AL225" s="6">
        <v>21</v>
      </c>
      <c r="AM225" s="6">
        <f>H225*0</f>
        <v>0</v>
      </c>
      <c r="AN225" s="6">
        <f>H225*(1-0)</f>
        <v>0</v>
      </c>
      <c r="AO225" s="23" t="s">
        <v>97</v>
      </c>
      <c r="AT225" s="6">
        <f>AU225+AV225</f>
        <v>0</v>
      </c>
      <c r="AU225" s="6">
        <f>G225*AM225</f>
        <v>0</v>
      </c>
      <c r="AV225" s="6">
        <f>G225*AN225</f>
        <v>0</v>
      </c>
      <c r="AW225" s="23" t="s">
        <v>473</v>
      </c>
      <c r="AX225" s="23" t="s">
        <v>474</v>
      </c>
      <c r="AY225" s="13" t="s">
        <v>475</v>
      </c>
      <c r="BA225" s="6">
        <f>AU225+AV225</f>
        <v>0</v>
      </c>
      <c r="BB225" s="6">
        <f>H225/(100-BC225)*100</f>
        <v>0</v>
      </c>
      <c r="BC225" s="6">
        <v>0</v>
      </c>
      <c r="BD225" s="6">
        <f>M225</f>
        <v>26.378</v>
      </c>
      <c r="BF225" s="6">
        <f>G225*AM225</f>
        <v>0</v>
      </c>
      <c r="BG225" s="6">
        <f>G225*AN225</f>
        <v>0</v>
      </c>
      <c r="BH225" s="6">
        <f>G225*H225</f>
        <v>0</v>
      </c>
      <c r="BI225" s="6"/>
      <c r="BJ225" s="6">
        <v>11</v>
      </c>
      <c r="BU225" s="6" t="e">
        <f>#REF!</f>
        <v>#REF!</v>
      </c>
      <c r="BV225" s="3" t="s">
        <v>483</v>
      </c>
    </row>
    <row r="226" spans="1:74" ht="14.5" x14ac:dyDescent="0.35">
      <c r="A226" s="24"/>
      <c r="D226" s="25" t="s">
        <v>484</v>
      </c>
      <c r="E226" s="26" t="s">
        <v>485</v>
      </c>
      <c r="G226" s="27">
        <v>59.95</v>
      </c>
      <c r="N226" s="87"/>
    </row>
    <row r="227" spans="1:74" ht="14.5" x14ac:dyDescent="0.35">
      <c r="A227" s="1" t="s">
        <v>486</v>
      </c>
      <c r="B227" s="2" t="s">
        <v>42</v>
      </c>
      <c r="C227" s="2" t="s">
        <v>487</v>
      </c>
      <c r="D227" s="138" t="s">
        <v>488</v>
      </c>
      <c r="E227" s="107"/>
      <c r="F227" s="37" t="s">
        <v>145</v>
      </c>
      <c r="G227" s="6">
        <v>13.11</v>
      </c>
      <c r="H227" s="147">
        <v>0</v>
      </c>
      <c r="I227" s="6">
        <f>G227*AM227</f>
        <v>0</v>
      </c>
      <c r="J227" s="6">
        <f>G227*AN227</f>
        <v>0</v>
      </c>
      <c r="K227" s="6">
        <f>G227*H227</f>
        <v>0</v>
      </c>
      <c r="L227" s="6">
        <v>8.0000000000000007E-5</v>
      </c>
      <c r="M227" s="6">
        <f>G227*L227</f>
        <v>1.0488000000000001E-3</v>
      </c>
      <c r="N227" s="86" t="s">
        <v>129</v>
      </c>
      <c r="X227" s="6">
        <f>IF(AO227="5",BH227,0)</f>
        <v>0</v>
      </c>
      <c r="Z227" s="6">
        <f>IF(AO227="1",BF227,0)</f>
        <v>0</v>
      </c>
      <c r="AA227" s="6">
        <f>IF(AO227="1",BG227,0)</f>
        <v>0</v>
      </c>
      <c r="AB227" s="6">
        <f>IF(AO227="7",BF227,0)</f>
        <v>0</v>
      </c>
      <c r="AC227" s="6">
        <f>IF(AO227="7",BG227,0)</f>
        <v>0</v>
      </c>
      <c r="AD227" s="6">
        <f>IF(AO227="2",BF227,0)</f>
        <v>0</v>
      </c>
      <c r="AE227" s="6">
        <f>IF(AO227="2",BG227,0)</f>
        <v>0</v>
      </c>
      <c r="AF227" s="6">
        <f>IF(AO227="0",BH227,0)</f>
        <v>0</v>
      </c>
      <c r="AG227" s="13" t="s">
        <v>42</v>
      </c>
      <c r="AH227" s="6">
        <f>IF(AL227=0,K227,0)</f>
        <v>0</v>
      </c>
      <c r="AI227" s="6">
        <f>IF(AL227=12,K227,0)</f>
        <v>0</v>
      </c>
      <c r="AJ227" s="6">
        <f>IF(AL227=21,K227,0)</f>
        <v>0</v>
      </c>
      <c r="AL227" s="6">
        <v>21</v>
      </c>
      <c r="AM227" s="6">
        <f>H227*0.158916007</f>
        <v>0</v>
      </c>
      <c r="AN227" s="6">
        <f>H227*(1-0.158916007)</f>
        <v>0</v>
      </c>
      <c r="AO227" s="23" t="s">
        <v>97</v>
      </c>
      <c r="AT227" s="6">
        <f>AU227+AV227</f>
        <v>0</v>
      </c>
      <c r="AU227" s="6">
        <f>G227*AM227</f>
        <v>0</v>
      </c>
      <c r="AV227" s="6">
        <f>G227*AN227</f>
        <v>0</v>
      </c>
      <c r="AW227" s="23" t="s">
        <v>473</v>
      </c>
      <c r="AX227" s="23" t="s">
        <v>474</v>
      </c>
      <c r="AY227" s="13" t="s">
        <v>475</v>
      </c>
      <c r="BA227" s="6">
        <f>AU227+AV227</f>
        <v>0</v>
      </c>
      <c r="BB227" s="6">
        <f>H227/(100-BC227)*100</f>
        <v>0</v>
      </c>
      <c r="BC227" s="6">
        <v>0</v>
      </c>
      <c r="BD227" s="6">
        <f>M227</f>
        <v>1.0488000000000001E-3</v>
      </c>
      <c r="BF227" s="6">
        <f>G227*AM227</f>
        <v>0</v>
      </c>
      <c r="BG227" s="6">
        <f>G227*AN227</f>
        <v>0</v>
      </c>
      <c r="BH227" s="6">
        <f>G227*H227</f>
        <v>0</v>
      </c>
      <c r="BI227" s="6"/>
      <c r="BJ227" s="6">
        <v>11</v>
      </c>
      <c r="BU227" s="6" t="e">
        <f>#REF!</f>
        <v>#REF!</v>
      </c>
      <c r="BV227" s="3" t="s">
        <v>488</v>
      </c>
    </row>
    <row r="228" spans="1:74" ht="14.5" x14ac:dyDescent="0.35">
      <c r="A228" s="24"/>
      <c r="D228" s="25" t="s">
        <v>489</v>
      </c>
      <c r="E228" s="26" t="s">
        <v>490</v>
      </c>
      <c r="G228" s="27">
        <v>13.11</v>
      </c>
      <c r="N228" s="87"/>
    </row>
    <row r="229" spans="1:74" ht="14.5" x14ac:dyDescent="0.35">
      <c r="A229" s="1" t="s">
        <v>491</v>
      </c>
      <c r="B229" s="2" t="s">
        <v>42</v>
      </c>
      <c r="C229" s="2" t="s">
        <v>492</v>
      </c>
      <c r="D229" s="138" t="s">
        <v>493</v>
      </c>
      <c r="E229" s="107"/>
      <c r="F229" s="37" t="s">
        <v>494</v>
      </c>
      <c r="G229" s="6">
        <v>2.62</v>
      </c>
      <c r="H229" s="147">
        <v>0</v>
      </c>
      <c r="I229" s="6">
        <f>G229*AM229</f>
        <v>0</v>
      </c>
      <c r="J229" s="6">
        <f>G229*AN229</f>
        <v>0</v>
      </c>
      <c r="K229" s="6">
        <f>G229*H229</f>
        <v>0</v>
      </c>
      <c r="L229" s="6">
        <v>0</v>
      </c>
      <c r="M229" s="6">
        <f>G229*L229</f>
        <v>0</v>
      </c>
      <c r="N229" s="86" t="s">
        <v>102</v>
      </c>
      <c r="X229" s="6">
        <f>IF(AO229="5",BH229,0)</f>
        <v>0</v>
      </c>
      <c r="Z229" s="6">
        <f>IF(AO229="1",BF229,0)</f>
        <v>0</v>
      </c>
      <c r="AA229" s="6">
        <f>IF(AO229="1",BG229,0)</f>
        <v>0</v>
      </c>
      <c r="AB229" s="6">
        <f>IF(AO229="7",BF229,0)</f>
        <v>0</v>
      </c>
      <c r="AC229" s="6">
        <f>IF(AO229="7",BG229,0)</f>
        <v>0</v>
      </c>
      <c r="AD229" s="6">
        <f>IF(AO229="2",BF229,0)</f>
        <v>0</v>
      </c>
      <c r="AE229" s="6">
        <f>IF(AO229="2",BG229,0)</f>
        <v>0</v>
      </c>
      <c r="AF229" s="6">
        <f>IF(AO229="0",BH229,0)</f>
        <v>0</v>
      </c>
      <c r="AG229" s="13" t="s">
        <v>42</v>
      </c>
      <c r="AH229" s="6">
        <f>IF(AL229=0,K229,0)</f>
        <v>0</v>
      </c>
      <c r="AI229" s="6">
        <f>IF(AL229=12,K229,0)</f>
        <v>0</v>
      </c>
      <c r="AJ229" s="6">
        <f>IF(AL229=21,K229,0)</f>
        <v>0</v>
      </c>
      <c r="AL229" s="6">
        <v>21</v>
      </c>
      <c r="AM229" s="6">
        <f>H229*0</f>
        <v>0</v>
      </c>
      <c r="AN229" s="6">
        <f>H229*(1-0)</f>
        <v>0</v>
      </c>
      <c r="AO229" s="23" t="s">
        <v>97</v>
      </c>
      <c r="AT229" s="6">
        <f>AU229+AV229</f>
        <v>0</v>
      </c>
      <c r="AU229" s="6">
        <f>G229*AM229</f>
        <v>0</v>
      </c>
      <c r="AV229" s="6">
        <f>G229*AN229</f>
        <v>0</v>
      </c>
      <c r="AW229" s="23" t="s">
        <v>473</v>
      </c>
      <c r="AX229" s="23" t="s">
        <v>474</v>
      </c>
      <c r="AY229" s="13" t="s">
        <v>475</v>
      </c>
      <c r="BA229" s="6">
        <f>AU229+AV229</f>
        <v>0</v>
      </c>
      <c r="BB229" s="6">
        <f>H229/(100-BC229)*100</f>
        <v>0</v>
      </c>
      <c r="BC229" s="6">
        <v>0</v>
      </c>
      <c r="BD229" s="6">
        <f>M229</f>
        <v>0</v>
      </c>
      <c r="BF229" s="6">
        <f>G229*AM229</f>
        <v>0</v>
      </c>
      <c r="BG229" s="6">
        <f>G229*AN229</f>
        <v>0</v>
      </c>
      <c r="BH229" s="6">
        <f>G229*H229</f>
        <v>0</v>
      </c>
      <c r="BI229" s="6"/>
      <c r="BJ229" s="6">
        <v>11</v>
      </c>
      <c r="BU229" s="6" t="e">
        <f>#REF!</f>
        <v>#REF!</v>
      </c>
      <c r="BV229" s="3" t="s">
        <v>493</v>
      </c>
    </row>
    <row r="230" spans="1:74" ht="14.5" x14ac:dyDescent="0.35">
      <c r="A230" s="24"/>
      <c r="D230" s="25" t="s">
        <v>495</v>
      </c>
      <c r="E230" s="26" t="s">
        <v>496</v>
      </c>
      <c r="G230" s="27">
        <v>2.62</v>
      </c>
      <c r="N230" s="87"/>
    </row>
    <row r="231" spans="1:74" ht="14.5" x14ac:dyDescent="0.35">
      <c r="A231" s="1" t="s">
        <v>497</v>
      </c>
      <c r="B231" s="2" t="s">
        <v>42</v>
      </c>
      <c r="C231" s="2" t="s">
        <v>498</v>
      </c>
      <c r="D231" s="138" t="s">
        <v>499</v>
      </c>
      <c r="E231" s="107"/>
      <c r="F231" s="37" t="s">
        <v>145</v>
      </c>
      <c r="G231" s="6">
        <v>43.35</v>
      </c>
      <c r="H231" s="147">
        <v>0</v>
      </c>
      <c r="I231" s="6">
        <f>G231*AM231</f>
        <v>0</v>
      </c>
      <c r="J231" s="6">
        <f>G231*AN231</f>
        <v>0</v>
      </c>
      <c r="K231" s="6">
        <f>G231*H231</f>
        <v>0</v>
      </c>
      <c r="L231" s="6">
        <v>7.3899999999999993E-2</v>
      </c>
      <c r="M231" s="6">
        <f>G231*L231</f>
        <v>3.2035649999999998</v>
      </c>
      <c r="N231" s="86" t="s">
        <v>129</v>
      </c>
      <c r="X231" s="6">
        <f>IF(AO231="5",BH231,0)</f>
        <v>0</v>
      </c>
      <c r="Z231" s="6">
        <f>IF(AO231="1",BF231,0)</f>
        <v>0</v>
      </c>
      <c r="AA231" s="6">
        <f>IF(AO231="1",BG231,0)</f>
        <v>0</v>
      </c>
      <c r="AB231" s="6">
        <f>IF(AO231="7",BF231,0)</f>
        <v>0</v>
      </c>
      <c r="AC231" s="6">
        <f>IF(AO231="7",BG231,0)</f>
        <v>0</v>
      </c>
      <c r="AD231" s="6">
        <f>IF(AO231="2",BF231,0)</f>
        <v>0</v>
      </c>
      <c r="AE231" s="6">
        <f>IF(AO231="2",BG231,0)</f>
        <v>0</v>
      </c>
      <c r="AF231" s="6">
        <f>IF(AO231="0",BH231,0)</f>
        <v>0</v>
      </c>
      <c r="AG231" s="13" t="s">
        <v>42</v>
      </c>
      <c r="AH231" s="6">
        <f>IF(AL231=0,K231,0)</f>
        <v>0</v>
      </c>
      <c r="AI231" s="6">
        <f>IF(AL231=12,K231,0)</f>
        <v>0</v>
      </c>
      <c r="AJ231" s="6">
        <f>IF(AL231=21,K231,0)</f>
        <v>0</v>
      </c>
      <c r="AL231" s="6">
        <v>21</v>
      </c>
      <c r="AM231" s="6">
        <f>H231*0.170541401</f>
        <v>0</v>
      </c>
      <c r="AN231" s="6">
        <f>H231*(1-0.170541401)</f>
        <v>0</v>
      </c>
      <c r="AO231" s="23" t="s">
        <v>97</v>
      </c>
      <c r="AT231" s="6">
        <f>AU231+AV231</f>
        <v>0</v>
      </c>
      <c r="AU231" s="6">
        <f>G231*AM231</f>
        <v>0</v>
      </c>
      <c r="AV231" s="6">
        <f>G231*AN231</f>
        <v>0</v>
      </c>
      <c r="AW231" s="23" t="s">
        <v>473</v>
      </c>
      <c r="AX231" s="23" t="s">
        <v>474</v>
      </c>
      <c r="AY231" s="13" t="s">
        <v>475</v>
      </c>
      <c r="BA231" s="6">
        <f>AU231+AV231</f>
        <v>0</v>
      </c>
      <c r="BB231" s="6">
        <f>H231/(100-BC231)*100</f>
        <v>0</v>
      </c>
      <c r="BC231" s="6">
        <v>0</v>
      </c>
      <c r="BD231" s="6">
        <f>M231</f>
        <v>3.2035649999999998</v>
      </c>
      <c r="BF231" s="6">
        <f>G231*AM231</f>
        <v>0</v>
      </c>
      <c r="BG231" s="6">
        <f>G231*AN231</f>
        <v>0</v>
      </c>
      <c r="BH231" s="6">
        <f>G231*H231</f>
        <v>0</v>
      </c>
      <c r="BI231" s="6"/>
      <c r="BJ231" s="6">
        <v>11</v>
      </c>
      <c r="BU231" s="6" t="e">
        <f>#REF!</f>
        <v>#REF!</v>
      </c>
      <c r="BV231" s="3" t="s">
        <v>499</v>
      </c>
    </row>
    <row r="232" spans="1:74" ht="14.5" x14ac:dyDescent="0.35">
      <c r="A232" s="24"/>
      <c r="D232" s="25" t="s">
        <v>476</v>
      </c>
      <c r="E232" s="26" t="s">
        <v>500</v>
      </c>
      <c r="G232" s="27">
        <v>43.35</v>
      </c>
      <c r="N232" s="87"/>
    </row>
    <row r="233" spans="1:74" ht="14.5" x14ac:dyDescent="0.35">
      <c r="A233" s="1" t="s">
        <v>501</v>
      </c>
      <c r="B233" s="2" t="s">
        <v>42</v>
      </c>
      <c r="C233" s="2" t="s">
        <v>502</v>
      </c>
      <c r="D233" s="138" t="s">
        <v>503</v>
      </c>
      <c r="E233" s="107"/>
      <c r="F233" s="37" t="s">
        <v>145</v>
      </c>
      <c r="G233" s="6">
        <v>10</v>
      </c>
      <c r="H233" s="147">
        <v>0</v>
      </c>
      <c r="I233" s="6">
        <f>G233*AM233</f>
        <v>0</v>
      </c>
      <c r="J233" s="6">
        <f>G233*AN233</f>
        <v>0</v>
      </c>
      <c r="K233" s="6">
        <f>G233*H233</f>
        <v>0</v>
      </c>
      <c r="L233" s="6">
        <v>0.129</v>
      </c>
      <c r="M233" s="6">
        <f>G233*L233</f>
        <v>1.29</v>
      </c>
      <c r="N233" s="86" t="s">
        <v>129</v>
      </c>
      <c r="X233" s="6">
        <f>IF(AO233="5",BH233,0)</f>
        <v>0</v>
      </c>
      <c r="Z233" s="6">
        <f>IF(AO233="1",BF233,0)</f>
        <v>0</v>
      </c>
      <c r="AA233" s="6">
        <f>IF(AO233="1",BG233,0)</f>
        <v>0</v>
      </c>
      <c r="AB233" s="6">
        <f>IF(AO233="7",BF233,0)</f>
        <v>0</v>
      </c>
      <c r="AC233" s="6">
        <f>IF(AO233="7",BG233,0)</f>
        <v>0</v>
      </c>
      <c r="AD233" s="6">
        <f>IF(AO233="2",BF233,0)</f>
        <v>0</v>
      </c>
      <c r="AE233" s="6">
        <f>IF(AO233="2",BG233,0)</f>
        <v>0</v>
      </c>
      <c r="AF233" s="6">
        <f>IF(AO233="0",BH233,0)</f>
        <v>0</v>
      </c>
      <c r="AG233" s="13" t="s">
        <v>42</v>
      </c>
      <c r="AH233" s="6">
        <f>IF(AL233=0,K233,0)</f>
        <v>0</v>
      </c>
      <c r="AI233" s="6">
        <f>IF(AL233=12,K233,0)</f>
        <v>0</v>
      </c>
      <c r="AJ233" s="6">
        <f>IF(AL233=21,K233,0)</f>
        <v>0</v>
      </c>
      <c r="AL233" s="6">
        <v>21</v>
      </c>
      <c r="AM233" s="6">
        <f>H233*1</f>
        <v>0</v>
      </c>
      <c r="AN233" s="6">
        <f>H233*(1-1)</f>
        <v>0</v>
      </c>
      <c r="AO233" s="23" t="s">
        <v>97</v>
      </c>
      <c r="AT233" s="6">
        <f>AU233+AV233</f>
        <v>0</v>
      </c>
      <c r="AU233" s="6">
        <f>G233*AM233</f>
        <v>0</v>
      </c>
      <c r="AV233" s="6">
        <f>G233*AN233</f>
        <v>0</v>
      </c>
      <c r="AW233" s="23" t="s">
        <v>473</v>
      </c>
      <c r="AX233" s="23" t="s">
        <v>474</v>
      </c>
      <c r="AY233" s="13" t="s">
        <v>475</v>
      </c>
      <c r="BA233" s="6">
        <f>AU233+AV233</f>
        <v>0</v>
      </c>
      <c r="BB233" s="6">
        <f>H233/(100-BC233)*100</f>
        <v>0</v>
      </c>
      <c r="BC233" s="6">
        <v>0</v>
      </c>
      <c r="BD233" s="6">
        <f>M233</f>
        <v>1.29</v>
      </c>
      <c r="BF233" s="6">
        <f>G233*AM233</f>
        <v>0</v>
      </c>
      <c r="BG233" s="6">
        <f>G233*AN233</f>
        <v>0</v>
      </c>
      <c r="BH233" s="6">
        <f>G233*H233</f>
        <v>0</v>
      </c>
      <c r="BI233" s="6"/>
      <c r="BJ233" s="6">
        <v>11</v>
      </c>
      <c r="BU233" s="6" t="e">
        <f>#REF!</f>
        <v>#REF!</v>
      </c>
      <c r="BV233" s="3" t="s">
        <v>503</v>
      </c>
    </row>
    <row r="234" spans="1:74" ht="14.5" x14ac:dyDescent="0.35">
      <c r="A234" s="24"/>
      <c r="D234" s="25" t="s">
        <v>504</v>
      </c>
      <c r="E234" s="26" t="s">
        <v>505</v>
      </c>
      <c r="G234" s="27">
        <v>10</v>
      </c>
      <c r="N234" s="87"/>
    </row>
    <row r="235" spans="1:74" ht="14.5" x14ac:dyDescent="0.35">
      <c r="A235" s="1" t="s">
        <v>506</v>
      </c>
      <c r="B235" s="2" t="s">
        <v>42</v>
      </c>
      <c r="C235" s="2" t="s">
        <v>210</v>
      </c>
      <c r="D235" s="138" t="s">
        <v>211</v>
      </c>
      <c r="E235" s="107"/>
      <c r="F235" s="37" t="s">
        <v>200</v>
      </c>
      <c r="G235" s="6">
        <v>0.44</v>
      </c>
      <c r="H235" s="147">
        <v>0</v>
      </c>
      <c r="I235" s="6">
        <f>G235*AM235</f>
        <v>0</v>
      </c>
      <c r="J235" s="6">
        <f>G235*AN235</f>
        <v>0</v>
      </c>
      <c r="K235" s="6">
        <f>G235*H235</f>
        <v>0</v>
      </c>
      <c r="L235" s="6">
        <v>0</v>
      </c>
      <c r="M235" s="6">
        <f>G235*L235</f>
        <v>0</v>
      </c>
      <c r="N235" s="86" t="s">
        <v>102</v>
      </c>
      <c r="X235" s="6">
        <f>IF(AO235="5",BH235,0)</f>
        <v>0</v>
      </c>
      <c r="Z235" s="6">
        <f>IF(AO235="1",BF235,0)</f>
        <v>0</v>
      </c>
      <c r="AA235" s="6">
        <f>IF(AO235="1",BG235,0)</f>
        <v>0</v>
      </c>
      <c r="AB235" s="6">
        <f>IF(AO235="7",BF235,0)</f>
        <v>0</v>
      </c>
      <c r="AC235" s="6">
        <f>IF(AO235="7",BG235,0)</f>
        <v>0</v>
      </c>
      <c r="AD235" s="6">
        <f>IF(AO235="2",BF235,0)</f>
        <v>0</v>
      </c>
      <c r="AE235" s="6">
        <f>IF(AO235="2",BG235,0)</f>
        <v>0</v>
      </c>
      <c r="AF235" s="6">
        <f>IF(AO235="0",BH235,0)</f>
        <v>0</v>
      </c>
      <c r="AG235" s="13" t="s">
        <v>42</v>
      </c>
      <c r="AH235" s="6">
        <f>IF(AL235=0,K235,0)</f>
        <v>0</v>
      </c>
      <c r="AI235" s="6">
        <f>IF(AL235=12,K235,0)</f>
        <v>0</v>
      </c>
      <c r="AJ235" s="6">
        <f>IF(AL235=21,K235,0)</f>
        <v>0</v>
      </c>
      <c r="AL235" s="6">
        <v>21</v>
      </c>
      <c r="AM235" s="6">
        <f>H235*0</f>
        <v>0</v>
      </c>
      <c r="AN235" s="6">
        <f>H235*(1-0)</f>
        <v>0</v>
      </c>
      <c r="AO235" s="23" t="s">
        <v>164</v>
      </c>
      <c r="AT235" s="6">
        <f>AU235+AV235</f>
        <v>0</v>
      </c>
      <c r="AU235" s="6">
        <f>G235*AM235</f>
        <v>0</v>
      </c>
      <c r="AV235" s="6">
        <f>G235*AN235</f>
        <v>0</v>
      </c>
      <c r="AW235" s="23" t="s">
        <v>473</v>
      </c>
      <c r="AX235" s="23" t="s">
        <v>474</v>
      </c>
      <c r="AY235" s="13" t="s">
        <v>475</v>
      </c>
      <c r="BA235" s="6">
        <f>AU235+AV235</f>
        <v>0</v>
      </c>
      <c r="BB235" s="6">
        <f>H235/(100-BC235)*100</f>
        <v>0</v>
      </c>
      <c r="BC235" s="6">
        <v>0</v>
      </c>
      <c r="BD235" s="6">
        <f>M235</f>
        <v>0</v>
      </c>
      <c r="BF235" s="6">
        <f>G235*AM235</f>
        <v>0</v>
      </c>
      <c r="BG235" s="6">
        <f>G235*AN235</f>
        <v>0</v>
      </c>
      <c r="BH235" s="6">
        <f>G235*H235</f>
        <v>0</v>
      </c>
      <c r="BI235" s="6"/>
      <c r="BJ235" s="6">
        <v>11</v>
      </c>
      <c r="BU235" s="6" t="e">
        <f>#REF!</f>
        <v>#REF!</v>
      </c>
      <c r="BV235" s="3" t="s">
        <v>211</v>
      </c>
    </row>
    <row r="236" spans="1:74" ht="14.5" x14ac:dyDescent="0.35">
      <c r="A236" s="1" t="s">
        <v>507</v>
      </c>
      <c r="B236" s="2" t="s">
        <v>42</v>
      </c>
      <c r="C236" s="2" t="s">
        <v>213</v>
      </c>
      <c r="D236" s="138" t="s">
        <v>214</v>
      </c>
      <c r="E236" s="107"/>
      <c r="F236" s="37" t="s">
        <v>200</v>
      </c>
      <c r="G236" s="6">
        <v>1.38</v>
      </c>
      <c r="H236" s="147">
        <v>0</v>
      </c>
      <c r="I236" s="6">
        <f>G236*AM236</f>
        <v>0</v>
      </c>
      <c r="J236" s="6">
        <f>G236*AN236</f>
        <v>0</v>
      </c>
      <c r="K236" s="6">
        <f>G236*H236</f>
        <v>0</v>
      </c>
      <c r="L236" s="6">
        <v>0</v>
      </c>
      <c r="M236" s="6">
        <f>G236*L236</f>
        <v>0</v>
      </c>
      <c r="N236" s="86" t="s">
        <v>129</v>
      </c>
      <c r="X236" s="6">
        <f>IF(AO236="5",BH236,0)</f>
        <v>0</v>
      </c>
      <c r="Z236" s="6">
        <f>IF(AO236="1",BF236,0)</f>
        <v>0</v>
      </c>
      <c r="AA236" s="6">
        <f>IF(AO236="1",BG236,0)</f>
        <v>0</v>
      </c>
      <c r="AB236" s="6">
        <f>IF(AO236="7",BF236,0)</f>
        <v>0</v>
      </c>
      <c r="AC236" s="6">
        <f>IF(AO236="7",BG236,0)</f>
        <v>0</v>
      </c>
      <c r="AD236" s="6">
        <f>IF(AO236="2",BF236,0)</f>
        <v>0</v>
      </c>
      <c r="AE236" s="6">
        <f>IF(AO236="2",BG236,0)</f>
        <v>0</v>
      </c>
      <c r="AF236" s="6">
        <f>IF(AO236="0",BH236,0)</f>
        <v>0</v>
      </c>
      <c r="AG236" s="13" t="s">
        <v>42</v>
      </c>
      <c r="AH236" s="6">
        <f>IF(AL236=0,K236,0)</f>
        <v>0</v>
      </c>
      <c r="AI236" s="6">
        <f>IF(AL236=12,K236,0)</f>
        <v>0</v>
      </c>
      <c r="AJ236" s="6">
        <f>IF(AL236=21,K236,0)</f>
        <v>0</v>
      </c>
      <c r="AL236" s="6">
        <v>21</v>
      </c>
      <c r="AM236" s="6">
        <f>H236*0.011711457</f>
        <v>0</v>
      </c>
      <c r="AN236" s="6">
        <f>H236*(1-0.011711457)</f>
        <v>0</v>
      </c>
      <c r="AO236" s="23" t="s">
        <v>164</v>
      </c>
      <c r="AT236" s="6">
        <f>AU236+AV236</f>
        <v>0</v>
      </c>
      <c r="AU236" s="6">
        <f>G236*AM236</f>
        <v>0</v>
      </c>
      <c r="AV236" s="6">
        <f>G236*AN236</f>
        <v>0</v>
      </c>
      <c r="AW236" s="23" t="s">
        <v>473</v>
      </c>
      <c r="AX236" s="23" t="s">
        <v>474</v>
      </c>
      <c r="AY236" s="13" t="s">
        <v>475</v>
      </c>
      <c r="BA236" s="6">
        <f>AU236+AV236</f>
        <v>0</v>
      </c>
      <c r="BB236" s="6">
        <f>H236/(100-BC236)*100</f>
        <v>0</v>
      </c>
      <c r="BC236" s="6">
        <v>0</v>
      </c>
      <c r="BD236" s="6">
        <f>M236</f>
        <v>0</v>
      </c>
      <c r="BF236" s="6">
        <f>G236*AM236</f>
        <v>0</v>
      </c>
      <c r="BG236" s="6">
        <f>G236*AN236</f>
        <v>0</v>
      </c>
      <c r="BH236" s="6">
        <f>G236*H236</f>
        <v>0</v>
      </c>
      <c r="BI236" s="6"/>
      <c r="BJ236" s="6">
        <v>11</v>
      </c>
      <c r="BU236" s="6" t="e">
        <f>#REF!</f>
        <v>#REF!</v>
      </c>
      <c r="BV236" s="3" t="s">
        <v>214</v>
      </c>
    </row>
    <row r="237" spans="1:74" ht="14.5" x14ac:dyDescent="0.35">
      <c r="A237" s="24"/>
      <c r="D237" s="25" t="s">
        <v>508</v>
      </c>
      <c r="E237" s="26" t="s">
        <v>509</v>
      </c>
      <c r="G237" s="27">
        <v>1.38</v>
      </c>
      <c r="N237" s="87"/>
    </row>
    <row r="238" spans="1:74" ht="14.5" x14ac:dyDescent="0.35">
      <c r="A238" s="1" t="s">
        <v>510</v>
      </c>
      <c r="B238" s="2" t="s">
        <v>42</v>
      </c>
      <c r="C238" s="2" t="s">
        <v>511</v>
      </c>
      <c r="D238" s="138" t="s">
        <v>512</v>
      </c>
      <c r="E238" s="107"/>
      <c r="F238" s="37" t="s">
        <v>200</v>
      </c>
      <c r="G238" s="6">
        <v>1.38</v>
      </c>
      <c r="H238" s="147">
        <v>0</v>
      </c>
      <c r="I238" s="6">
        <f>G238*AM238</f>
        <v>0</v>
      </c>
      <c r="J238" s="6">
        <f>G238*AN238</f>
        <v>0</v>
      </c>
      <c r="K238" s="6">
        <f>G238*H238</f>
        <v>0</v>
      </c>
      <c r="L238" s="6">
        <v>0</v>
      </c>
      <c r="M238" s="6">
        <f>G238*L238</f>
        <v>0</v>
      </c>
      <c r="N238" s="86" t="s">
        <v>129</v>
      </c>
      <c r="X238" s="6">
        <f>IF(AO238="5",BH238,0)</f>
        <v>0</v>
      </c>
      <c r="Z238" s="6">
        <f>IF(AO238="1",BF238,0)</f>
        <v>0</v>
      </c>
      <c r="AA238" s="6">
        <f>IF(AO238="1",BG238,0)</f>
        <v>0</v>
      </c>
      <c r="AB238" s="6">
        <f>IF(AO238="7",BF238,0)</f>
        <v>0</v>
      </c>
      <c r="AC238" s="6">
        <f>IF(AO238="7",BG238,0)</f>
        <v>0</v>
      </c>
      <c r="AD238" s="6">
        <f>IF(AO238="2",BF238,0)</f>
        <v>0</v>
      </c>
      <c r="AE238" s="6">
        <f>IF(AO238="2",BG238,0)</f>
        <v>0</v>
      </c>
      <c r="AF238" s="6">
        <f>IF(AO238="0",BH238,0)</f>
        <v>0</v>
      </c>
      <c r="AG238" s="13" t="s">
        <v>42</v>
      </c>
      <c r="AH238" s="6">
        <f>IF(AL238=0,K238,0)</f>
        <v>0</v>
      </c>
      <c r="AI238" s="6">
        <f>IF(AL238=12,K238,0)</f>
        <v>0</v>
      </c>
      <c r="AJ238" s="6">
        <f>IF(AL238=21,K238,0)</f>
        <v>0</v>
      </c>
      <c r="AL238" s="6">
        <v>21</v>
      </c>
      <c r="AM238" s="6">
        <f>H238*0</f>
        <v>0</v>
      </c>
      <c r="AN238" s="6">
        <f>H238*(1-0)</f>
        <v>0</v>
      </c>
      <c r="AO238" s="23" t="s">
        <v>164</v>
      </c>
      <c r="AT238" s="6">
        <f>AU238+AV238</f>
        <v>0</v>
      </c>
      <c r="AU238" s="6">
        <f>G238*AM238</f>
        <v>0</v>
      </c>
      <c r="AV238" s="6">
        <f>G238*AN238</f>
        <v>0</v>
      </c>
      <c r="AW238" s="23" t="s">
        <v>473</v>
      </c>
      <c r="AX238" s="23" t="s">
        <v>474</v>
      </c>
      <c r="AY238" s="13" t="s">
        <v>475</v>
      </c>
      <c r="BA238" s="6">
        <f>AU238+AV238</f>
        <v>0</v>
      </c>
      <c r="BB238" s="6">
        <f>H238/(100-BC238)*100</f>
        <v>0</v>
      </c>
      <c r="BC238" s="6">
        <v>0</v>
      </c>
      <c r="BD238" s="6">
        <f>M238</f>
        <v>0</v>
      </c>
      <c r="BF238" s="6">
        <f>G238*AM238</f>
        <v>0</v>
      </c>
      <c r="BG238" s="6">
        <f>G238*AN238</f>
        <v>0</v>
      </c>
      <c r="BH238" s="6">
        <f>G238*H238</f>
        <v>0</v>
      </c>
      <c r="BI238" s="6"/>
      <c r="BJ238" s="6">
        <v>11</v>
      </c>
      <c r="BU238" s="6" t="e">
        <f>#REF!</f>
        <v>#REF!</v>
      </c>
      <c r="BV238" s="3" t="s">
        <v>512</v>
      </c>
    </row>
    <row r="239" spans="1:74" ht="14.5" x14ac:dyDescent="0.35">
      <c r="A239" s="1" t="s">
        <v>513</v>
      </c>
      <c r="B239" s="2" t="s">
        <v>42</v>
      </c>
      <c r="C239" s="2" t="s">
        <v>514</v>
      </c>
      <c r="D239" s="138" t="s">
        <v>515</v>
      </c>
      <c r="E239" s="107"/>
      <c r="F239" s="37" t="s">
        <v>200</v>
      </c>
      <c r="G239" s="6">
        <v>36.85</v>
      </c>
      <c r="H239" s="147">
        <v>0</v>
      </c>
      <c r="I239" s="6">
        <f>G239*AM239</f>
        <v>0</v>
      </c>
      <c r="J239" s="6">
        <f>G239*AN239</f>
        <v>0</v>
      </c>
      <c r="K239" s="6">
        <f>G239*H239</f>
        <v>0</v>
      </c>
      <c r="L239" s="6">
        <v>0</v>
      </c>
      <c r="M239" s="6">
        <f>G239*L239</f>
        <v>0</v>
      </c>
      <c r="N239" s="86" t="s">
        <v>129</v>
      </c>
      <c r="X239" s="6">
        <f>IF(AO239="5",BH239,0)</f>
        <v>0</v>
      </c>
      <c r="Z239" s="6">
        <f>IF(AO239="1",BF239,0)</f>
        <v>0</v>
      </c>
      <c r="AA239" s="6">
        <f>IF(AO239="1",BG239,0)</f>
        <v>0</v>
      </c>
      <c r="AB239" s="6">
        <f>IF(AO239="7",BF239,0)</f>
        <v>0</v>
      </c>
      <c r="AC239" s="6">
        <f>IF(AO239="7",BG239,0)</f>
        <v>0</v>
      </c>
      <c r="AD239" s="6">
        <f>IF(AO239="2",BF239,0)</f>
        <v>0</v>
      </c>
      <c r="AE239" s="6">
        <f>IF(AO239="2",BG239,0)</f>
        <v>0</v>
      </c>
      <c r="AF239" s="6">
        <f>IF(AO239="0",BH239,0)</f>
        <v>0</v>
      </c>
      <c r="AG239" s="13" t="s">
        <v>42</v>
      </c>
      <c r="AH239" s="6">
        <f>IF(AL239=0,K239,0)</f>
        <v>0</v>
      </c>
      <c r="AI239" s="6">
        <f>IF(AL239=12,K239,0)</f>
        <v>0</v>
      </c>
      <c r="AJ239" s="6">
        <f>IF(AL239=21,K239,0)</f>
        <v>0</v>
      </c>
      <c r="AL239" s="6">
        <v>21</v>
      </c>
      <c r="AM239" s="6">
        <f>H239*0</f>
        <v>0</v>
      </c>
      <c r="AN239" s="6">
        <f>H239*(1-0)</f>
        <v>0</v>
      </c>
      <c r="AO239" s="23" t="s">
        <v>164</v>
      </c>
      <c r="AT239" s="6">
        <f>AU239+AV239</f>
        <v>0</v>
      </c>
      <c r="AU239" s="6">
        <f>G239*AM239</f>
        <v>0</v>
      </c>
      <c r="AV239" s="6">
        <f>G239*AN239</f>
        <v>0</v>
      </c>
      <c r="AW239" s="23" t="s">
        <v>473</v>
      </c>
      <c r="AX239" s="23" t="s">
        <v>474</v>
      </c>
      <c r="AY239" s="13" t="s">
        <v>475</v>
      </c>
      <c r="BA239" s="6">
        <f>AU239+AV239</f>
        <v>0</v>
      </c>
      <c r="BB239" s="6">
        <f>H239/(100-BC239)*100</f>
        <v>0</v>
      </c>
      <c r="BC239" s="6">
        <v>0</v>
      </c>
      <c r="BD239" s="6">
        <f>M239</f>
        <v>0</v>
      </c>
      <c r="BF239" s="6">
        <f>G239*AM239</f>
        <v>0</v>
      </c>
      <c r="BG239" s="6">
        <f>G239*AN239</f>
        <v>0</v>
      </c>
      <c r="BH239" s="6">
        <f>G239*H239</f>
        <v>0</v>
      </c>
      <c r="BI239" s="6"/>
      <c r="BJ239" s="6">
        <v>11</v>
      </c>
      <c r="BU239" s="6" t="e">
        <f>#REF!</f>
        <v>#REF!</v>
      </c>
      <c r="BV239" s="3" t="s">
        <v>515</v>
      </c>
    </row>
    <row r="240" spans="1:74" ht="14.5" x14ac:dyDescent="0.35">
      <c r="A240" s="20" t="s">
        <v>22</v>
      </c>
      <c r="B240" s="21" t="s">
        <v>42</v>
      </c>
      <c r="C240" s="21" t="s">
        <v>46</v>
      </c>
      <c r="D240" s="133" t="s">
        <v>47</v>
      </c>
      <c r="E240" s="134"/>
      <c r="F240" s="91" t="s">
        <v>12</v>
      </c>
      <c r="G240" s="22" t="s">
        <v>12</v>
      </c>
      <c r="H240" s="22" t="s">
        <v>12</v>
      </c>
      <c r="I240" s="12">
        <f>SUM(I241:I330)</f>
        <v>0</v>
      </c>
      <c r="J240" s="12">
        <f>SUM(J241:J330)</f>
        <v>0</v>
      </c>
      <c r="K240" s="12">
        <f>SUM(K241:K330)</f>
        <v>0</v>
      </c>
      <c r="L240" s="13" t="s">
        <v>22</v>
      </c>
      <c r="M240" s="12">
        <f>SUM(M241:M330)</f>
        <v>12.192185400000003</v>
      </c>
      <c r="N240" s="85" t="s">
        <v>22</v>
      </c>
      <c r="AG240" s="13" t="s">
        <v>42</v>
      </c>
      <c r="AQ240" s="12">
        <f>SUM(AH241:AH330)</f>
        <v>0</v>
      </c>
      <c r="AR240" s="12">
        <f>SUM(AI241:AI330)</f>
        <v>0</v>
      </c>
      <c r="AS240" s="12">
        <f>SUM(AJ241:AJ330)</f>
        <v>0</v>
      </c>
    </row>
    <row r="241" spans="1:74" ht="14.5" x14ac:dyDescent="0.35">
      <c r="A241" s="1" t="s">
        <v>516</v>
      </c>
      <c r="B241" s="2" t="s">
        <v>42</v>
      </c>
      <c r="C241" s="2" t="s">
        <v>517</v>
      </c>
      <c r="D241" s="138" t="s">
        <v>518</v>
      </c>
      <c r="E241" s="107"/>
      <c r="F241" s="37" t="s">
        <v>145</v>
      </c>
      <c r="G241" s="6">
        <v>550.88</v>
      </c>
      <c r="H241" s="147">
        <v>0</v>
      </c>
      <c r="I241" s="6">
        <f>G241*AM241</f>
        <v>0</v>
      </c>
      <c r="J241" s="6">
        <f>G241*AN241</f>
        <v>0</v>
      </c>
      <c r="K241" s="6">
        <f>G241*H241</f>
        <v>0</v>
      </c>
      <c r="L241" s="6">
        <v>2.0000000000000002E-5</v>
      </c>
      <c r="M241" s="6">
        <f>G241*L241</f>
        <v>1.1017600000000001E-2</v>
      </c>
      <c r="N241" s="86" t="s">
        <v>129</v>
      </c>
      <c r="X241" s="6">
        <f>IF(AO241="5",BH241,0)</f>
        <v>0</v>
      </c>
      <c r="Z241" s="6">
        <f>IF(AO241="1",BF241,0)</f>
        <v>0</v>
      </c>
      <c r="AA241" s="6">
        <f>IF(AO241="1",BG241,0)</f>
        <v>0</v>
      </c>
      <c r="AB241" s="6">
        <f>IF(AO241="7",BF241,0)</f>
        <v>0</v>
      </c>
      <c r="AC241" s="6">
        <f>IF(AO241="7",BG241,0)</f>
        <v>0</v>
      </c>
      <c r="AD241" s="6">
        <f>IF(AO241="2",BF241,0)</f>
        <v>0</v>
      </c>
      <c r="AE241" s="6">
        <f>IF(AO241="2",BG241,0)</f>
        <v>0</v>
      </c>
      <c r="AF241" s="6">
        <f>IF(AO241="0",BH241,0)</f>
        <v>0</v>
      </c>
      <c r="AG241" s="13" t="s">
        <v>42</v>
      </c>
      <c r="AH241" s="6">
        <f>IF(AL241=0,K241,0)</f>
        <v>0</v>
      </c>
      <c r="AI241" s="6">
        <f>IF(AL241=12,K241,0)</f>
        <v>0</v>
      </c>
      <c r="AJ241" s="6">
        <f>IF(AL241=21,K241,0)</f>
        <v>0</v>
      </c>
      <c r="AL241" s="6">
        <v>21</v>
      </c>
      <c r="AM241" s="6">
        <f>H241*0.073294634</f>
        <v>0</v>
      </c>
      <c r="AN241" s="6">
        <f>H241*(1-0.073294634)</f>
        <v>0</v>
      </c>
      <c r="AO241" s="23" t="s">
        <v>97</v>
      </c>
      <c r="AT241" s="6">
        <f>AU241+AV241</f>
        <v>0</v>
      </c>
      <c r="AU241" s="6">
        <f>G241*AM241</f>
        <v>0</v>
      </c>
      <c r="AV241" s="6">
        <f>G241*AN241</f>
        <v>0</v>
      </c>
      <c r="AW241" s="23" t="s">
        <v>519</v>
      </c>
      <c r="AX241" s="23" t="s">
        <v>520</v>
      </c>
      <c r="AY241" s="13" t="s">
        <v>475</v>
      </c>
      <c r="BA241" s="6">
        <f>AU241+AV241</f>
        <v>0</v>
      </c>
      <c r="BB241" s="6">
        <f>H241/(100-BC241)*100</f>
        <v>0</v>
      </c>
      <c r="BC241" s="6">
        <v>0</v>
      </c>
      <c r="BD241" s="6">
        <f>M241</f>
        <v>1.1017600000000001E-2</v>
      </c>
      <c r="BF241" s="6">
        <f>G241*AM241</f>
        <v>0</v>
      </c>
      <c r="BG241" s="6">
        <f>G241*AN241</f>
        <v>0</v>
      </c>
      <c r="BH241" s="6">
        <f>G241*H241</f>
        <v>0</v>
      </c>
      <c r="BI241" s="6"/>
      <c r="BJ241" s="6">
        <v>62</v>
      </c>
      <c r="BU241" s="6" t="e">
        <f>#REF!</f>
        <v>#REF!</v>
      </c>
      <c r="BV241" s="3" t="s">
        <v>518</v>
      </c>
    </row>
    <row r="242" spans="1:74" ht="14.5" x14ac:dyDescent="0.35">
      <c r="A242" s="24"/>
      <c r="D242" s="25" t="s">
        <v>521</v>
      </c>
      <c r="E242" s="26" t="s">
        <v>522</v>
      </c>
      <c r="G242" s="27">
        <v>197.84</v>
      </c>
      <c r="N242" s="87"/>
    </row>
    <row r="243" spans="1:74" ht="14.5" x14ac:dyDescent="0.35">
      <c r="A243" s="24"/>
      <c r="D243" s="25" t="s">
        <v>523</v>
      </c>
      <c r="E243" s="26" t="s">
        <v>524</v>
      </c>
      <c r="G243" s="27">
        <v>179.7</v>
      </c>
      <c r="N243" s="87"/>
    </row>
    <row r="244" spans="1:74" ht="14.5" x14ac:dyDescent="0.35">
      <c r="A244" s="24"/>
      <c r="D244" s="25" t="s">
        <v>523</v>
      </c>
      <c r="E244" s="26" t="s">
        <v>525</v>
      </c>
      <c r="G244" s="27">
        <v>179.7</v>
      </c>
      <c r="N244" s="87"/>
    </row>
    <row r="245" spans="1:74" ht="14.5" x14ac:dyDescent="0.35">
      <c r="A245" s="24"/>
      <c r="D245" s="25" t="s">
        <v>526</v>
      </c>
      <c r="E245" s="26" t="s">
        <v>527</v>
      </c>
      <c r="G245" s="27">
        <v>178.95</v>
      </c>
      <c r="N245" s="87"/>
    </row>
    <row r="246" spans="1:74" ht="14.5" x14ac:dyDescent="0.35">
      <c r="A246" s="24"/>
      <c r="D246" s="25" t="s">
        <v>439</v>
      </c>
      <c r="E246" s="26" t="s">
        <v>440</v>
      </c>
      <c r="G246" s="27">
        <v>-185.31</v>
      </c>
      <c r="N246" s="87"/>
    </row>
    <row r="247" spans="1:74" ht="14.5" x14ac:dyDescent="0.35">
      <c r="A247" s="1" t="s">
        <v>528</v>
      </c>
      <c r="B247" s="2" t="s">
        <v>42</v>
      </c>
      <c r="C247" s="2" t="s">
        <v>529</v>
      </c>
      <c r="D247" s="138" t="s">
        <v>530</v>
      </c>
      <c r="E247" s="107"/>
      <c r="F247" s="37" t="s">
        <v>145</v>
      </c>
      <c r="G247" s="6">
        <v>55.09</v>
      </c>
      <c r="H247" s="147">
        <v>0</v>
      </c>
      <c r="I247" s="6">
        <f>G247*AM247</f>
        <v>0</v>
      </c>
      <c r="J247" s="6">
        <f>G247*AN247</f>
        <v>0</v>
      </c>
      <c r="K247" s="6">
        <f>G247*H247</f>
        <v>0</v>
      </c>
      <c r="L247" s="6">
        <v>3.2000000000000003E-4</v>
      </c>
      <c r="M247" s="6">
        <f>G247*L247</f>
        <v>1.7628800000000003E-2</v>
      </c>
      <c r="N247" s="86" t="s">
        <v>129</v>
      </c>
      <c r="X247" s="6">
        <f>IF(AO247="5",BH247,0)</f>
        <v>0</v>
      </c>
      <c r="Z247" s="6">
        <f>IF(AO247="1",BF247,0)</f>
        <v>0</v>
      </c>
      <c r="AA247" s="6">
        <f>IF(AO247="1",BG247,0)</f>
        <v>0</v>
      </c>
      <c r="AB247" s="6">
        <f>IF(AO247="7",BF247,0)</f>
        <v>0</v>
      </c>
      <c r="AC247" s="6">
        <f>IF(AO247="7",BG247,0)</f>
        <v>0</v>
      </c>
      <c r="AD247" s="6">
        <f>IF(AO247="2",BF247,0)</f>
        <v>0</v>
      </c>
      <c r="AE247" s="6">
        <f>IF(AO247="2",BG247,0)</f>
        <v>0</v>
      </c>
      <c r="AF247" s="6">
        <f>IF(AO247="0",BH247,0)</f>
        <v>0</v>
      </c>
      <c r="AG247" s="13" t="s">
        <v>42</v>
      </c>
      <c r="AH247" s="6">
        <f>IF(AL247=0,K247,0)</f>
        <v>0</v>
      </c>
      <c r="AI247" s="6">
        <f>IF(AL247=12,K247,0)</f>
        <v>0</v>
      </c>
      <c r="AJ247" s="6">
        <f>IF(AL247=21,K247,0)</f>
        <v>0</v>
      </c>
      <c r="AL247" s="6">
        <v>21</v>
      </c>
      <c r="AM247" s="6">
        <f>H247*0.363928571</f>
        <v>0</v>
      </c>
      <c r="AN247" s="6">
        <f>H247*(1-0.363928571)</f>
        <v>0</v>
      </c>
      <c r="AO247" s="23" t="s">
        <v>97</v>
      </c>
      <c r="AT247" s="6">
        <f>AU247+AV247</f>
        <v>0</v>
      </c>
      <c r="AU247" s="6">
        <f>G247*AM247</f>
        <v>0</v>
      </c>
      <c r="AV247" s="6">
        <f>G247*AN247</f>
        <v>0</v>
      </c>
      <c r="AW247" s="23" t="s">
        <v>519</v>
      </c>
      <c r="AX247" s="23" t="s">
        <v>520</v>
      </c>
      <c r="AY247" s="13" t="s">
        <v>475</v>
      </c>
      <c r="BA247" s="6">
        <f>AU247+AV247</f>
        <v>0</v>
      </c>
      <c r="BB247" s="6">
        <f>H247/(100-BC247)*100</f>
        <v>0</v>
      </c>
      <c r="BC247" s="6">
        <v>0</v>
      </c>
      <c r="BD247" s="6">
        <f>M247</f>
        <v>1.7628800000000003E-2</v>
      </c>
      <c r="BF247" s="6">
        <f>G247*AM247</f>
        <v>0</v>
      </c>
      <c r="BG247" s="6">
        <f>G247*AN247</f>
        <v>0</v>
      </c>
      <c r="BH247" s="6">
        <f>G247*H247</f>
        <v>0</v>
      </c>
      <c r="BI247" s="6"/>
      <c r="BJ247" s="6">
        <v>62</v>
      </c>
      <c r="BU247" s="6" t="e">
        <f>#REF!</f>
        <v>#REF!</v>
      </c>
      <c r="BV247" s="3" t="s">
        <v>530</v>
      </c>
    </row>
    <row r="248" spans="1:74" ht="14.5" x14ac:dyDescent="0.35">
      <c r="A248" s="24"/>
      <c r="D248" s="25" t="s">
        <v>531</v>
      </c>
      <c r="E248" s="26" t="s">
        <v>532</v>
      </c>
      <c r="G248" s="27">
        <v>55.09</v>
      </c>
      <c r="N248" s="87"/>
    </row>
    <row r="249" spans="1:74" ht="14.5" x14ac:dyDescent="0.35">
      <c r="A249" s="1" t="s">
        <v>533</v>
      </c>
      <c r="B249" s="2" t="s">
        <v>42</v>
      </c>
      <c r="C249" s="2" t="s">
        <v>534</v>
      </c>
      <c r="D249" s="138" t="s">
        <v>535</v>
      </c>
      <c r="E249" s="107"/>
      <c r="F249" s="37" t="s">
        <v>145</v>
      </c>
      <c r="G249" s="6">
        <v>508.97</v>
      </c>
      <c r="H249" s="147">
        <v>0</v>
      </c>
      <c r="I249" s="6">
        <f>G249*AM249</f>
        <v>0</v>
      </c>
      <c r="J249" s="6">
        <f>G249*AN249</f>
        <v>0</v>
      </c>
      <c r="K249" s="6">
        <f>G249*H249</f>
        <v>0</v>
      </c>
      <c r="L249" s="6">
        <v>2.4099999999999998E-3</v>
      </c>
      <c r="M249" s="6">
        <f>G249*L249</f>
        <v>1.2266177</v>
      </c>
      <c r="N249" s="86" t="s">
        <v>129</v>
      </c>
      <c r="X249" s="6">
        <f>IF(AO249="5",BH249,0)</f>
        <v>0</v>
      </c>
      <c r="Z249" s="6">
        <f>IF(AO249="1",BF249,0)</f>
        <v>0</v>
      </c>
      <c r="AA249" s="6">
        <f>IF(AO249="1",BG249,0)</f>
        <v>0</v>
      </c>
      <c r="AB249" s="6">
        <f>IF(AO249="7",BF249,0)</f>
        <v>0</v>
      </c>
      <c r="AC249" s="6">
        <f>IF(AO249="7",BG249,0)</f>
        <v>0</v>
      </c>
      <c r="AD249" s="6">
        <f>IF(AO249="2",BF249,0)</f>
        <v>0</v>
      </c>
      <c r="AE249" s="6">
        <f>IF(AO249="2",BG249,0)</f>
        <v>0</v>
      </c>
      <c r="AF249" s="6">
        <f>IF(AO249="0",BH249,0)</f>
        <v>0</v>
      </c>
      <c r="AG249" s="13" t="s">
        <v>42</v>
      </c>
      <c r="AH249" s="6">
        <f>IF(AL249=0,K249,0)</f>
        <v>0</v>
      </c>
      <c r="AI249" s="6">
        <f>IF(AL249=12,K249,0)</f>
        <v>0</v>
      </c>
      <c r="AJ249" s="6">
        <f>IF(AL249=21,K249,0)</f>
        <v>0</v>
      </c>
      <c r="AL249" s="6">
        <v>21</v>
      </c>
      <c r="AM249" s="6">
        <f>H249*0.179473684</f>
        <v>0</v>
      </c>
      <c r="AN249" s="6">
        <f>H249*(1-0.179473684)</f>
        <v>0</v>
      </c>
      <c r="AO249" s="23" t="s">
        <v>97</v>
      </c>
      <c r="AT249" s="6">
        <f>AU249+AV249</f>
        <v>0</v>
      </c>
      <c r="AU249" s="6">
        <f>G249*AM249</f>
        <v>0</v>
      </c>
      <c r="AV249" s="6">
        <f>G249*AN249</f>
        <v>0</v>
      </c>
      <c r="AW249" s="23" t="s">
        <v>519</v>
      </c>
      <c r="AX249" s="23" t="s">
        <v>520</v>
      </c>
      <c r="AY249" s="13" t="s">
        <v>475</v>
      </c>
      <c r="BA249" s="6">
        <f>AU249+AV249</f>
        <v>0</v>
      </c>
      <c r="BB249" s="6">
        <f>H249/(100-BC249)*100</f>
        <v>0</v>
      </c>
      <c r="BC249" s="6">
        <v>0</v>
      </c>
      <c r="BD249" s="6">
        <f>M249</f>
        <v>1.2266177</v>
      </c>
      <c r="BF249" s="6">
        <f>G249*AM249</f>
        <v>0</v>
      </c>
      <c r="BG249" s="6">
        <f>G249*AN249</f>
        <v>0</v>
      </c>
      <c r="BH249" s="6">
        <f>G249*H249</f>
        <v>0</v>
      </c>
      <c r="BI249" s="6"/>
      <c r="BJ249" s="6">
        <v>62</v>
      </c>
      <c r="BU249" s="6" t="e">
        <f>#REF!</f>
        <v>#REF!</v>
      </c>
      <c r="BV249" s="3" t="s">
        <v>535</v>
      </c>
    </row>
    <row r="250" spans="1:74" ht="14.5" x14ac:dyDescent="0.35">
      <c r="A250" s="24"/>
      <c r="D250" s="25" t="s">
        <v>536</v>
      </c>
      <c r="E250" s="26" t="s">
        <v>537</v>
      </c>
      <c r="G250" s="27">
        <v>508.97</v>
      </c>
      <c r="N250" s="87"/>
    </row>
    <row r="251" spans="1:74" ht="25" x14ac:dyDescent="0.35">
      <c r="A251" s="1" t="s">
        <v>538</v>
      </c>
      <c r="B251" s="2" t="s">
        <v>42</v>
      </c>
      <c r="C251" s="2" t="s">
        <v>539</v>
      </c>
      <c r="D251" s="138" t="s">
        <v>540</v>
      </c>
      <c r="E251" s="107"/>
      <c r="F251" s="37" t="s">
        <v>100</v>
      </c>
      <c r="G251" s="6">
        <v>24.6</v>
      </c>
      <c r="H251" s="147">
        <v>0</v>
      </c>
      <c r="I251" s="6">
        <f>G251*AM251</f>
        <v>0</v>
      </c>
      <c r="J251" s="6">
        <f>G251*AN251</f>
        <v>0</v>
      </c>
      <c r="K251" s="6">
        <f>G251*H251</f>
        <v>0</v>
      </c>
      <c r="L251" s="6">
        <v>0</v>
      </c>
      <c r="M251" s="6">
        <f>G251*L251</f>
        <v>0</v>
      </c>
      <c r="N251" s="86" t="s">
        <v>129</v>
      </c>
      <c r="X251" s="6">
        <f>IF(AO251="5",BH251,0)</f>
        <v>0</v>
      </c>
      <c r="Z251" s="6">
        <f>IF(AO251="1",BF251,0)</f>
        <v>0</v>
      </c>
      <c r="AA251" s="6">
        <f>IF(AO251="1",BG251,0)</f>
        <v>0</v>
      </c>
      <c r="AB251" s="6">
        <f>IF(AO251="7",BF251,0)</f>
        <v>0</v>
      </c>
      <c r="AC251" s="6">
        <f>IF(AO251="7",BG251,0)</f>
        <v>0</v>
      </c>
      <c r="AD251" s="6">
        <f>IF(AO251="2",BF251,0)</f>
        <v>0</v>
      </c>
      <c r="AE251" s="6">
        <f>IF(AO251="2",BG251,0)</f>
        <v>0</v>
      </c>
      <c r="AF251" s="6">
        <f>IF(AO251="0",BH251,0)</f>
        <v>0</v>
      </c>
      <c r="AG251" s="13" t="s">
        <v>42</v>
      </c>
      <c r="AH251" s="6">
        <f>IF(AL251=0,K251,0)</f>
        <v>0</v>
      </c>
      <c r="AI251" s="6">
        <f>IF(AL251=12,K251,0)</f>
        <v>0</v>
      </c>
      <c r="AJ251" s="6">
        <f>IF(AL251=21,K251,0)</f>
        <v>0</v>
      </c>
      <c r="AL251" s="6">
        <v>21</v>
      </c>
      <c r="AM251" s="6">
        <f>H251*0.129848485</f>
        <v>0</v>
      </c>
      <c r="AN251" s="6">
        <f>H251*(1-0.129848485)</f>
        <v>0</v>
      </c>
      <c r="AO251" s="23" t="s">
        <v>97</v>
      </c>
      <c r="AT251" s="6">
        <f>AU251+AV251</f>
        <v>0</v>
      </c>
      <c r="AU251" s="6">
        <f>G251*AM251</f>
        <v>0</v>
      </c>
      <c r="AV251" s="6">
        <f>G251*AN251</f>
        <v>0</v>
      </c>
      <c r="AW251" s="23" t="s">
        <v>519</v>
      </c>
      <c r="AX251" s="23" t="s">
        <v>520</v>
      </c>
      <c r="AY251" s="13" t="s">
        <v>475</v>
      </c>
      <c r="BA251" s="6">
        <f>AU251+AV251</f>
        <v>0</v>
      </c>
      <c r="BB251" s="6">
        <f>H251/(100-BC251)*100</f>
        <v>0</v>
      </c>
      <c r="BC251" s="6">
        <v>0</v>
      </c>
      <c r="BD251" s="6">
        <f>M251</f>
        <v>0</v>
      </c>
      <c r="BF251" s="6">
        <f>G251*AM251</f>
        <v>0</v>
      </c>
      <c r="BG251" s="6">
        <f>G251*AN251</f>
        <v>0</v>
      </c>
      <c r="BH251" s="6">
        <f>G251*H251</f>
        <v>0</v>
      </c>
      <c r="BI251" s="6"/>
      <c r="BJ251" s="6">
        <v>62</v>
      </c>
      <c r="BU251" s="6" t="e">
        <f>#REF!</f>
        <v>#REF!</v>
      </c>
      <c r="BV251" s="3" t="s">
        <v>540</v>
      </c>
    </row>
    <row r="252" spans="1:74" ht="14.5" x14ac:dyDescent="0.35">
      <c r="A252" s="24"/>
      <c r="D252" s="25" t="s">
        <v>541</v>
      </c>
      <c r="E252" s="26" t="s">
        <v>542</v>
      </c>
      <c r="G252" s="27">
        <v>24.6</v>
      </c>
      <c r="N252" s="87"/>
    </row>
    <row r="253" spans="1:74" ht="14.5" x14ac:dyDescent="0.35">
      <c r="A253" s="1" t="s">
        <v>543</v>
      </c>
      <c r="B253" s="2" t="s">
        <v>42</v>
      </c>
      <c r="C253" s="2" t="s">
        <v>544</v>
      </c>
      <c r="D253" s="138" t="s">
        <v>545</v>
      </c>
      <c r="E253" s="107"/>
      <c r="F253" s="37" t="s">
        <v>100</v>
      </c>
      <c r="G253" s="6">
        <v>24.6</v>
      </c>
      <c r="H253" s="147">
        <v>0</v>
      </c>
      <c r="I253" s="6">
        <f>G253*AM253</f>
        <v>0</v>
      </c>
      <c r="J253" s="6">
        <f>G253*AN253</f>
        <v>0</v>
      </c>
      <c r="K253" s="6">
        <f>G253*H253</f>
        <v>0</v>
      </c>
      <c r="L253" s="6">
        <v>8.7000000000000001E-4</v>
      </c>
      <c r="M253" s="6">
        <f>G253*L253</f>
        <v>2.1402000000000001E-2</v>
      </c>
      <c r="N253" s="86" t="s">
        <v>129</v>
      </c>
      <c r="X253" s="6">
        <f>IF(AO253="5",BH253,0)</f>
        <v>0</v>
      </c>
      <c r="Z253" s="6">
        <f>IF(AO253="1",BF253,0)</f>
        <v>0</v>
      </c>
      <c r="AA253" s="6">
        <f>IF(AO253="1",BG253,0)</f>
        <v>0</v>
      </c>
      <c r="AB253" s="6">
        <f>IF(AO253="7",BF253,0)</f>
        <v>0</v>
      </c>
      <c r="AC253" s="6">
        <f>IF(AO253="7",BG253,0)</f>
        <v>0</v>
      </c>
      <c r="AD253" s="6">
        <f>IF(AO253="2",BF253,0)</f>
        <v>0</v>
      </c>
      <c r="AE253" s="6">
        <f>IF(AO253="2",BG253,0)</f>
        <v>0</v>
      </c>
      <c r="AF253" s="6">
        <f>IF(AO253="0",BH253,0)</f>
        <v>0</v>
      </c>
      <c r="AG253" s="13" t="s">
        <v>42</v>
      </c>
      <c r="AH253" s="6">
        <f>IF(AL253=0,K253,0)</f>
        <v>0</v>
      </c>
      <c r="AI253" s="6">
        <f>IF(AL253=12,K253,0)</f>
        <v>0</v>
      </c>
      <c r="AJ253" s="6">
        <f>IF(AL253=21,K253,0)</f>
        <v>0</v>
      </c>
      <c r="AL253" s="6">
        <v>21</v>
      </c>
      <c r="AM253" s="6">
        <f>H253*0.662240741</f>
        <v>0</v>
      </c>
      <c r="AN253" s="6">
        <f>H253*(1-0.662240741)</f>
        <v>0</v>
      </c>
      <c r="AO253" s="23" t="s">
        <v>97</v>
      </c>
      <c r="AT253" s="6">
        <f>AU253+AV253</f>
        <v>0</v>
      </c>
      <c r="AU253" s="6">
        <f>G253*AM253</f>
        <v>0</v>
      </c>
      <c r="AV253" s="6">
        <f>G253*AN253</f>
        <v>0</v>
      </c>
      <c r="AW253" s="23" t="s">
        <v>519</v>
      </c>
      <c r="AX253" s="23" t="s">
        <v>520</v>
      </c>
      <c r="AY253" s="13" t="s">
        <v>475</v>
      </c>
      <c r="BA253" s="6">
        <f>AU253+AV253</f>
        <v>0</v>
      </c>
      <c r="BB253" s="6">
        <f>H253/(100-BC253)*100</f>
        <v>0</v>
      </c>
      <c r="BC253" s="6">
        <v>0</v>
      </c>
      <c r="BD253" s="6">
        <f>M253</f>
        <v>2.1402000000000001E-2</v>
      </c>
      <c r="BF253" s="6">
        <f>G253*AM253</f>
        <v>0</v>
      </c>
      <c r="BG253" s="6">
        <f>G253*AN253</f>
        <v>0</v>
      </c>
      <c r="BH253" s="6">
        <f>G253*H253</f>
        <v>0</v>
      </c>
      <c r="BI253" s="6"/>
      <c r="BJ253" s="6">
        <v>62</v>
      </c>
      <c r="BU253" s="6" t="e">
        <f>#REF!</f>
        <v>#REF!</v>
      </c>
      <c r="BV253" s="3" t="s">
        <v>545</v>
      </c>
    </row>
    <row r="254" spans="1:74" ht="14.5" x14ac:dyDescent="0.35">
      <c r="A254" s="24"/>
      <c r="D254" s="25" t="s">
        <v>541</v>
      </c>
      <c r="E254" s="26" t="s">
        <v>542</v>
      </c>
      <c r="G254" s="27">
        <v>24.6</v>
      </c>
      <c r="N254" s="87"/>
    </row>
    <row r="255" spans="1:74" ht="25" x14ac:dyDescent="0.35">
      <c r="A255" s="1" t="s">
        <v>546</v>
      </c>
      <c r="B255" s="2" t="s">
        <v>42</v>
      </c>
      <c r="C255" s="2" t="s">
        <v>547</v>
      </c>
      <c r="D255" s="138" t="s">
        <v>548</v>
      </c>
      <c r="E255" s="107"/>
      <c r="F255" s="37" t="s">
        <v>145</v>
      </c>
      <c r="G255" s="6">
        <v>41.04</v>
      </c>
      <c r="H255" s="147">
        <v>0</v>
      </c>
      <c r="I255" s="6">
        <f>G255*AM255</f>
        <v>0</v>
      </c>
      <c r="J255" s="6">
        <f>G255*AN255</f>
        <v>0</v>
      </c>
      <c r="K255" s="6">
        <f>G255*H255</f>
        <v>0</v>
      </c>
      <c r="L255" s="6">
        <v>1.8270000000000002E-2</v>
      </c>
      <c r="M255" s="6">
        <f>G255*L255</f>
        <v>0.74980080000000005</v>
      </c>
      <c r="N255" s="86" t="s">
        <v>102</v>
      </c>
      <c r="X255" s="6">
        <f>IF(AO255="5",BH255,0)</f>
        <v>0</v>
      </c>
      <c r="Z255" s="6">
        <f>IF(AO255="1",BF255,0)</f>
        <v>0</v>
      </c>
      <c r="AA255" s="6">
        <f>IF(AO255="1",BG255,0)</f>
        <v>0</v>
      </c>
      <c r="AB255" s="6">
        <f>IF(AO255="7",BF255,0)</f>
        <v>0</v>
      </c>
      <c r="AC255" s="6">
        <f>IF(AO255="7",BG255,0)</f>
        <v>0</v>
      </c>
      <c r="AD255" s="6">
        <f>IF(AO255="2",BF255,0)</f>
        <v>0</v>
      </c>
      <c r="AE255" s="6">
        <f>IF(AO255="2",BG255,0)</f>
        <v>0</v>
      </c>
      <c r="AF255" s="6">
        <f>IF(AO255="0",BH255,0)</f>
        <v>0</v>
      </c>
      <c r="AG255" s="13" t="s">
        <v>42</v>
      </c>
      <c r="AH255" s="6">
        <f>IF(AL255=0,K255,0)</f>
        <v>0</v>
      </c>
      <c r="AI255" s="6">
        <f>IF(AL255=12,K255,0)</f>
        <v>0</v>
      </c>
      <c r="AJ255" s="6">
        <f>IF(AL255=21,K255,0)</f>
        <v>0</v>
      </c>
      <c r="AL255" s="6">
        <v>21</v>
      </c>
      <c r="AM255" s="6">
        <f>H255*0</f>
        <v>0</v>
      </c>
      <c r="AN255" s="6">
        <f>H255*(1-0)</f>
        <v>0</v>
      </c>
      <c r="AO255" s="23" t="s">
        <v>97</v>
      </c>
      <c r="AT255" s="6">
        <f>AU255+AV255</f>
        <v>0</v>
      </c>
      <c r="AU255" s="6">
        <f>G255*AM255</f>
        <v>0</v>
      </c>
      <c r="AV255" s="6">
        <f>G255*AN255</f>
        <v>0</v>
      </c>
      <c r="AW255" s="23" t="s">
        <v>519</v>
      </c>
      <c r="AX255" s="23" t="s">
        <v>520</v>
      </c>
      <c r="AY255" s="13" t="s">
        <v>475</v>
      </c>
      <c r="BA255" s="6">
        <f>AU255+AV255</f>
        <v>0</v>
      </c>
      <c r="BB255" s="6">
        <f>H255/(100-BC255)*100</f>
        <v>0</v>
      </c>
      <c r="BC255" s="6">
        <v>0</v>
      </c>
      <c r="BD255" s="6">
        <f>M255</f>
        <v>0.74980080000000005</v>
      </c>
      <c r="BF255" s="6">
        <f>G255*AM255</f>
        <v>0</v>
      </c>
      <c r="BG255" s="6">
        <f>G255*AN255</f>
        <v>0</v>
      </c>
      <c r="BH255" s="6">
        <f>G255*H255</f>
        <v>0</v>
      </c>
      <c r="BI255" s="6"/>
      <c r="BJ255" s="6">
        <v>62</v>
      </c>
      <c r="BU255" s="6" t="e">
        <f>#REF!</f>
        <v>#REF!</v>
      </c>
      <c r="BV255" s="3" t="s">
        <v>548</v>
      </c>
    </row>
    <row r="256" spans="1:74" ht="14.5" x14ac:dyDescent="0.35">
      <c r="A256" s="24"/>
      <c r="D256" s="25" t="s">
        <v>549</v>
      </c>
      <c r="E256" s="26" t="s">
        <v>522</v>
      </c>
      <c r="G256" s="27">
        <v>44.76</v>
      </c>
      <c r="N256" s="87"/>
    </row>
    <row r="257" spans="1:74" ht="14.5" x14ac:dyDescent="0.35">
      <c r="A257" s="24"/>
      <c r="D257" s="25" t="s">
        <v>550</v>
      </c>
      <c r="E257" s="26" t="s">
        <v>440</v>
      </c>
      <c r="G257" s="27">
        <v>-3.72</v>
      </c>
      <c r="N257" s="87"/>
    </row>
    <row r="258" spans="1:74" ht="25" x14ac:dyDescent="0.35">
      <c r="A258" s="1" t="s">
        <v>551</v>
      </c>
      <c r="B258" s="2" t="s">
        <v>42</v>
      </c>
      <c r="C258" s="2" t="s">
        <v>552</v>
      </c>
      <c r="D258" s="138" t="s">
        <v>553</v>
      </c>
      <c r="E258" s="107"/>
      <c r="F258" s="37" t="s">
        <v>145</v>
      </c>
      <c r="G258" s="6">
        <v>3.2</v>
      </c>
      <c r="H258" s="147">
        <v>0</v>
      </c>
      <c r="I258" s="6">
        <f>G258*AM258</f>
        <v>0</v>
      </c>
      <c r="J258" s="6">
        <f>G258*AN258</f>
        <v>0</v>
      </c>
      <c r="K258" s="6">
        <f>G258*H258</f>
        <v>0</v>
      </c>
      <c r="L258" s="6">
        <v>1.6129999999999999E-2</v>
      </c>
      <c r="M258" s="6">
        <f>G258*L258</f>
        <v>5.1615999999999995E-2</v>
      </c>
      <c r="N258" s="86" t="s">
        <v>102</v>
      </c>
      <c r="X258" s="6">
        <f>IF(AO258="5",BH258,0)</f>
        <v>0</v>
      </c>
      <c r="Z258" s="6">
        <f>IF(AO258="1",BF258,0)</f>
        <v>0</v>
      </c>
      <c r="AA258" s="6">
        <f>IF(AO258="1",BG258,0)</f>
        <v>0</v>
      </c>
      <c r="AB258" s="6">
        <f>IF(AO258="7",BF258,0)</f>
        <v>0</v>
      </c>
      <c r="AC258" s="6">
        <f>IF(AO258="7",BG258,0)</f>
        <v>0</v>
      </c>
      <c r="AD258" s="6">
        <f>IF(AO258="2",BF258,0)</f>
        <v>0</v>
      </c>
      <c r="AE258" s="6">
        <f>IF(AO258="2",BG258,0)</f>
        <v>0</v>
      </c>
      <c r="AF258" s="6">
        <f>IF(AO258="0",BH258,0)</f>
        <v>0</v>
      </c>
      <c r="AG258" s="13" t="s">
        <v>42</v>
      </c>
      <c r="AH258" s="6">
        <f>IF(AL258=0,K258,0)</f>
        <v>0</v>
      </c>
      <c r="AI258" s="6">
        <f>IF(AL258=12,K258,0)</f>
        <v>0</v>
      </c>
      <c r="AJ258" s="6">
        <f>IF(AL258=21,K258,0)</f>
        <v>0</v>
      </c>
      <c r="AL258" s="6">
        <v>21</v>
      </c>
      <c r="AM258" s="6">
        <f>H258*0.658191126</f>
        <v>0</v>
      </c>
      <c r="AN258" s="6">
        <f>H258*(1-0.658191126)</f>
        <v>0</v>
      </c>
      <c r="AO258" s="23" t="s">
        <v>97</v>
      </c>
      <c r="AT258" s="6">
        <f>AU258+AV258</f>
        <v>0</v>
      </c>
      <c r="AU258" s="6">
        <f>G258*AM258</f>
        <v>0</v>
      </c>
      <c r="AV258" s="6">
        <f>G258*AN258</f>
        <v>0</v>
      </c>
      <c r="AW258" s="23" t="s">
        <v>519</v>
      </c>
      <c r="AX258" s="23" t="s">
        <v>520</v>
      </c>
      <c r="AY258" s="13" t="s">
        <v>475</v>
      </c>
      <c r="BA258" s="6">
        <f>AU258+AV258</f>
        <v>0</v>
      </c>
      <c r="BB258" s="6">
        <f>H258/(100-BC258)*100</f>
        <v>0</v>
      </c>
      <c r="BC258" s="6">
        <v>0</v>
      </c>
      <c r="BD258" s="6">
        <f>M258</f>
        <v>5.1615999999999995E-2</v>
      </c>
      <c r="BF258" s="6">
        <f>G258*AM258</f>
        <v>0</v>
      </c>
      <c r="BG258" s="6">
        <f>G258*AN258</f>
        <v>0</v>
      </c>
      <c r="BH258" s="6">
        <f>G258*H258</f>
        <v>0</v>
      </c>
      <c r="BI258" s="6"/>
      <c r="BJ258" s="6">
        <v>62</v>
      </c>
      <c r="BU258" s="6" t="e">
        <f>#REF!</f>
        <v>#REF!</v>
      </c>
      <c r="BV258" s="3" t="s">
        <v>553</v>
      </c>
    </row>
    <row r="259" spans="1:74" ht="14.5" x14ac:dyDescent="0.35">
      <c r="A259" s="24"/>
      <c r="D259" s="25" t="s">
        <v>554</v>
      </c>
      <c r="E259" s="26" t="s">
        <v>522</v>
      </c>
      <c r="G259" s="27">
        <v>3.2</v>
      </c>
      <c r="N259" s="87"/>
    </row>
    <row r="260" spans="1:74" ht="25" x14ac:dyDescent="0.35">
      <c r="A260" s="1" t="s">
        <v>555</v>
      </c>
      <c r="B260" s="2" t="s">
        <v>42</v>
      </c>
      <c r="C260" s="2" t="s">
        <v>556</v>
      </c>
      <c r="D260" s="138" t="s">
        <v>557</v>
      </c>
      <c r="E260" s="107"/>
      <c r="F260" s="37" t="s">
        <v>145</v>
      </c>
      <c r="G260" s="6">
        <v>462.57</v>
      </c>
      <c r="H260" s="147">
        <v>0</v>
      </c>
      <c r="I260" s="6">
        <f>G260*AM260</f>
        <v>0</v>
      </c>
      <c r="J260" s="6">
        <f>G260*AN260</f>
        <v>0</v>
      </c>
      <c r="K260" s="6">
        <f>G260*H260</f>
        <v>0</v>
      </c>
      <c r="L260" s="6">
        <v>1.592E-2</v>
      </c>
      <c r="M260" s="6">
        <f>G260*L260</f>
        <v>7.3641144000000001</v>
      </c>
      <c r="N260" s="86" t="s">
        <v>102</v>
      </c>
      <c r="X260" s="6">
        <f>IF(AO260="5",BH260,0)</f>
        <v>0</v>
      </c>
      <c r="Z260" s="6">
        <f>IF(AO260="1",BF260,0)</f>
        <v>0</v>
      </c>
      <c r="AA260" s="6">
        <f>IF(AO260="1",BG260,0)</f>
        <v>0</v>
      </c>
      <c r="AB260" s="6">
        <f>IF(AO260="7",BF260,0)</f>
        <v>0</v>
      </c>
      <c r="AC260" s="6">
        <f>IF(AO260="7",BG260,0)</f>
        <v>0</v>
      </c>
      <c r="AD260" s="6">
        <f>IF(AO260="2",BF260,0)</f>
        <v>0</v>
      </c>
      <c r="AE260" s="6">
        <f>IF(AO260="2",BG260,0)</f>
        <v>0</v>
      </c>
      <c r="AF260" s="6">
        <f>IF(AO260="0",BH260,0)</f>
        <v>0</v>
      </c>
      <c r="AG260" s="13" t="s">
        <v>42</v>
      </c>
      <c r="AH260" s="6">
        <f>IF(AL260=0,K260,0)</f>
        <v>0</v>
      </c>
      <c r="AI260" s="6">
        <f>IF(AL260=12,K260,0)</f>
        <v>0</v>
      </c>
      <c r="AJ260" s="6">
        <f>IF(AL260=21,K260,0)</f>
        <v>0</v>
      </c>
      <c r="AL260" s="6">
        <v>21</v>
      </c>
      <c r="AM260" s="6">
        <f>H260*0.564243341</f>
        <v>0</v>
      </c>
      <c r="AN260" s="6">
        <f>H260*(1-0.564243341)</f>
        <v>0</v>
      </c>
      <c r="AO260" s="23" t="s">
        <v>97</v>
      </c>
      <c r="AT260" s="6">
        <f>AU260+AV260</f>
        <v>0</v>
      </c>
      <c r="AU260" s="6">
        <f>G260*AM260</f>
        <v>0</v>
      </c>
      <c r="AV260" s="6">
        <f>G260*AN260</f>
        <v>0</v>
      </c>
      <c r="AW260" s="23" t="s">
        <v>519</v>
      </c>
      <c r="AX260" s="23" t="s">
        <v>520</v>
      </c>
      <c r="AY260" s="13" t="s">
        <v>475</v>
      </c>
      <c r="BA260" s="6">
        <f>AU260+AV260</f>
        <v>0</v>
      </c>
      <c r="BB260" s="6">
        <f>H260/(100-BC260)*100</f>
        <v>0</v>
      </c>
      <c r="BC260" s="6">
        <v>0</v>
      </c>
      <c r="BD260" s="6">
        <f>M260</f>
        <v>7.3641144000000001</v>
      </c>
      <c r="BF260" s="6">
        <f>G260*AM260</f>
        <v>0</v>
      </c>
      <c r="BG260" s="6">
        <f>G260*AN260</f>
        <v>0</v>
      </c>
      <c r="BH260" s="6">
        <f>G260*H260</f>
        <v>0</v>
      </c>
      <c r="BI260" s="6"/>
      <c r="BJ260" s="6">
        <v>62</v>
      </c>
      <c r="BU260" s="6" t="e">
        <f>#REF!</f>
        <v>#REF!</v>
      </c>
      <c r="BV260" s="3" t="s">
        <v>557</v>
      </c>
    </row>
    <row r="261" spans="1:74" ht="13.5" customHeight="1" x14ac:dyDescent="0.35">
      <c r="A261" s="24"/>
      <c r="C261" s="28" t="s">
        <v>193</v>
      </c>
      <c r="D261" s="139" t="s">
        <v>558</v>
      </c>
      <c r="E261" s="140"/>
      <c r="F261" s="140"/>
      <c r="G261" s="140"/>
      <c r="H261" s="140"/>
      <c r="I261" s="140"/>
      <c r="J261" s="140"/>
      <c r="K261" s="140"/>
      <c r="L261" s="140"/>
      <c r="M261" s="140"/>
      <c r="N261" s="141"/>
    </row>
    <row r="262" spans="1:74" ht="14.5" x14ac:dyDescent="0.35">
      <c r="A262" s="24"/>
      <c r="D262" s="25" t="s">
        <v>559</v>
      </c>
      <c r="E262" s="26" t="s">
        <v>522</v>
      </c>
      <c r="G262" s="27">
        <v>156.66</v>
      </c>
      <c r="N262" s="87"/>
    </row>
    <row r="263" spans="1:74" ht="14.5" x14ac:dyDescent="0.35">
      <c r="A263" s="24"/>
      <c r="D263" s="25" t="s">
        <v>560</v>
      </c>
      <c r="E263" s="26" t="s">
        <v>524</v>
      </c>
      <c r="G263" s="27">
        <v>167.7</v>
      </c>
      <c r="N263" s="87"/>
    </row>
    <row r="264" spans="1:74" ht="14.5" x14ac:dyDescent="0.35">
      <c r="A264" s="24"/>
      <c r="D264" s="25" t="s">
        <v>560</v>
      </c>
      <c r="E264" s="26" t="s">
        <v>525</v>
      </c>
      <c r="G264" s="27">
        <v>167.7</v>
      </c>
      <c r="N264" s="87"/>
    </row>
    <row r="265" spans="1:74" ht="14.5" x14ac:dyDescent="0.35">
      <c r="A265" s="24"/>
      <c r="D265" s="25" t="s">
        <v>561</v>
      </c>
      <c r="E265" s="26" t="s">
        <v>527</v>
      </c>
      <c r="G265" s="27">
        <v>155.82</v>
      </c>
      <c r="N265" s="87"/>
    </row>
    <row r="266" spans="1:74" ht="14.5" x14ac:dyDescent="0.35">
      <c r="A266" s="24"/>
      <c r="D266" s="25" t="s">
        <v>439</v>
      </c>
      <c r="E266" s="26" t="s">
        <v>440</v>
      </c>
      <c r="G266" s="27">
        <v>-185.31</v>
      </c>
      <c r="N266" s="87"/>
    </row>
    <row r="267" spans="1:74" ht="25" x14ac:dyDescent="0.35">
      <c r="A267" s="1" t="s">
        <v>562</v>
      </c>
      <c r="B267" s="2" t="s">
        <v>42</v>
      </c>
      <c r="C267" s="2" t="s">
        <v>563</v>
      </c>
      <c r="D267" s="138" t="s">
        <v>564</v>
      </c>
      <c r="E267" s="107"/>
      <c r="F267" s="37" t="s">
        <v>145</v>
      </c>
      <c r="G267" s="6">
        <v>46.4</v>
      </c>
      <c r="H267" s="147">
        <v>0</v>
      </c>
      <c r="I267" s="6">
        <f>G267*AM267</f>
        <v>0</v>
      </c>
      <c r="J267" s="6">
        <f>G267*AN267</f>
        <v>0</v>
      </c>
      <c r="K267" s="6">
        <f>G267*H267</f>
        <v>0</v>
      </c>
      <c r="L267" s="6">
        <v>1.4019999999999999E-2</v>
      </c>
      <c r="M267" s="6">
        <f>G267*L267</f>
        <v>0.650528</v>
      </c>
      <c r="N267" s="86" t="s">
        <v>102</v>
      </c>
      <c r="X267" s="6">
        <f>IF(AO267="5",BH267,0)</f>
        <v>0</v>
      </c>
      <c r="Z267" s="6">
        <f>IF(AO267="1",BF267,0)</f>
        <v>0</v>
      </c>
      <c r="AA267" s="6">
        <f>IF(AO267="1",BG267,0)</f>
        <v>0</v>
      </c>
      <c r="AB267" s="6">
        <f>IF(AO267="7",BF267,0)</f>
        <v>0</v>
      </c>
      <c r="AC267" s="6">
        <f>IF(AO267="7",BG267,0)</f>
        <v>0</v>
      </c>
      <c r="AD267" s="6">
        <f>IF(AO267="2",BF267,0)</f>
        <v>0</v>
      </c>
      <c r="AE267" s="6">
        <f>IF(AO267="2",BG267,0)</f>
        <v>0</v>
      </c>
      <c r="AF267" s="6">
        <f>IF(AO267="0",BH267,0)</f>
        <v>0</v>
      </c>
      <c r="AG267" s="13" t="s">
        <v>42</v>
      </c>
      <c r="AH267" s="6">
        <f>IF(AL267=0,K267,0)</f>
        <v>0</v>
      </c>
      <c r="AI267" s="6">
        <f>IF(AL267=12,K267,0)</f>
        <v>0</v>
      </c>
      <c r="AJ267" s="6">
        <f>IF(AL267=21,K267,0)</f>
        <v>0</v>
      </c>
      <c r="AL267" s="6">
        <v>21</v>
      </c>
      <c r="AM267" s="6">
        <f>H267*0.480613276</f>
        <v>0</v>
      </c>
      <c r="AN267" s="6">
        <f>H267*(1-0.480613276)</f>
        <v>0</v>
      </c>
      <c r="AO267" s="23" t="s">
        <v>97</v>
      </c>
      <c r="AT267" s="6">
        <f>AU267+AV267</f>
        <v>0</v>
      </c>
      <c r="AU267" s="6">
        <f>G267*AM267</f>
        <v>0</v>
      </c>
      <c r="AV267" s="6">
        <f>G267*AN267</f>
        <v>0</v>
      </c>
      <c r="AW267" s="23" t="s">
        <v>519</v>
      </c>
      <c r="AX267" s="23" t="s">
        <v>520</v>
      </c>
      <c r="AY267" s="13" t="s">
        <v>475</v>
      </c>
      <c r="BA267" s="6">
        <f>AU267+AV267</f>
        <v>0</v>
      </c>
      <c r="BB267" s="6">
        <f>H267/(100-BC267)*100</f>
        <v>0</v>
      </c>
      <c r="BC267" s="6">
        <v>0</v>
      </c>
      <c r="BD267" s="6">
        <f>M267</f>
        <v>0.650528</v>
      </c>
      <c r="BF267" s="6">
        <f>G267*AM267</f>
        <v>0</v>
      </c>
      <c r="BG267" s="6">
        <f>G267*AN267</f>
        <v>0</v>
      </c>
      <c r="BH267" s="6">
        <f>G267*H267</f>
        <v>0</v>
      </c>
      <c r="BI267" s="6"/>
      <c r="BJ267" s="6">
        <v>62</v>
      </c>
      <c r="BU267" s="6" t="e">
        <f>#REF!</f>
        <v>#REF!</v>
      </c>
      <c r="BV267" s="3" t="s">
        <v>564</v>
      </c>
    </row>
    <row r="268" spans="1:74" ht="13.5" customHeight="1" x14ac:dyDescent="0.35">
      <c r="A268" s="24"/>
      <c r="C268" s="28" t="s">
        <v>193</v>
      </c>
      <c r="D268" s="139" t="s">
        <v>558</v>
      </c>
      <c r="E268" s="140"/>
      <c r="F268" s="140"/>
      <c r="G268" s="140"/>
      <c r="H268" s="140"/>
      <c r="I268" s="140"/>
      <c r="J268" s="140"/>
      <c r="K268" s="140"/>
      <c r="L268" s="140"/>
      <c r="M268" s="140"/>
      <c r="N268" s="141"/>
    </row>
    <row r="269" spans="1:74" ht="14.5" x14ac:dyDescent="0.35">
      <c r="A269" s="24"/>
      <c r="D269" s="25" t="s">
        <v>565</v>
      </c>
      <c r="E269" s="26" t="s">
        <v>522</v>
      </c>
      <c r="G269" s="27">
        <v>11.2</v>
      </c>
      <c r="N269" s="87"/>
    </row>
    <row r="270" spans="1:74" ht="14.5" x14ac:dyDescent="0.35">
      <c r="A270" s="24"/>
      <c r="D270" s="25" t="s">
        <v>566</v>
      </c>
      <c r="E270" s="26" t="s">
        <v>524</v>
      </c>
      <c r="G270" s="27">
        <v>12</v>
      </c>
      <c r="N270" s="87"/>
    </row>
    <row r="271" spans="1:74" ht="14.5" x14ac:dyDescent="0.35">
      <c r="A271" s="24"/>
      <c r="D271" s="25" t="s">
        <v>566</v>
      </c>
      <c r="E271" s="26" t="s">
        <v>525</v>
      </c>
      <c r="G271" s="27">
        <v>12</v>
      </c>
      <c r="N271" s="87"/>
    </row>
    <row r="272" spans="1:74" ht="14.5" x14ac:dyDescent="0.35">
      <c r="A272" s="24"/>
      <c r="D272" s="25" t="s">
        <v>565</v>
      </c>
      <c r="E272" s="26" t="s">
        <v>527</v>
      </c>
      <c r="G272" s="27">
        <v>11.2</v>
      </c>
      <c r="N272" s="87"/>
    </row>
    <row r="273" spans="1:74" ht="25" x14ac:dyDescent="0.35">
      <c r="A273" s="1" t="s">
        <v>567</v>
      </c>
      <c r="B273" s="2" t="s">
        <v>42</v>
      </c>
      <c r="C273" s="2" t="s">
        <v>568</v>
      </c>
      <c r="D273" s="138" t="s">
        <v>569</v>
      </c>
      <c r="E273" s="107"/>
      <c r="F273" s="37" t="s">
        <v>145</v>
      </c>
      <c r="G273" s="6">
        <v>75.48</v>
      </c>
      <c r="H273" s="147">
        <v>0</v>
      </c>
      <c r="I273" s="6">
        <f>G273*AM273</f>
        <v>0</v>
      </c>
      <c r="J273" s="6">
        <f>G273*AN273</f>
        <v>0</v>
      </c>
      <c r="K273" s="6">
        <f>G273*H273</f>
        <v>0</v>
      </c>
      <c r="L273" s="6">
        <v>1.4019999999999999E-2</v>
      </c>
      <c r="M273" s="6">
        <f>G273*L273</f>
        <v>1.0582296</v>
      </c>
      <c r="N273" s="86" t="s">
        <v>102</v>
      </c>
      <c r="X273" s="6">
        <f>IF(AO273="5",BH273,0)</f>
        <v>0</v>
      </c>
      <c r="Z273" s="6">
        <f>IF(AO273="1",BF273,0)</f>
        <v>0</v>
      </c>
      <c r="AA273" s="6">
        <f>IF(AO273="1",BG273,0)</f>
        <v>0</v>
      </c>
      <c r="AB273" s="6">
        <f>IF(AO273="7",BF273,0)</f>
        <v>0</v>
      </c>
      <c r="AC273" s="6">
        <f>IF(AO273="7",BG273,0)</f>
        <v>0</v>
      </c>
      <c r="AD273" s="6">
        <f>IF(AO273="2",BF273,0)</f>
        <v>0</v>
      </c>
      <c r="AE273" s="6">
        <f>IF(AO273="2",BG273,0)</f>
        <v>0</v>
      </c>
      <c r="AF273" s="6">
        <f>IF(AO273="0",BH273,0)</f>
        <v>0</v>
      </c>
      <c r="AG273" s="13" t="s">
        <v>42</v>
      </c>
      <c r="AH273" s="6">
        <f>IF(AL273=0,K273,0)</f>
        <v>0</v>
      </c>
      <c r="AI273" s="6">
        <f>IF(AL273=12,K273,0)</f>
        <v>0</v>
      </c>
      <c r="AJ273" s="6">
        <f>IF(AL273=21,K273,0)</f>
        <v>0</v>
      </c>
      <c r="AL273" s="6">
        <v>21</v>
      </c>
      <c r="AM273" s="6">
        <f>H273*0.48060767</f>
        <v>0</v>
      </c>
      <c r="AN273" s="6">
        <f>H273*(1-0.48060767)</f>
        <v>0</v>
      </c>
      <c r="AO273" s="23" t="s">
        <v>97</v>
      </c>
      <c r="AT273" s="6">
        <f>AU273+AV273</f>
        <v>0</v>
      </c>
      <c r="AU273" s="6">
        <f>G273*AM273</f>
        <v>0</v>
      </c>
      <c r="AV273" s="6">
        <f>G273*AN273</f>
        <v>0</v>
      </c>
      <c r="AW273" s="23" t="s">
        <v>519</v>
      </c>
      <c r="AX273" s="23" t="s">
        <v>520</v>
      </c>
      <c r="AY273" s="13" t="s">
        <v>475</v>
      </c>
      <c r="BA273" s="6">
        <f>AU273+AV273</f>
        <v>0</v>
      </c>
      <c r="BB273" s="6">
        <f>H273/(100-BC273)*100</f>
        <v>0</v>
      </c>
      <c r="BC273" s="6">
        <v>0</v>
      </c>
      <c r="BD273" s="6">
        <f>M273</f>
        <v>1.0582296</v>
      </c>
      <c r="BF273" s="6">
        <f>G273*AM273</f>
        <v>0</v>
      </c>
      <c r="BG273" s="6">
        <f>G273*AN273</f>
        <v>0</v>
      </c>
      <c r="BH273" s="6">
        <f>G273*H273</f>
        <v>0</v>
      </c>
      <c r="BI273" s="6"/>
      <c r="BJ273" s="6">
        <v>62</v>
      </c>
      <c r="BU273" s="6" t="e">
        <f>#REF!</f>
        <v>#REF!</v>
      </c>
      <c r="BV273" s="3" t="s">
        <v>569</v>
      </c>
    </row>
    <row r="274" spans="1:74" ht="13.5" customHeight="1" x14ac:dyDescent="0.35">
      <c r="A274" s="24"/>
      <c r="C274" s="28" t="s">
        <v>193</v>
      </c>
      <c r="D274" s="139" t="s">
        <v>558</v>
      </c>
      <c r="E274" s="140"/>
      <c r="F274" s="140"/>
      <c r="G274" s="140"/>
      <c r="H274" s="140"/>
      <c r="I274" s="140"/>
      <c r="J274" s="140"/>
      <c r="K274" s="140"/>
      <c r="L274" s="140"/>
      <c r="M274" s="140"/>
      <c r="N274" s="141"/>
    </row>
    <row r="275" spans="1:74" ht="14.5" x14ac:dyDescent="0.35">
      <c r="A275" s="24"/>
      <c r="D275" s="25" t="s">
        <v>570</v>
      </c>
      <c r="E275" s="26" t="s">
        <v>571</v>
      </c>
      <c r="G275" s="27">
        <v>8.6999999999999993</v>
      </c>
      <c r="N275" s="87"/>
    </row>
    <row r="276" spans="1:74" ht="14.5" x14ac:dyDescent="0.35">
      <c r="A276" s="24"/>
      <c r="D276" s="25" t="s">
        <v>572</v>
      </c>
      <c r="E276" s="26" t="s">
        <v>573</v>
      </c>
      <c r="G276" s="27">
        <v>66.78</v>
      </c>
      <c r="N276" s="87"/>
    </row>
    <row r="277" spans="1:74" ht="14.5" x14ac:dyDescent="0.35">
      <c r="A277" s="1" t="s">
        <v>574</v>
      </c>
      <c r="B277" s="2" t="s">
        <v>42</v>
      </c>
      <c r="C277" s="2" t="s">
        <v>575</v>
      </c>
      <c r="D277" s="138" t="s">
        <v>576</v>
      </c>
      <c r="E277" s="107"/>
      <c r="F277" s="37" t="s">
        <v>145</v>
      </c>
      <c r="G277" s="6">
        <v>105.7</v>
      </c>
      <c r="H277" s="147">
        <v>0</v>
      </c>
      <c r="I277" s="6">
        <f>G277*AM277</f>
        <v>0</v>
      </c>
      <c r="J277" s="6">
        <f>G277*AN277</f>
        <v>0</v>
      </c>
      <c r="K277" s="6">
        <f>G277*H277</f>
        <v>0</v>
      </c>
      <c r="L277" s="6">
        <v>0</v>
      </c>
      <c r="M277" s="6">
        <f>G277*L277</f>
        <v>0</v>
      </c>
      <c r="N277" s="86" t="s">
        <v>129</v>
      </c>
      <c r="X277" s="6">
        <f>IF(AO277="5",BH277,0)</f>
        <v>0</v>
      </c>
      <c r="Z277" s="6">
        <f>IF(AO277="1",BF277,0)</f>
        <v>0</v>
      </c>
      <c r="AA277" s="6">
        <f>IF(AO277="1",BG277,0)</f>
        <v>0</v>
      </c>
      <c r="AB277" s="6">
        <f>IF(AO277="7",BF277,0)</f>
        <v>0</v>
      </c>
      <c r="AC277" s="6">
        <f>IF(AO277="7",BG277,0)</f>
        <v>0</v>
      </c>
      <c r="AD277" s="6">
        <f>IF(AO277="2",BF277,0)</f>
        <v>0</v>
      </c>
      <c r="AE277" s="6">
        <f>IF(AO277="2",BG277,0)</f>
        <v>0</v>
      </c>
      <c r="AF277" s="6">
        <f>IF(AO277="0",BH277,0)</f>
        <v>0</v>
      </c>
      <c r="AG277" s="13" t="s">
        <v>42</v>
      </c>
      <c r="AH277" s="6">
        <f>IF(AL277=0,K277,0)</f>
        <v>0</v>
      </c>
      <c r="AI277" s="6">
        <f>IF(AL277=12,K277,0)</f>
        <v>0</v>
      </c>
      <c r="AJ277" s="6">
        <f>IF(AL277=21,K277,0)</f>
        <v>0</v>
      </c>
      <c r="AL277" s="6">
        <v>21</v>
      </c>
      <c r="AM277" s="6">
        <f>H277*0.190492958</f>
        <v>0</v>
      </c>
      <c r="AN277" s="6">
        <f>H277*(1-0.190492958)</f>
        <v>0</v>
      </c>
      <c r="AO277" s="23" t="s">
        <v>97</v>
      </c>
      <c r="AT277" s="6">
        <f>AU277+AV277</f>
        <v>0</v>
      </c>
      <c r="AU277" s="6">
        <f>G277*AM277</f>
        <v>0</v>
      </c>
      <c r="AV277" s="6">
        <f>G277*AN277</f>
        <v>0</v>
      </c>
      <c r="AW277" s="23" t="s">
        <v>519</v>
      </c>
      <c r="AX277" s="23" t="s">
        <v>520</v>
      </c>
      <c r="AY277" s="13" t="s">
        <v>475</v>
      </c>
      <c r="BA277" s="6">
        <f>AU277+AV277</f>
        <v>0</v>
      </c>
      <c r="BB277" s="6">
        <f>H277/(100-BC277)*100</f>
        <v>0</v>
      </c>
      <c r="BC277" s="6">
        <v>0</v>
      </c>
      <c r="BD277" s="6">
        <f>M277</f>
        <v>0</v>
      </c>
      <c r="BF277" s="6">
        <f>G277*AM277</f>
        <v>0</v>
      </c>
      <c r="BG277" s="6">
        <f>G277*AN277</f>
        <v>0</v>
      </c>
      <c r="BH277" s="6">
        <f>G277*H277</f>
        <v>0</v>
      </c>
      <c r="BI277" s="6"/>
      <c r="BJ277" s="6">
        <v>62</v>
      </c>
      <c r="BU277" s="6" t="e">
        <f>#REF!</f>
        <v>#REF!</v>
      </c>
      <c r="BV277" s="3" t="s">
        <v>576</v>
      </c>
    </row>
    <row r="278" spans="1:74" ht="14.5" x14ac:dyDescent="0.35">
      <c r="A278" s="24"/>
      <c r="D278" s="25" t="s">
        <v>577</v>
      </c>
      <c r="E278" s="26" t="s">
        <v>578</v>
      </c>
      <c r="G278" s="27">
        <v>155.82</v>
      </c>
      <c r="N278" s="87"/>
    </row>
    <row r="279" spans="1:74" ht="14.5" x14ac:dyDescent="0.35">
      <c r="A279" s="24"/>
      <c r="D279" s="25" t="s">
        <v>579</v>
      </c>
      <c r="E279" s="26" t="s">
        <v>440</v>
      </c>
      <c r="G279" s="27">
        <v>-50.12</v>
      </c>
      <c r="N279" s="87"/>
    </row>
    <row r="280" spans="1:74" ht="14.5" x14ac:dyDescent="0.35">
      <c r="A280" s="1" t="s">
        <v>580</v>
      </c>
      <c r="B280" s="2" t="s">
        <v>42</v>
      </c>
      <c r="C280" s="2" t="s">
        <v>581</v>
      </c>
      <c r="D280" s="138" t="s">
        <v>582</v>
      </c>
      <c r="E280" s="107"/>
      <c r="F280" s="37" t="s">
        <v>145</v>
      </c>
      <c r="G280" s="6">
        <v>76.37</v>
      </c>
      <c r="H280" s="147">
        <v>0</v>
      </c>
      <c r="I280" s="6">
        <f>G280*AM280</f>
        <v>0</v>
      </c>
      <c r="J280" s="6">
        <f>G280*AN280</f>
        <v>0</v>
      </c>
      <c r="K280" s="6">
        <f>G280*H280</f>
        <v>0</v>
      </c>
      <c r="L280" s="6">
        <v>1.0109999999999999E-2</v>
      </c>
      <c r="M280" s="6">
        <f>G280*L280</f>
        <v>0.77210069999999997</v>
      </c>
      <c r="N280" s="86" t="s">
        <v>102</v>
      </c>
      <c r="X280" s="6">
        <f>IF(AO280="5",BH280,0)</f>
        <v>0</v>
      </c>
      <c r="Z280" s="6">
        <f>IF(AO280="1",BF280,0)</f>
        <v>0</v>
      </c>
      <c r="AA280" s="6">
        <f>IF(AO280="1",BG280,0)</f>
        <v>0</v>
      </c>
      <c r="AB280" s="6">
        <f>IF(AO280="7",BF280,0)</f>
        <v>0</v>
      </c>
      <c r="AC280" s="6">
        <f>IF(AO280="7",BG280,0)</f>
        <v>0</v>
      </c>
      <c r="AD280" s="6">
        <f>IF(AO280="2",BF280,0)</f>
        <v>0</v>
      </c>
      <c r="AE280" s="6">
        <f>IF(AO280="2",BG280,0)</f>
        <v>0</v>
      </c>
      <c r="AF280" s="6">
        <f>IF(AO280="0",BH280,0)</f>
        <v>0</v>
      </c>
      <c r="AG280" s="13" t="s">
        <v>42</v>
      </c>
      <c r="AH280" s="6">
        <f>IF(AL280=0,K280,0)</f>
        <v>0</v>
      </c>
      <c r="AI280" s="6">
        <f>IF(AL280=12,K280,0)</f>
        <v>0</v>
      </c>
      <c r="AJ280" s="6">
        <f>IF(AL280=21,K280,0)</f>
        <v>0</v>
      </c>
      <c r="AL280" s="6">
        <v>21</v>
      </c>
      <c r="AM280" s="6">
        <f>H280*0</f>
        <v>0</v>
      </c>
      <c r="AN280" s="6">
        <f>H280*(1-0)</f>
        <v>0</v>
      </c>
      <c r="AO280" s="23" t="s">
        <v>97</v>
      </c>
      <c r="AT280" s="6">
        <f>AU280+AV280</f>
        <v>0</v>
      </c>
      <c r="AU280" s="6">
        <f>G280*AM280</f>
        <v>0</v>
      </c>
      <c r="AV280" s="6">
        <f>G280*AN280</f>
        <v>0</v>
      </c>
      <c r="AW280" s="23" t="s">
        <v>519</v>
      </c>
      <c r="AX280" s="23" t="s">
        <v>520</v>
      </c>
      <c r="AY280" s="13" t="s">
        <v>475</v>
      </c>
      <c r="BA280" s="6">
        <f>AU280+AV280</f>
        <v>0</v>
      </c>
      <c r="BB280" s="6">
        <f>H280/(100-BC280)*100</f>
        <v>0</v>
      </c>
      <c r="BC280" s="6">
        <v>0</v>
      </c>
      <c r="BD280" s="6">
        <f>M280</f>
        <v>0.77210069999999997</v>
      </c>
      <c r="BF280" s="6">
        <f>G280*AM280</f>
        <v>0</v>
      </c>
      <c r="BG280" s="6">
        <f>G280*AN280</f>
        <v>0</v>
      </c>
      <c r="BH280" s="6">
        <f>G280*H280</f>
        <v>0</v>
      </c>
      <c r="BI280" s="6"/>
      <c r="BJ280" s="6">
        <v>62</v>
      </c>
      <c r="BU280" s="6" t="e">
        <f>#REF!</f>
        <v>#REF!</v>
      </c>
      <c r="BV280" s="3" t="s">
        <v>582</v>
      </c>
    </row>
    <row r="281" spans="1:74" ht="13.5" customHeight="1" x14ac:dyDescent="0.35">
      <c r="A281" s="24"/>
      <c r="C281" s="28" t="s">
        <v>193</v>
      </c>
      <c r="D281" s="139" t="s">
        <v>558</v>
      </c>
      <c r="E281" s="140"/>
      <c r="F281" s="140"/>
      <c r="G281" s="140"/>
      <c r="H281" s="140"/>
      <c r="I281" s="140"/>
      <c r="J281" s="140"/>
      <c r="K281" s="140"/>
      <c r="L281" s="140"/>
      <c r="M281" s="140"/>
      <c r="N281" s="141"/>
    </row>
    <row r="282" spans="1:74" ht="14.5" x14ac:dyDescent="0.35">
      <c r="A282" s="24"/>
      <c r="D282" s="25" t="s">
        <v>583</v>
      </c>
      <c r="E282" s="26" t="s">
        <v>107</v>
      </c>
      <c r="G282" s="27">
        <v>54.43</v>
      </c>
      <c r="N282" s="87"/>
    </row>
    <row r="283" spans="1:74" ht="14.5" x14ac:dyDescent="0.35">
      <c r="A283" s="24"/>
      <c r="D283" s="25" t="s">
        <v>584</v>
      </c>
      <c r="E283" s="26" t="s">
        <v>109</v>
      </c>
      <c r="G283" s="27">
        <v>4.75</v>
      </c>
      <c r="N283" s="87"/>
    </row>
    <row r="284" spans="1:74" ht="14.5" x14ac:dyDescent="0.35">
      <c r="A284" s="24"/>
      <c r="D284" s="25" t="s">
        <v>585</v>
      </c>
      <c r="E284" s="26" t="s">
        <v>111</v>
      </c>
      <c r="G284" s="27">
        <v>2.36</v>
      </c>
      <c r="N284" s="87"/>
    </row>
    <row r="285" spans="1:74" ht="14.5" x14ac:dyDescent="0.35">
      <c r="A285" s="24"/>
      <c r="D285" s="25" t="s">
        <v>586</v>
      </c>
      <c r="E285" s="26" t="s">
        <v>113</v>
      </c>
      <c r="G285" s="27">
        <v>2.4300000000000002</v>
      </c>
      <c r="N285" s="87"/>
    </row>
    <row r="286" spans="1:74" ht="14.5" x14ac:dyDescent="0.35">
      <c r="A286" s="24"/>
      <c r="D286" s="25" t="s">
        <v>587</v>
      </c>
      <c r="E286" s="26" t="s">
        <v>115</v>
      </c>
      <c r="G286" s="27">
        <v>0.86</v>
      </c>
      <c r="N286" s="87"/>
    </row>
    <row r="287" spans="1:74" ht="14.5" x14ac:dyDescent="0.35">
      <c r="A287" s="24"/>
      <c r="D287" s="25" t="s">
        <v>588</v>
      </c>
      <c r="E287" s="26" t="s">
        <v>117</v>
      </c>
      <c r="G287" s="27">
        <v>0.67</v>
      </c>
      <c r="N287" s="87"/>
    </row>
    <row r="288" spans="1:74" ht="14.5" x14ac:dyDescent="0.35">
      <c r="A288" s="24"/>
      <c r="D288" s="25" t="s">
        <v>587</v>
      </c>
      <c r="E288" s="26" t="s">
        <v>118</v>
      </c>
      <c r="G288" s="27">
        <v>0.86</v>
      </c>
      <c r="N288" s="87"/>
    </row>
    <row r="289" spans="1:74" ht="14.5" x14ac:dyDescent="0.35">
      <c r="A289" s="24"/>
      <c r="D289" s="25" t="s">
        <v>589</v>
      </c>
      <c r="E289" s="26" t="s">
        <v>120</v>
      </c>
      <c r="G289" s="27">
        <v>3.15</v>
      </c>
      <c r="N289" s="87"/>
    </row>
    <row r="290" spans="1:74" ht="14.5" x14ac:dyDescent="0.35">
      <c r="A290" s="24"/>
      <c r="D290" s="25" t="s">
        <v>589</v>
      </c>
      <c r="E290" s="26" t="s">
        <v>121</v>
      </c>
      <c r="G290" s="27">
        <v>3.15</v>
      </c>
      <c r="N290" s="87"/>
    </row>
    <row r="291" spans="1:74" ht="14.5" x14ac:dyDescent="0.35">
      <c r="A291" s="24"/>
      <c r="D291" s="25" t="s">
        <v>590</v>
      </c>
      <c r="E291" s="26" t="s">
        <v>123</v>
      </c>
      <c r="G291" s="27">
        <v>2.62</v>
      </c>
      <c r="N291" s="87"/>
    </row>
    <row r="292" spans="1:74" ht="14.5" x14ac:dyDescent="0.35">
      <c r="A292" s="24"/>
      <c r="D292" s="25" t="s">
        <v>591</v>
      </c>
      <c r="E292" s="26" t="s">
        <v>125</v>
      </c>
      <c r="G292" s="27">
        <v>1.0900000000000001</v>
      </c>
      <c r="N292" s="87"/>
    </row>
    <row r="293" spans="1:74" ht="14.5" x14ac:dyDescent="0.35">
      <c r="A293" s="1" t="s">
        <v>592</v>
      </c>
      <c r="B293" s="2" t="s">
        <v>42</v>
      </c>
      <c r="C293" s="2" t="s">
        <v>593</v>
      </c>
      <c r="D293" s="138" t="s">
        <v>594</v>
      </c>
      <c r="E293" s="107"/>
      <c r="F293" s="37" t="s">
        <v>145</v>
      </c>
      <c r="G293" s="6">
        <v>15.29</v>
      </c>
      <c r="H293" s="147">
        <v>0</v>
      </c>
      <c r="I293" s="6">
        <f>G293*AM293</f>
        <v>0</v>
      </c>
      <c r="J293" s="6">
        <f>G293*AN293</f>
        <v>0</v>
      </c>
      <c r="K293" s="6">
        <f>G293*H293</f>
        <v>0</v>
      </c>
      <c r="L293" s="6">
        <v>4.9500000000000004E-3</v>
      </c>
      <c r="M293" s="6">
        <f>G293*L293</f>
        <v>7.5685500000000003E-2</v>
      </c>
      <c r="N293" s="86" t="s">
        <v>102</v>
      </c>
      <c r="X293" s="6">
        <f>IF(AO293="5",BH293,0)</f>
        <v>0</v>
      </c>
      <c r="Z293" s="6">
        <f>IF(AO293="1",BF293,0)</f>
        <v>0</v>
      </c>
      <c r="AA293" s="6">
        <f>IF(AO293="1",BG293,0)</f>
        <v>0</v>
      </c>
      <c r="AB293" s="6">
        <f>IF(AO293="7",BF293,0)</f>
        <v>0</v>
      </c>
      <c r="AC293" s="6">
        <f>IF(AO293="7",BG293,0)</f>
        <v>0</v>
      </c>
      <c r="AD293" s="6">
        <f>IF(AO293="2",BF293,0)</f>
        <v>0</v>
      </c>
      <c r="AE293" s="6">
        <f>IF(AO293="2",BG293,0)</f>
        <v>0</v>
      </c>
      <c r="AF293" s="6">
        <f>IF(AO293="0",BH293,0)</f>
        <v>0</v>
      </c>
      <c r="AG293" s="13" t="s">
        <v>42</v>
      </c>
      <c r="AH293" s="6">
        <f>IF(AL293=0,K293,0)</f>
        <v>0</v>
      </c>
      <c r="AI293" s="6">
        <f>IF(AL293=12,K293,0)</f>
        <v>0</v>
      </c>
      <c r="AJ293" s="6">
        <f>IF(AL293=21,K293,0)</f>
        <v>0</v>
      </c>
      <c r="AL293" s="6">
        <v>21</v>
      </c>
      <c r="AM293" s="6">
        <f>H293*0.528741339</f>
        <v>0</v>
      </c>
      <c r="AN293" s="6">
        <f>H293*(1-0.528741339)</f>
        <v>0</v>
      </c>
      <c r="AO293" s="23" t="s">
        <v>97</v>
      </c>
      <c r="AT293" s="6">
        <f>AU293+AV293</f>
        <v>0</v>
      </c>
      <c r="AU293" s="6">
        <f>G293*AM293</f>
        <v>0</v>
      </c>
      <c r="AV293" s="6">
        <f>G293*AN293</f>
        <v>0</v>
      </c>
      <c r="AW293" s="23" t="s">
        <v>519</v>
      </c>
      <c r="AX293" s="23" t="s">
        <v>520</v>
      </c>
      <c r="AY293" s="13" t="s">
        <v>475</v>
      </c>
      <c r="BA293" s="6">
        <f>AU293+AV293</f>
        <v>0</v>
      </c>
      <c r="BB293" s="6">
        <f>H293/(100-BC293)*100</f>
        <v>0</v>
      </c>
      <c r="BC293" s="6">
        <v>0</v>
      </c>
      <c r="BD293" s="6">
        <f>M293</f>
        <v>7.5685500000000003E-2</v>
      </c>
      <c r="BF293" s="6">
        <f>G293*AM293</f>
        <v>0</v>
      </c>
      <c r="BG293" s="6">
        <f>G293*AN293</f>
        <v>0</v>
      </c>
      <c r="BH293" s="6">
        <f>G293*H293</f>
        <v>0</v>
      </c>
      <c r="BI293" s="6"/>
      <c r="BJ293" s="6">
        <v>62</v>
      </c>
      <c r="BU293" s="6" t="e">
        <f>#REF!</f>
        <v>#REF!</v>
      </c>
      <c r="BV293" s="3" t="s">
        <v>594</v>
      </c>
    </row>
    <row r="294" spans="1:74" ht="14.5" x14ac:dyDescent="0.35">
      <c r="A294" s="24"/>
      <c r="D294" s="25" t="s">
        <v>595</v>
      </c>
      <c r="E294" s="26" t="s">
        <v>107</v>
      </c>
      <c r="G294" s="27">
        <v>12.1</v>
      </c>
      <c r="N294" s="87"/>
    </row>
    <row r="295" spans="1:74" ht="14.5" x14ac:dyDescent="0.35">
      <c r="A295" s="24"/>
      <c r="D295" s="25" t="s">
        <v>596</v>
      </c>
      <c r="E295" s="26" t="s">
        <v>109</v>
      </c>
      <c r="G295" s="27">
        <v>1.06</v>
      </c>
      <c r="N295" s="87"/>
    </row>
    <row r="296" spans="1:74" ht="14.5" x14ac:dyDescent="0.35">
      <c r="A296" s="24"/>
      <c r="D296" s="25" t="s">
        <v>597</v>
      </c>
      <c r="E296" s="26" t="s">
        <v>111</v>
      </c>
      <c r="G296" s="27">
        <v>0.43</v>
      </c>
      <c r="N296" s="87"/>
    </row>
    <row r="297" spans="1:74" ht="14.5" x14ac:dyDescent="0.35">
      <c r="A297" s="24"/>
      <c r="D297" s="25" t="s">
        <v>598</v>
      </c>
      <c r="E297" s="26" t="s">
        <v>113</v>
      </c>
      <c r="G297" s="27">
        <v>0.74</v>
      </c>
      <c r="N297" s="87"/>
    </row>
    <row r="298" spans="1:74" ht="14.5" x14ac:dyDescent="0.35">
      <c r="A298" s="24"/>
      <c r="D298" s="25" t="s">
        <v>599</v>
      </c>
      <c r="E298" s="26" t="s">
        <v>115</v>
      </c>
      <c r="G298" s="27">
        <v>0.19</v>
      </c>
      <c r="N298" s="87"/>
    </row>
    <row r="299" spans="1:74" ht="14.5" x14ac:dyDescent="0.35">
      <c r="A299" s="24"/>
      <c r="D299" s="25" t="s">
        <v>600</v>
      </c>
      <c r="E299" s="26" t="s">
        <v>117</v>
      </c>
      <c r="G299" s="27">
        <v>0.1</v>
      </c>
      <c r="N299" s="87"/>
    </row>
    <row r="300" spans="1:74" ht="14.5" x14ac:dyDescent="0.35">
      <c r="A300" s="24"/>
      <c r="D300" s="25" t="s">
        <v>599</v>
      </c>
      <c r="E300" s="26" t="s">
        <v>118</v>
      </c>
      <c r="G300" s="27">
        <v>0.19</v>
      </c>
      <c r="N300" s="87"/>
    </row>
    <row r="301" spans="1:74" ht="14.5" x14ac:dyDescent="0.35">
      <c r="A301" s="24"/>
      <c r="D301" s="25" t="s">
        <v>601</v>
      </c>
      <c r="E301" s="26" t="s">
        <v>120</v>
      </c>
      <c r="G301" s="27">
        <v>0.24</v>
      </c>
      <c r="N301" s="87"/>
    </row>
    <row r="302" spans="1:74" ht="14.5" x14ac:dyDescent="0.35">
      <c r="A302" s="24"/>
      <c r="D302" s="25" t="s">
        <v>601</v>
      </c>
      <c r="E302" s="26" t="s">
        <v>121</v>
      </c>
      <c r="G302" s="27">
        <v>0.24</v>
      </c>
      <c r="N302" s="87"/>
    </row>
    <row r="303" spans="1:74" ht="14.5" x14ac:dyDescent="0.35">
      <c r="A303" s="1" t="s">
        <v>602</v>
      </c>
      <c r="B303" s="2" t="s">
        <v>42</v>
      </c>
      <c r="C303" s="2" t="s">
        <v>603</v>
      </c>
      <c r="D303" s="138" t="s">
        <v>604</v>
      </c>
      <c r="E303" s="107"/>
      <c r="F303" s="37" t="s">
        <v>100</v>
      </c>
      <c r="G303" s="6">
        <v>51.3</v>
      </c>
      <c r="H303" s="147">
        <v>0</v>
      </c>
      <c r="I303" s="6">
        <f>G303*AM303</f>
        <v>0</v>
      </c>
      <c r="J303" s="6">
        <f>G303*AN303</f>
        <v>0</v>
      </c>
      <c r="K303" s="6">
        <f>G303*H303</f>
        <v>0</v>
      </c>
      <c r="L303" s="6">
        <v>9.3999999999999997E-4</v>
      </c>
      <c r="M303" s="6">
        <f>G303*L303</f>
        <v>4.8221999999999994E-2</v>
      </c>
      <c r="N303" s="86" t="s">
        <v>129</v>
      </c>
      <c r="X303" s="6">
        <f>IF(AO303="5",BH303,0)</f>
        <v>0</v>
      </c>
      <c r="Z303" s="6">
        <f>IF(AO303="1",BF303,0)</f>
        <v>0</v>
      </c>
      <c r="AA303" s="6">
        <f>IF(AO303="1",BG303,0)</f>
        <v>0</v>
      </c>
      <c r="AB303" s="6">
        <f>IF(AO303="7",BF303,0)</f>
        <v>0</v>
      </c>
      <c r="AC303" s="6">
        <f>IF(AO303="7",BG303,0)</f>
        <v>0</v>
      </c>
      <c r="AD303" s="6">
        <f>IF(AO303="2",BF303,0)</f>
        <v>0</v>
      </c>
      <c r="AE303" s="6">
        <f>IF(AO303="2",BG303,0)</f>
        <v>0</v>
      </c>
      <c r="AF303" s="6">
        <f>IF(AO303="0",BH303,0)</f>
        <v>0</v>
      </c>
      <c r="AG303" s="13" t="s">
        <v>42</v>
      </c>
      <c r="AH303" s="6">
        <f>IF(AL303=0,K303,0)</f>
        <v>0</v>
      </c>
      <c r="AI303" s="6">
        <f>IF(AL303=12,K303,0)</f>
        <v>0</v>
      </c>
      <c r="AJ303" s="6">
        <f>IF(AL303=21,K303,0)</f>
        <v>0</v>
      </c>
      <c r="AL303" s="6">
        <v>21</v>
      </c>
      <c r="AM303" s="6">
        <f>H303*0.597324263</f>
        <v>0</v>
      </c>
      <c r="AN303" s="6">
        <f>H303*(1-0.597324263)</f>
        <v>0</v>
      </c>
      <c r="AO303" s="23" t="s">
        <v>97</v>
      </c>
      <c r="AT303" s="6">
        <f>AU303+AV303</f>
        <v>0</v>
      </c>
      <c r="AU303" s="6">
        <f>G303*AM303</f>
        <v>0</v>
      </c>
      <c r="AV303" s="6">
        <f>G303*AN303</f>
        <v>0</v>
      </c>
      <c r="AW303" s="23" t="s">
        <v>519</v>
      </c>
      <c r="AX303" s="23" t="s">
        <v>520</v>
      </c>
      <c r="AY303" s="13" t="s">
        <v>475</v>
      </c>
      <c r="BA303" s="6">
        <f>AU303+AV303</f>
        <v>0</v>
      </c>
      <c r="BB303" s="6">
        <f>H303/(100-BC303)*100</f>
        <v>0</v>
      </c>
      <c r="BC303" s="6">
        <v>0</v>
      </c>
      <c r="BD303" s="6">
        <f>M303</f>
        <v>4.8221999999999994E-2</v>
      </c>
      <c r="BF303" s="6">
        <f>G303*AM303</f>
        <v>0</v>
      </c>
      <c r="BG303" s="6">
        <f>G303*AN303</f>
        <v>0</v>
      </c>
      <c r="BH303" s="6">
        <f>G303*H303</f>
        <v>0</v>
      </c>
      <c r="BI303" s="6"/>
      <c r="BJ303" s="6">
        <v>62</v>
      </c>
      <c r="BU303" s="6" t="e">
        <f>#REF!</f>
        <v>#REF!</v>
      </c>
      <c r="BV303" s="3" t="s">
        <v>604</v>
      </c>
    </row>
    <row r="304" spans="1:74" ht="14.5" x14ac:dyDescent="0.35">
      <c r="A304" s="24"/>
      <c r="D304" s="25" t="s">
        <v>605</v>
      </c>
      <c r="E304" s="26" t="s">
        <v>606</v>
      </c>
      <c r="G304" s="27">
        <v>51.3</v>
      </c>
      <c r="N304" s="87"/>
    </row>
    <row r="305" spans="1:74" ht="14.5" x14ac:dyDescent="0.35">
      <c r="A305" s="1" t="s">
        <v>607</v>
      </c>
      <c r="B305" s="2" t="s">
        <v>42</v>
      </c>
      <c r="C305" s="2" t="s">
        <v>608</v>
      </c>
      <c r="D305" s="138" t="s">
        <v>609</v>
      </c>
      <c r="E305" s="107"/>
      <c r="F305" s="37" t="s">
        <v>100</v>
      </c>
      <c r="G305" s="6">
        <v>24.6</v>
      </c>
      <c r="H305" s="147">
        <v>0</v>
      </c>
      <c r="I305" s="6">
        <f>G305*AM305</f>
        <v>0</v>
      </c>
      <c r="J305" s="6">
        <f>G305*AN305</f>
        <v>0</v>
      </c>
      <c r="K305" s="6">
        <f>G305*H305</f>
        <v>0</v>
      </c>
      <c r="L305" s="6">
        <v>5.1000000000000004E-4</v>
      </c>
      <c r="M305" s="6">
        <f>G305*L305</f>
        <v>1.2546000000000002E-2</v>
      </c>
      <c r="N305" s="86" t="s">
        <v>129</v>
      </c>
      <c r="X305" s="6">
        <f>IF(AO305="5",BH305,0)</f>
        <v>0</v>
      </c>
      <c r="Z305" s="6">
        <f>IF(AO305="1",BF305,0)</f>
        <v>0</v>
      </c>
      <c r="AA305" s="6">
        <f>IF(AO305="1",BG305,0)</f>
        <v>0</v>
      </c>
      <c r="AB305" s="6">
        <f>IF(AO305="7",BF305,0)</f>
        <v>0</v>
      </c>
      <c r="AC305" s="6">
        <f>IF(AO305="7",BG305,0)</f>
        <v>0</v>
      </c>
      <c r="AD305" s="6">
        <f>IF(AO305="2",BF305,0)</f>
        <v>0</v>
      </c>
      <c r="AE305" s="6">
        <f>IF(AO305="2",BG305,0)</f>
        <v>0</v>
      </c>
      <c r="AF305" s="6">
        <f>IF(AO305="0",BH305,0)</f>
        <v>0</v>
      </c>
      <c r="AG305" s="13" t="s">
        <v>42</v>
      </c>
      <c r="AH305" s="6">
        <f>IF(AL305=0,K305,0)</f>
        <v>0</v>
      </c>
      <c r="AI305" s="6">
        <f>IF(AL305=12,K305,0)</f>
        <v>0</v>
      </c>
      <c r="AJ305" s="6">
        <f>IF(AL305=21,K305,0)</f>
        <v>0</v>
      </c>
      <c r="AL305" s="6">
        <v>21</v>
      </c>
      <c r="AM305" s="6">
        <f>H305*0.696444444</f>
        <v>0</v>
      </c>
      <c r="AN305" s="6">
        <f>H305*(1-0.696444444)</f>
        <v>0</v>
      </c>
      <c r="AO305" s="23" t="s">
        <v>97</v>
      </c>
      <c r="AT305" s="6">
        <f>AU305+AV305</f>
        <v>0</v>
      </c>
      <c r="AU305" s="6">
        <f>G305*AM305</f>
        <v>0</v>
      </c>
      <c r="AV305" s="6">
        <f>G305*AN305</f>
        <v>0</v>
      </c>
      <c r="AW305" s="23" t="s">
        <v>519</v>
      </c>
      <c r="AX305" s="23" t="s">
        <v>520</v>
      </c>
      <c r="AY305" s="13" t="s">
        <v>475</v>
      </c>
      <c r="BA305" s="6">
        <f>AU305+AV305</f>
        <v>0</v>
      </c>
      <c r="BB305" s="6">
        <f>H305/(100-BC305)*100</f>
        <v>0</v>
      </c>
      <c r="BC305" s="6">
        <v>0</v>
      </c>
      <c r="BD305" s="6">
        <f>M305</f>
        <v>1.2546000000000002E-2</v>
      </c>
      <c r="BF305" s="6">
        <f>G305*AM305</f>
        <v>0</v>
      </c>
      <c r="BG305" s="6">
        <f>G305*AN305</f>
        <v>0</v>
      </c>
      <c r="BH305" s="6">
        <f>G305*H305</f>
        <v>0</v>
      </c>
      <c r="BI305" s="6"/>
      <c r="BJ305" s="6">
        <v>62</v>
      </c>
      <c r="BU305" s="6" t="e">
        <f>#REF!</f>
        <v>#REF!</v>
      </c>
      <c r="BV305" s="3" t="s">
        <v>609</v>
      </c>
    </row>
    <row r="306" spans="1:74" ht="14.5" x14ac:dyDescent="0.35">
      <c r="A306" s="24"/>
      <c r="D306" s="25" t="s">
        <v>541</v>
      </c>
      <c r="E306" s="26" t="s">
        <v>542</v>
      </c>
      <c r="G306" s="27">
        <v>24.6</v>
      </c>
      <c r="N306" s="87"/>
    </row>
    <row r="307" spans="1:74" ht="25" x14ac:dyDescent="0.35">
      <c r="A307" s="1" t="s">
        <v>610</v>
      </c>
      <c r="B307" s="2" t="s">
        <v>42</v>
      </c>
      <c r="C307" s="2" t="s">
        <v>611</v>
      </c>
      <c r="D307" s="138" t="s">
        <v>612</v>
      </c>
      <c r="E307" s="107"/>
      <c r="F307" s="37" t="s">
        <v>259</v>
      </c>
      <c r="G307" s="6">
        <v>9</v>
      </c>
      <c r="H307" s="147">
        <v>0</v>
      </c>
      <c r="I307" s="6">
        <f>G307*AM307</f>
        <v>0</v>
      </c>
      <c r="J307" s="6">
        <f>G307*AN307</f>
        <v>0</v>
      </c>
      <c r="K307" s="6">
        <f>G307*H307</f>
        <v>0</v>
      </c>
      <c r="L307" s="6">
        <v>2.81E-3</v>
      </c>
      <c r="M307" s="6">
        <f>G307*L307</f>
        <v>2.529E-2</v>
      </c>
      <c r="N307" s="86" t="s">
        <v>102</v>
      </c>
      <c r="X307" s="6">
        <f>IF(AO307="5",BH307,0)</f>
        <v>0</v>
      </c>
      <c r="Z307" s="6">
        <f>IF(AO307="1",BF307,0)</f>
        <v>0</v>
      </c>
      <c r="AA307" s="6">
        <f>IF(AO307="1",BG307,0)</f>
        <v>0</v>
      </c>
      <c r="AB307" s="6">
        <f>IF(AO307="7",BF307,0)</f>
        <v>0</v>
      </c>
      <c r="AC307" s="6">
        <f>IF(AO307="7",BG307,0)</f>
        <v>0</v>
      </c>
      <c r="AD307" s="6">
        <f>IF(AO307="2",BF307,0)</f>
        <v>0</v>
      </c>
      <c r="AE307" s="6">
        <f>IF(AO307="2",BG307,0)</f>
        <v>0</v>
      </c>
      <c r="AF307" s="6">
        <f>IF(AO307="0",BH307,0)</f>
        <v>0</v>
      </c>
      <c r="AG307" s="13" t="s">
        <v>42</v>
      </c>
      <c r="AH307" s="6">
        <f>IF(AL307=0,K307,0)</f>
        <v>0</v>
      </c>
      <c r="AI307" s="6">
        <f>IF(AL307=12,K307,0)</f>
        <v>0</v>
      </c>
      <c r="AJ307" s="6">
        <f>IF(AL307=21,K307,0)</f>
        <v>0</v>
      </c>
      <c r="AL307" s="6">
        <v>21</v>
      </c>
      <c r="AM307" s="6">
        <f>H307*0.07975</f>
        <v>0</v>
      </c>
      <c r="AN307" s="6">
        <f>H307*(1-0.07975)</f>
        <v>0</v>
      </c>
      <c r="AO307" s="23" t="s">
        <v>97</v>
      </c>
      <c r="AT307" s="6">
        <f>AU307+AV307</f>
        <v>0</v>
      </c>
      <c r="AU307" s="6">
        <f>G307*AM307</f>
        <v>0</v>
      </c>
      <c r="AV307" s="6">
        <f>G307*AN307</f>
        <v>0</v>
      </c>
      <c r="AW307" s="23" t="s">
        <v>519</v>
      </c>
      <c r="AX307" s="23" t="s">
        <v>520</v>
      </c>
      <c r="AY307" s="13" t="s">
        <v>475</v>
      </c>
      <c r="BA307" s="6">
        <f>AU307+AV307</f>
        <v>0</v>
      </c>
      <c r="BB307" s="6">
        <f>H307/(100-BC307)*100</f>
        <v>0</v>
      </c>
      <c r="BC307" s="6">
        <v>0</v>
      </c>
      <c r="BD307" s="6">
        <f>M307</f>
        <v>2.529E-2</v>
      </c>
      <c r="BF307" s="6">
        <f>G307*AM307</f>
        <v>0</v>
      </c>
      <c r="BG307" s="6">
        <f>G307*AN307</f>
        <v>0</v>
      </c>
      <c r="BH307" s="6">
        <f>G307*H307</f>
        <v>0</v>
      </c>
      <c r="BI307" s="6"/>
      <c r="BJ307" s="6">
        <v>62</v>
      </c>
      <c r="BU307" s="6" t="e">
        <f>#REF!</f>
        <v>#REF!</v>
      </c>
      <c r="BV307" s="3" t="s">
        <v>612</v>
      </c>
    </row>
    <row r="308" spans="1:74" ht="25" x14ac:dyDescent="0.35">
      <c r="A308" s="1" t="s">
        <v>50</v>
      </c>
      <c r="B308" s="2" t="s">
        <v>42</v>
      </c>
      <c r="C308" s="2" t="s">
        <v>613</v>
      </c>
      <c r="D308" s="138" t="s">
        <v>614</v>
      </c>
      <c r="E308" s="107"/>
      <c r="F308" s="37" t="s">
        <v>259</v>
      </c>
      <c r="G308" s="6">
        <v>6</v>
      </c>
      <c r="H308" s="147">
        <v>0</v>
      </c>
      <c r="I308" s="6">
        <f>G308*AM308</f>
        <v>0</v>
      </c>
      <c r="J308" s="6">
        <f>G308*AN308</f>
        <v>0</v>
      </c>
      <c r="K308" s="6">
        <f>G308*H308</f>
        <v>0</v>
      </c>
      <c r="L308" s="6">
        <v>3.8999999999999999E-4</v>
      </c>
      <c r="M308" s="6">
        <f>G308*L308</f>
        <v>2.3400000000000001E-3</v>
      </c>
      <c r="N308" s="86" t="s">
        <v>129</v>
      </c>
      <c r="X308" s="6">
        <f>IF(AO308="5",BH308,0)</f>
        <v>0</v>
      </c>
      <c r="Z308" s="6">
        <f>IF(AO308="1",BF308,0)</f>
        <v>0</v>
      </c>
      <c r="AA308" s="6">
        <f>IF(AO308="1",BG308,0)</f>
        <v>0</v>
      </c>
      <c r="AB308" s="6">
        <f>IF(AO308="7",BF308,0)</f>
        <v>0</v>
      </c>
      <c r="AC308" s="6">
        <f>IF(AO308="7",BG308,0)</f>
        <v>0</v>
      </c>
      <c r="AD308" s="6">
        <f>IF(AO308="2",BF308,0)</f>
        <v>0</v>
      </c>
      <c r="AE308" s="6">
        <f>IF(AO308="2",BG308,0)</f>
        <v>0</v>
      </c>
      <c r="AF308" s="6">
        <f>IF(AO308="0",BH308,0)</f>
        <v>0</v>
      </c>
      <c r="AG308" s="13" t="s">
        <v>42</v>
      </c>
      <c r="AH308" s="6">
        <f>IF(AL308=0,K308,0)</f>
        <v>0</v>
      </c>
      <c r="AI308" s="6">
        <f>IF(AL308=12,K308,0)</f>
        <v>0</v>
      </c>
      <c r="AJ308" s="6">
        <f>IF(AL308=21,K308,0)</f>
        <v>0</v>
      </c>
      <c r="AL308" s="6">
        <v>21</v>
      </c>
      <c r="AM308" s="6">
        <f>H308*0.924157175</f>
        <v>0</v>
      </c>
      <c r="AN308" s="6">
        <f>H308*(1-0.924157175)</f>
        <v>0</v>
      </c>
      <c r="AO308" s="23" t="s">
        <v>97</v>
      </c>
      <c r="AT308" s="6">
        <f>AU308+AV308</f>
        <v>0</v>
      </c>
      <c r="AU308" s="6">
        <f>G308*AM308</f>
        <v>0</v>
      </c>
      <c r="AV308" s="6">
        <f>G308*AN308</f>
        <v>0</v>
      </c>
      <c r="AW308" s="23" t="s">
        <v>519</v>
      </c>
      <c r="AX308" s="23" t="s">
        <v>520</v>
      </c>
      <c r="AY308" s="13" t="s">
        <v>475</v>
      </c>
      <c r="BA308" s="6">
        <f>AU308+AV308</f>
        <v>0</v>
      </c>
      <c r="BB308" s="6">
        <f>H308/(100-BC308)*100</f>
        <v>0</v>
      </c>
      <c r="BC308" s="6">
        <v>0</v>
      </c>
      <c r="BD308" s="6">
        <f>M308</f>
        <v>2.3400000000000001E-3</v>
      </c>
      <c r="BF308" s="6">
        <f>G308*AM308</f>
        <v>0</v>
      </c>
      <c r="BG308" s="6">
        <f>G308*AN308</f>
        <v>0</v>
      </c>
      <c r="BH308" s="6">
        <f>G308*H308</f>
        <v>0</v>
      </c>
      <c r="BI308" s="6"/>
      <c r="BJ308" s="6">
        <v>62</v>
      </c>
      <c r="BU308" s="6" t="e">
        <f>#REF!</f>
        <v>#REF!</v>
      </c>
      <c r="BV308" s="3" t="s">
        <v>614</v>
      </c>
    </row>
    <row r="309" spans="1:74" ht="14.5" x14ac:dyDescent="0.35">
      <c r="A309" s="1" t="s">
        <v>40</v>
      </c>
      <c r="B309" s="2" t="s">
        <v>42</v>
      </c>
      <c r="C309" s="2" t="s">
        <v>615</v>
      </c>
      <c r="D309" s="138" t="s">
        <v>616</v>
      </c>
      <c r="E309" s="107"/>
      <c r="F309" s="37" t="s">
        <v>259</v>
      </c>
      <c r="G309" s="6">
        <v>10</v>
      </c>
      <c r="H309" s="147">
        <v>0</v>
      </c>
      <c r="I309" s="6">
        <f>G309*AM309</f>
        <v>0</v>
      </c>
      <c r="J309" s="6">
        <f>G309*AN309</f>
        <v>0</v>
      </c>
      <c r="K309" s="6">
        <f>G309*H309</f>
        <v>0</v>
      </c>
      <c r="L309" s="6">
        <v>3.8999999999999999E-4</v>
      </c>
      <c r="M309" s="6">
        <f>G309*L309</f>
        <v>3.8999999999999998E-3</v>
      </c>
      <c r="N309" s="86" t="s">
        <v>129</v>
      </c>
      <c r="X309" s="6">
        <f>IF(AO309="5",BH309,0)</f>
        <v>0</v>
      </c>
      <c r="Z309" s="6">
        <f>IF(AO309="1",BF309,0)</f>
        <v>0</v>
      </c>
      <c r="AA309" s="6">
        <f>IF(AO309="1",BG309,0)</f>
        <v>0</v>
      </c>
      <c r="AB309" s="6">
        <f>IF(AO309="7",BF309,0)</f>
        <v>0</v>
      </c>
      <c r="AC309" s="6">
        <f>IF(AO309="7",BG309,0)</f>
        <v>0</v>
      </c>
      <c r="AD309" s="6">
        <f>IF(AO309="2",BF309,0)</f>
        <v>0</v>
      </c>
      <c r="AE309" s="6">
        <f>IF(AO309="2",BG309,0)</f>
        <v>0</v>
      </c>
      <c r="AF309" s="6">
        <f>IF(AO309="0",BH309,0)</f>
        <v>0</v>
      </c>
      <c r="AG309" s="13" t="s">
        <v>42</v>
      </c>
      <c r="AH309" s="6">
        <f>IF(AL309=0,K309,0)</f>
        <v>0</v>
      </c>
      <c r="AI309" s="6">
        <f>IF(AL309=12,K309,0)</f>
        <v>0</v>
      </c>
      <c r="AJ309" s="6">
        <f>IF(AL309=21,K309,0)</f>
        <v>0</v>
      </c>
      <c r="AL309" s="6">
        <v>21</v>
      </c>
      <c r="AM309" s="6">
        <f>H309*0.924329545</f>
        <v>0</v>
      </c>
      <c r="AN309" s="6">
        <f>H309*(1-0.924329545)</f>
        <v>0</v>
      </c>
      <c r="AO309" s="23" t="s">
        <v>97</v>
      </c>
      <c r="AT309" s="6">
        <f>AU309+AV309</f>
        <v>0</v>
      </c>
      <c r="AU309" s="6">
        <f>G309*AM309</f>
        <v>0</v>
      </c>
      <c r="AV309" s="6">
        <f>G309*AN309</f>
        <v>0</v>
      </c>
      <c r="AW309" s="23" t="s">
        <v>519</v>
      </c>
      <c r="AX309" s="23" t="s">
        <v>520</v>
      </c>
      <c r="AY309" s="13" t="s">
        <v>475</v>
      </c>
      <c r="BA309" s="6">
        <f>AU309+AV309</f>
        <v>0</v>
      </c>
      <c r="BB309" s="6">
        <f>H309/(100-BC309)*100</f>
        <v>0</v>
      </c>
      <c r="BC309" s="6">
        <v>0</v>
      </c>
      <c r="BD309" s="6">
        <f>M309</f>
        <v>3.8999999999999998E-3</v>
      </c>
      <c r="BF309" s="6">
        <f>G309*AM309</f>
        <v>0</v>
      </c>
      <c r="BG309" s="6">
        <f>G309*AN309</f>
        <v>0</v>
      </c>
      <c r="BH309" s="6">
        <f>G309*H309</f>
        <v>0</v>
      </c>
      <c r="BI309" s="6"/>
      <c r="BJ309" s="6">
        <v>62</v>
      </c>
      <c r="BU309" s="6" t="e">
        <f>#REF!</f>
        <v>#REF!</v>
      </c>
      <c r="BV309" s="3" t="s">
        <v>616</v>
      </c>
    </row>
    <row r="310" spans="1:74" ht="14.5" x14ac:dyDescent="0.35">
      <c r="A310" s="1" t="s">
        <v>28</v>
      </c>
      <c r="B310" s="2" t="s">
        <v>42</v>
      </c>
      <c r="C310" s="2" t="s">
        <v>617</v>
      </c>
      <c r="D310" s="138" t="s">
        <v>618</v>
      </c>
      <c r="E310" s="107"/>
      <c r="F310" s="37" t="s">
        <v>100</v>
      </c>
      <c r="G310" s="6">
        <v>16.8</v>
      </c>
      <c r="H310" s="147">
        <v>0</v>
      </c>
      <c r="I310" s="6">
        <f>G310*AM310</f>
        <v>0</v>
      </c>
      <c r="J310" s="6">
        <f>G310*AN310</f>
        <v>0</v>
      </c>
      <c r="K310" s="6">
        <f>G310*H310</f>
        <v>0</v>
      </c>
      <c r="L310" s="6">
        <v>0</v>
      </c>
      <c r="M310" s="6">
        <f>G310*L310</f>
        <v>0</v>
      </c>
      <c r="N310" s="86" t="s">
        <v>102</v>
      </c>
      <c r="X310" s="6">
        <f>IF(AO310="5",BH310,0)</f>
        <v>0</v>
      </c>
      <c r="Z310" s="6">
        <f>IF(AO310="1",BF310,0)</f>
        <v>0</v>
      </c>
      <c r="AA310" s="6">
        <f>IF(AO310="1",BG310,0)</f>
        <v>0</v>
      </c>
      <c r="AB310" s="6">
        <f>IF(AO310="7",BF310,0)</f>
        <v>0</v>
      </c>
      <c r="AC310" s="6">
        <f>IF(AO310="7",BG310,0)</f>
        <v>0</v>
      </c>
      <c r="AD310" s="6">
        <f>IF(AO310="2",BF310,0)</f>
        <v>0</v>
      </c>
      <c r="AE310" s="6">
        <f>IF(AO310="2",BG310,0)</f>
        <v>0</v>
      </c>
      <c r="AF310" s="6">
        <f>IF(AO310="0",BH310,0)</f>
        <v>0</v>
      </c>
      <c r="AG310" s="13" t="s">
        <v>42</v>
      </c>
      <c r="AH310" s="6">
        <f>IF(AL310=0,K310,0)</f>
        <v>0</v>
      </c>
      <c r="AI310" s="6">
        <f>IF(AL310=12,K310,0)</f>
        <v>0</v>
      </c>
      <c r="AJ310" s="6">
        <f>IF(AL310=21,K310,0)</f>
        <v>0</v>
      </c>
      <c r="AL310" s="6">
        <v>21</v>
      </c>
      <c r="AM310" s="6">
        <f>H310*0</f>
        <v>0</v>
      </c>
      <c r="AN310" s="6">
        <f>H310*(1-0)</f>
        <v>0</v>
      </c>
      <c r="AO310" s="23" t="s">
        <v>97</v>
      </c>
      <c r="AT310" s="6">
        <f>AU310+AV310</f>
        <v>0</v>
      </c>
      <c r="AU310" s="6">
        <f>G310*AM310</f>
        <v>0</v>
      </c>
      <c r="AV310" s="6">
        <f>G310*AN310</f>
        <v>0</v>
      </c>
      <c r="AW310" s="23" t="s">
        <v>519</v>
      </c>
      <c r="AX310" s="23" t="s">
        <v>520</v>
      </c>
      <c r="AY310" s="13" t="s">
        <v>475</v>
      </c>
      <c r="BA310" s="6">
        <f>AU310+AV310</f>
        <v>0</v>
      </c>
      <c r="BB310" s="6">
        <f>H310/(100-BC310)*100</f>
        <v>0</v>
      </c>
      <c r="BC310" s="6">
        <v>0</v>
      </c>
      <c r="BD310" s="6">
        <f>M310</f>
        <v>0</v>
      </c>
      <c r="BF310" s="6">
        <f>G310*AM310</f>
        <v>0</v>
      </c>
      <c r="BG310" s="6">
        <f>G310*AN310</f>
        <v>0</v>
      </c>
      <c r="BH310" s="6">
        <f>G310*H310</f>
        <v>0</v>
      </c>
      <c r="BI310" s="6"/>
      <c r="BJ310" s="6">
        <v>62</v>
      </c>
      <c r="BU310" s="6" t="e">
        <f>#REF!</f>
        <v>#REF!</v>
      </c>
      <c r="BV310" s="3" t="s">
        <v>618</v>
      </c>
    </row>
    <row r="311" spans="1:74" ht="14.5" x14ac:dyDescent="0.35">
      <c r="A311" s="24"/>
      <c r="D311" s="25" t="s">
        <v>619</v>
      </c>
      <c r="E311" s="26" t="s">
        <v>620</v>
      </c>
      <c r="G311" s="27">
        <v>16.8</v>
      </c>
      <c r="N311" s="87"/>
    </row>
    <row r="312" spans="1:74" ht="14.5" x14ac:dyDescent="0.35">
      <c r="A312" s="1" t="s">
        <v>621</v>
      </c>
      <c r="B312" s="2" t="s">
        <v>42</v>
      </c>
      <c r="C312" s="2" t="s">
        <v>622</v>
      </c>
      <c r="D312" s="138" t="s">
        <v>623</v>
      </c>
      <c r="E312" s="107"/>
      <c r="F312" s="37" t="s">
        <v>145</v>
      </c>
      <c r="G312" s="6">
        <v>121.19</v>
      </c>
      <c r="H312" s="147">
        <v>0</v>
      </c>
      <c r="I312" s="6">
        <f>G312*AM312</f>
        <v>0</v>
      </c>
      <c r="J312" s="6">
        <f>G312*AN312</f>
        <v>0</v>
      </c>
      <c r="K312" s="6">
        <f>G312*H312</f>
        <v>0</v>
      </c>
      <c r="L312" s="6">
        <v>3.4000000000000002E-4</v>
      </c>
      <c r="M312" s="6">
        <f>G312*L312</f>
        <v>4.1204600000000001E-2</v>
      </c>
      <c r="N312" s="86" t="s">
        <v>102</v>
      </c>
      <c r="X312" s="6">
        <f>IF(AO312="5",BH312,0)</f>
        <v>0</v>
      </c>
      <c r="Z312" s="6">
        <f>IF(AO312="1",BF312,0)</f>
        <v>0</v>
      </c>
      <c r="AA312" s="6">
        <f>IF(AO312="1",BG312,0)</f>
        <v>0</v>
      </c>
      <c r="AB312" s="6">
        <f>IF(AO312="7",BF312,0)</f>
        <v>0</v>
      </c>
      <c r="AC312" s="6">
        <f>IF(AO312="7",BG312,0)</f>
        <v>0</v>
      </c>
      <c r="AD312" s="6">
        <f>IF(AO312="2",BF312,0)</f>
        <v>0</v>
      </c>
      <c r="AE312" s="6">
        <f>IF(AO312="2",BG312,0)</f>
        <v>0</v>
      </c>
      <c r="AF312" s="6">
        <f>IF(AO312="0",BH312,0)</f>
        <v>0</v>
      </c>
      <c r="AG312" s="13" t="s">
        <v>42</v>
      </c>
      <c r="AH312" s="6">
        <f>IF(AL312=0,K312,0)</f>
        <v>0</v>
      </c>
      <c r="AI312" s="6">
        <f>IF(AL312=12,K312,0)</f>
        <v>0</v>
      </c>
      <c r="AJ312" s="6">
        <f>IF(AL312=21,K312,0)</f>
        <v>0</v>
      </c>
      <c r="AL312" s="6">
        <v>21</v>
      </c>
      <c r="AM312" s="6">
        <f>H312*1</f>
        <v>0</v>
      </c>
      <c r="AN312" s="6">
        <f>H312*(1-1)</f>
        <v>0</v>
      </c>
      <c r="AO312" s="23" t="s">
        <v>97</v>
      </c>
      <c r="AT312" s="6">
        <f>AU312+AV312</f>
        <v>0</v>
      </c>
      <c r="AU312" s="6">
        <f>G312*AM312</f>
        <v>0</v>
      </c>
      <c r="AV312" s="6">
        <f>G312*AN312</f>
        <v>0</v>
      </c>
      <c r="AW312" s="23" t="s">
        <v>519</v>
      </c>
      <c r="AX312" s="23" t="s">
        <v>520</v>
      </c>
      <c r="AY312" s="13" t="s">
        <v>475</v>
      </c>
      <c r="BA312" s="6">
        <f>AU312+AV312</f>
        <v>0</v>
      </c>
      <c r="BB312" s="6">
        <f>H312/(100-BC312)*100</f>
        <v>0</v>
      </c>
      <c r="BC312" s="6">
        <v>0</v>
      </c>
      <c r="BD312" s="6">
        <f>M312</f>
        <v>4.1204600000000001E-2</v>
      </c>
      <c r="BF312" s="6">
        <f>G312*AM312</f>
        <v>0</v>
      </c>
      <c r="BG312" s="6">
        <f>G312*AN312</f>
        <v>0</v>
      </c>
      <c r="BH312" s="6">
        <f>G312*H312</f>
        <v>0</v>
      </c>
      <c r="BI312" s="6"/>
      <c r="BJ312" s="6">
        <v>62</v>
      </c>
      <c r="BU312" s="6" t="e">
        <f>#REF!</f>
        <v>#REF!</v>
      </c>
      <c r="BV312" s="3" t="s">
        <v>623</v>
      </c>
    </row>
    <row r="313" spans="1:74" ht="14.5" x14ac:dyDescent="0.35">
      <c r="A313" s="24"/>
      <c r="D313" s="25" t="s">
        <v>559</v>
      </c>
      <c r="E313" s="26" t="s">
        <v>522</v>
      </c>
      <c r="G313" s="27">
        <v>156.66</v>
      </c>
      <c r="N313" s="87"/>
    </row>
    <row r="314" spans="1:74" ht="14.5" x14ac:dyDescent="0.35">
      <c r="A314" s="24"/>
      <c r="D314" s="25" t="s">
        <v>624</v>
      </c>
      <c r="E314" s="26" t="s">
        <v>440</v>
      </c>
      <c r="G314" s="27">
        <v>-35.47</v>
      </c>
      <c r="N314" s="87"/>
    </row>
    <row r="315" spans="1:74" ht="14.5" x14ac:dyDescent="0.35">
      <c r="A315" s="1" t="s">
        <v>625</v>
      </c>
      <c r="B315" s="2" t="s">
        <v>42</v>
      </c>
      <c r="C315" s="2" t="s">
        <v>626</v>
      </c>
      <c r="D315" s="138" t="s">
        <v>627</v>
      </c>
      <c r="E315" s="107"/>
      <c r="F315" s="37" t="s">
        <v>145</v>
      </c>
      <c r="G315" s="6">
        <v>584.45000000000005</v>
      </c>
      <c r="H315" s="147">
        <v>0</v>
      </c>
      <c r="I315" s="6">
        <f>G315*AM315</f>
        <v>0</v>
      </c>
      <c r="J315" s="6">
        <f>G315*AN315</f>
        <v>0</v>
      </c>
      <c r="K315" s="6">
        <f>G315*H315</f>
        <v>0</v>
      </c>
      <c r="L315" s="6">
        <v>9.0000000000000006E-5</v>
      </c>
      <c r="M315" s="6">
        <f>G315*L315</f>
        <v>5.2600500000000008E-2</v>
      </c>
      <c r="N315" s="86" t="s">
        <v>129</v>
      </c>
      <c r="X315" s="6">
        <f>IF(AO315="5",BH315,0)</f>
        <v>0</v>
      </c>
      <c r="Z315" s="6">
        <f>IF(AO315="1",BF315,0)</f>
        <v>0</v>
      </c>
      <c r="AA315" s="6">
        <f>IF(AO315="1",BG315,0)</f>
        <v>0</v>
      </c>
      <c r="AB315" s="6">
        <f>IF(AO315="7",BF315,0)</f>
        <v>0</v>
      </c>
      <c r="AC315" s="6">
        <f>IF(AO315="7",BG315,0)</f>
        <v>0</v>
      </c>
      <c r="AD315" s="6">
        <f>IF(AO315="2",BF315,0)</f>
        <v>0</v>
      </c>
      <c r="AE315" s="6">
        <f>IF(AO315="2",BG315,0)</f>
        <v>0</v>
      </c>
      <c r="AF315" s="6">
        <f>IF(AO315="0",BH315,0)</f>
        <v>0</v>
      </c>
      <c r="AG315" s="13" t="s">
        <v>42</v>
      </c>
      <c r="AH315" s="6">
        <f>IF(AL315=0,K315,0)</f>
        <v>0</v>
      </c>
      <c r="AI315" s="6">
        <f>IF(AL315=12,K315,0)</f>
        <v>0</v>
      </c>
      <c r="AJ315" s="6">
        <f>IF(AL315=21,K315,0)</f>
        <v>0</v>
      </c>
      <c r="AL315" s="6">
        <v>21</v>
      </c>
      <c r="AM315" s="6">
        <f>H315*0.147222222</f>
        <v>0</v>
      </c>
      <c r="AN315" s="6">
        <f>H315*(1-0.147222222)</f>
        <v>0</v>
      </c>
      <c r="AO315" s="23" t="s">
        <v>97</v>
      </c>
      <c r="AT315" s="6">
        <f>AU315+AV315</f>
        <v>0</v>
      </c>
      <c r="AU315" s="6">
        <f>G315*AM315</f>
        <v>0</v>
      </c>
      <c r="AV315" s="6">
        <f>G315*AN315</f>
        <v>0</v>
      </c>
      <c r="AW315" s="23" t="s">
        <v>519</v>
      </c>
      <c r="AX315" s="23" t="s">
        <v>520</v>
      </c>
      <c r="AY315" s="13" t="s">
        <v>475</v>
      </c>
      <c r="BA315" s="6">
        <f>AU315+AV315</f>
        <v>0</v>
      </c>
      <c r="BB315" s="6">
        <f>H315/(100-BC315)*100</f>
        <v>0</v>
      </c>
      <c r="BC315" s="6">
        <v>0</v>
      </c>
      <c r="BD315" s="6">
        <f>M315</f>
        <v>5.2600500000000008E-2</v>
      </c>
      <c r="BF315" s="6">
        <f>G315*AM315</f>
        <v>0</v>
      </c>
      <c r="BG315" s="6">
        <f>G315*AN315</f>
        <v>0</v>
      </c>
      <c r="BH315" s="6">
        <f>G315*H315</f>
        <v>0</v>
      </c>
      <c r="BI315" s="6"/>
      <c r="BJ315" s="6">
        <v>62</v>
      </c>
      <c r="BU315" s="6" t="e">
        <f>#REF!</f>
        <v>#REF!</v>
      </c>
      <c r="BV315" s="3" t="s">
        <v>627</v>
      </c>
    </row>
    <row r="316" spans="1:74" ht="14.5" x14ac:dyDescent="0.35">
      <c r="A316" s="24"/>
      <c r="D316" s="25" t="s">
        <v>628</v>
      </c>
      <c r="E316" s="26" t="s">
        <v>22</v>
      </c>
      <c r="G316" s="27">
        <v>584.45000000000005</v>
      </c>
      <c r="N316" s="87"/>
    </row>
    <row r="317" spans="1:74" ht="14.5" x14ac:dyDescent="0.35">
      <c r="A317" s="1" t="s">
        <v>629</v>
      </c>
      <c r="B317" s="2" t="s">
        <v>42</v>
      </c>
      <c r="C317" s="2" t="s">
        <v>630</v>
      </c>
      <c r="D317" s="138" t="s">
        <v>631</v>
      </c>
      <c r="E317" s="107"/>
      <c r="F317" s="37" t="s">
        <v>145</v>
      </c>
      <c r="G317" s="6">
        <v>183.53</v>
      </c>
      <c r="H317" s="147">
        <v>0</v>
      </c>
      <c r="I317" s="6">
        <f>G317*AM317</f>
        <v>0</v>
      </c>
      <c r="J317" s="6">
        <f>G317*AN317</f>
        <v>0</v>
      </c>
      <c r="K317" s="6">
        <f>G317*H317</f>
        <v>0</v>
      </c>
      <c r="L317" s="6">
        <v>4.0000000000000003E-5</v>
      </c>
      <c r="M317" s="6">
        <f>G317*L317</f>
        <v>7.3412000000000008E-3</v>
      </c>
      <c r="N317" s="86" t="s">
        <v>129</v>
      </c>
      <c r="X317" s="6">
        <f>IF(AO317="5",BH317,0)</f>
        <v>0</v>
      </c>
      <c r="Z317" s="6">
        <f>IF(AO317="1",BF317,0)</f>
        <v>0</v>
      </c>
      <c r="AA317" s="6">
        <f>IF(AO317="1",BG317,0)</f>
        <v>0</v>
      </c>
      <c r="AB317" s="6">
        <f>IF(AO317="7",BF317,0)</f>
        <v>0</v>
      </c>
      <c r="AC317" s="6">
        <f>IF(AO317="7",BG317,0)</f>
        <v>0</v>
      </c>
      <c r="AD317" s="6">
        <f>IF(AO317="2",BF317,0)</f>
        <v>0</v>
      </c>
      <c r="AE317" s="6">
        <f>IF(AO317="2",BG317,0)</f>
        <v>0</v>
      </c>
      <c r="AF317" s="6">
        <f>IF(AO317="0",BH317,0)</f>
        <v>0</v>
      </c>
      <c r="AG317" s="13" t="s">
        <v>42</v>
      </c>
      <c r="AH317" s="6">
        <f>IF(AL317=0,K317,0)</f>
        <v>0</v>
      </c>
      <c r="AI317" s="6">
        <f>IF(AL317=12,K317,0)</f>
        <v>0</v>
      </c>
      <c r="AJ317" s="6">
        <f>IF(AL317=21,K317,0)</f>
        <v>0</v>
      </c>
      <c r="AL317" s="6">
        <v>21</v>
      </c>
      <c r="AM317" s="6">
        <f>H317*0.334912774</f>
        <v>0</v>
      </c>
      <c r="AN317" s="6">
        <f>H317*(1-0.334912774)</f>
        <v>0</v>
      </c>
      <c r="AO317" s="23" t="s">
        <v>97</v>
      </c>
      <c r="AT317" s="6">
        <f>AU317+AV317</f>
        <v>0</v>
      </c>
      <c r="AU317" s="6">
        <f>G317*AM317</f>
        <v>0</v>
      </c>
      <c r="AV317" s="6">
        <f>G317*AN317</f>
        <v>0</v>
      </c>
      <c r="AW317" s="23" t="s">
        <v>519</v>
      </c>
      <c r="AX317" s="23" t="s">
        <v>520</v>
      </c>
      <c r="AY317" s="13" t="s">
        <v>475</v>
      </c>
      <c r="BA317" s="6">
        <f>AU317+AV317</f>
        <v>0</v>
      </c>
      <c r="BB317" s="6">
        <f>H317/(100-BC317)*100</f>
        <v>0</v>
      </c>
      <c r="BC317" s="6">
        <v>0</v>
      </c>
      <c r="BD317" s="6">
        <f>M317</f>
        <v>7.3412000000000008E-3</v>
      </c>
      <c r="BF317" s="6">
        <f>G317*AM317</f>
        <v>0</v>
      </c>
      <c r="BG317" s="6">
        <f>G317*AN317</f>
        <v>0</v>
      </c>
      <c r="BH317" s="6">
        <f>G317*H317</f>
        <v>0</v>
      </c>
      <c r="BI317" s="6"/>
      <c r="BJ317" s="6">
        <v>62</v>
      </c>
      <c r="BU317" s="6" t="e">
        <f>#REF!</f>
        <v>#REF!</v>
      </c>
      <c r="BV317" s="3" t="s">
        <v>631</v>
      </c>
    </row>
    <row r="318" spans="1:74" ht="14.5" x14ac:dyDescent="0.35">
      <c r="A318" s="24"/>
      <c r="D318" s="25" t="s">
        <v>444</v>
      </c>
      <c r="E318" s="26" t="s">
        <v>107</v>
      </c>
      <c r="G318" s="27">
        <v>113.4</v>
      </c>
      <c r="N318" s="87"/>
    </row>
    <row r="319" spans="1:74" ht="14.5" x14ac:dyDescent="0.35">
      <c r="A319" s="24"/>
      <c r="D319" s="25" t="s">
        <v>445</v>
      </c>
      <c r="E319" s="26" t="s">
        <v>109</v>
      </c>
      <c r="G319" s="27">
        <v>4.95</v>
      </c>
      <c r="N319" s="87"/>
    </row>
    <row r="320" spans="1:74" ht="14.5" x14ac:dyDescent="0.35">
      <c r="A320" s="24"/>
      <c r="D320" s="25" t="s">
        <v>446</v>
      </c>
      <c r="E320" s="26" t="s">
        <v>111</v>
      </c>
      <c r="G320" s="27">
        <v>6.25</v>
      </c>
      <c r="N320" s="87"/>
    </row>
    <row r="321" spans="1:74" ht="14.5" x14ac:dyDescent="0.35">
      <c r="A321" s="24"/>
      <c r="D321" s="25" t="s">
        <v>447</v>
      </c>
      <c r="E321" s="26" t="s">
        <v>113</v>
      </c>
      <c r="G321" s="27">
        <v>6.9</v>
      </c>
      <c r="N321" s="87"/>
    </row>
    <row r="322" spans="1:74" ht="14.5" x14ac:dyDescent="0.35">
      <c r="A322" s="24"/>
      <c r="D322" s="25" t="s">
        <v>448</v>
      </c>
      <c r="E322" s="26" t="s">
        <v>115</v>
      </c>
      <c r="G322" s="27">
        <v>0</v>
      </c>
      <c r="N322" s="87"/>
    </row>
    <row r="323" spans="1:74" ht="14.5" x14ac:dyDescent="0.35">
      <c r="A323" s="24"/>
      <c r="D323" s="25" t="s">
        <v>449</v>
      </c>
      <c r="E323" s="26" t="s">
        <v>117</v>
      </c>
      <c r="G323" s="27">
        <v>0.9</v>
      </c>
      <c r="N323" s="87"/>
    </row>
    <row r="324" spans="1:74" ht="14.5" x14ac:dyDescent="0.35">
      <c r="A324" s="24"/>
      <c r="D324" s="25" t="s">
        <v>450</v>
      </c>
      <c r="E324" s="26" t="s">
        <v>118</v>
      </c>
      <c r="G324" s="27">
        <v>1.8</v>
      </c>
      <c r="N324" s="87"/>
    </row>
    <row r="325" spans="1:74" ht="14.5" x14ac:dyDescent="0.35">
      <c r="A325" s="24"/>
      <c r="D325" s="25" t="s">
        <v>451</v>
      </c>
      <c r="E325" s="26" t="s">
        <v>120</v>
      </c>
      <c r="G325" s="27">
        <v>12.53</v>
      </c>
      <c r="N325" s="87"/>
    </row>
    <row r="326" spans="1:74" ht="14.5" x14ac:dyDescent="0.35">
      <c r="A326" s="24"/>
      <c r="D326" s="25" t="s">
        <v>451</v>
      </c>
      <c r="E326" s="26" t="s">
        <v>121</v>
      </c>
      <c r="G326" s="27">
        <v>12.53</v>
      </c>
      <c r="N326" s="87"/>
    </row>
    <row r="327" spans="1:74" ht="14.5" x14ac:dyDescent="0.35">
      <c r="A327" s="24"/>
      <c r="D327" s="25" t="s">
        <v>452</v>
      </c>
      <c r="E327" s="26" t="s">
        <v>123</v>
      </c>
      <c r="G327" s="27">
        <v>13.52</v>
      </c>
      <c r="N327" s="87"/>
    </row>
    <row r="328" spans="1:74" ht="14.5" x14ac:dyDescent="0.35">
      <c r="A328" s="24"/>
      <c r="D328" s="25" t="s">
        <v>453</v>
      </c>
      <c r="E328" s="26" t="s">
        <v>125</v>
      </c>
      <c r="G328" s="27">
        <v>2.4700000000000002</v>
      </c>
      <c r="N328" s="87"/>
    </row>
    <row r="329" spans="1:74" ht="14.5" x14ac:dyDescent="0.35">
      <c r="A329" s="24"/>
      <c r="D329" s="25" t="s">
        <v>632</v>
      </c>
      <c r="E329" s="26" t="s">
        <v>633</v>
      </c>
      <c r="G329" s="27">
        <v>8.2799999999999994</v>
      </c>
      <c r="N329" s="87"/>
    </row>
    <row r="330" spans="1:74" ht="14.5" x14ac:dyDescent="0.35">
      <c r="A330" s="1" t="s">
        <v>634</v>
      </c>
      <c r="B330" s="2" t="s">
        <v>42</v>
      </c>
      <c r="C330" s="2" t="s">
        <v>198</v>
      </c>
      <c r="D330" s="138" t="s">
        <v>199</v>
      </c>
      <c r="E330" s="107"/>
      <c r="F330" s="37" t="s">
        <v>200</v>
      </c>
      <c r="G330" s="6">
        <v>12.19</v>
      </c>
      <c r="H330" s="147">
        <v>0</v>
      </c>
      <c r="I330" s="6">
        <f>G330*AM330</f>
        <v>0</v>
      </c>
      <c r="J330" s="6">
        <f>G330*AN330</f>
        <v>0</v>
      </c>
      <c r="K330" s="6">
        <f>G330*H330</f>
        <v>0</v>
      </c>
      <c r="L330" s="6">
        <v>0</v>
      </c>
      <c r="M330" s="6">
        <f>G330*L330</f>
        <v>0</v>
      </c>
      <c r="N330" s="86" t="s">
        <v>129</v>
      </c>
      <c r="X330" s="6">
        <f>IF(AO330="5",BH330,0)</f>
        <v>0</v>
      </c>
      <c r="Z330" s="6">
        <f>IF(AO330="1",BF330,0)</f>
        <v>0</v>
      </c>
      <c r="AA330" s="6">
        <f>IF(AO330="1",BG330,0)</f>
        <v>0</v>
      </c>
      <c r="AB330" s="6">
        <f>IF(AO330="7",BF330,0)</f>
        <v>0</v>
      </c>
      <c r="AC330" s="6">
        <f>IF(AO330="7",BG330,0)</f>
        <v>0</v>
      </c>
      <c r="AD330" s="6">
        <f>IF(AO330="2",BF330,0)</f>
        <v>0</v>
      </c>
      <c r="AE330" s="6">
        <f>IF(AO330="2",BG330,0)</f>
        <v>0</v>
      </c>
      <c r="AF330" s="6">
        <f>IF(AO330="0",BH330,0)</f>
        <v>0</v>
      </c>
      <c r="AG330" s="13" t="s">
        <v>42</v>
      </c>
      <c r="AH330" s="6">
        <f>IF(AL330=0,K330,0)</f>
        <v>0</v>
      </c>
      <c r="AI330" s="6">
        <f>IF(AL330=12,K330,0)</f>
        <v>0</v>
      </c>
      <c r="AJ330" s="6">
        <f>IF(AL330=21,K330,0)</f>
        <v>0</v>
      </c>
      <c r="AL330" s="6">
        <v>21</v>
      </c>
      <c r="AM330" s="6">
        <f>H330*0</f>
        <v>0</v>
      </c>
      <c r="AN330" s="6">
        <f>H330*(1-0)</f>
        <v>0</v>
      </c>
      <c r="AO330" s="23" t="s">
        <v>164</v>
      </c>
      <c r="AT330" s="6">
        <f>AU330+AV330</f>
        <v>0</v>
      </c>
      <c r="AU330" s="6">
        <f>G330*AM330</f>
        <v>0</v>
      </c>
      <c r="AV330" s="6">
        <f>G330*AN330</f>
        <v>0</v>
      </c>
      <c r="AW330" s="23" t="s">
        <v>519</v>
      </c>
      <c r="AX330" s="23" t="s">
        <v>520</v>
      </c>
      <c r="AY330" s="13" t="s">
        <v>475</v>
      </c>
      <c r="BA330" s="6">
        <f>AU330+AV330</f>
        <v>0</v>
      </c>
      <c r="BB330" s="6">
        <f>H330/(100-BC330)*100</f>
        <v>0</v>
      </c>
      <c r="BC330" s="6">
        <v>0</v>
      </c>
      <c r="BD330" s="6">
        <f>M330</f>
        <v>0</v>
      </c>
      <c r="BF330" s="6">
        <f>G330*AM330</f>
        <v>0</v>
      </c>
      <c r="BG330" s="6">
        <f>G330*AN330</f>
        <v>0</v>
      </c>
      <c r="BH330" s="6">
        <f>G330*H330</f>
        <v>0</v>
      </c>
      <c r="BI330" s="6"/>
      <c r="BJ330" s="6">
        <v>62</v>
      </c>
      <c r="BU330" s="6" t="e">
        <f>#REF!</f>
        <v>#REF!</v>
      </c>
      <c r="BV330" s="3" t="s">
        <v>199</v>
      </c>
    </row>
    <row r="331" spans="1:74" ht="14.5" x14ac:dyDescent="0.35">
      <c r="A331" s="20" t="s">
        <v>22</v>
      </c>
      <c r="B331" s="21" t="s">
        <v>42</v>
      </c>
      <c r="C331" s="21" t="s">
        <v>28</v>
      </c>
      <c r="D331" s="133" t="s">
        <v>29</v>
      </c>
      <c r="E331" s="134"/>
      <c r="F331" s="91" t="s">
        <v>12</v>
      </c>
      <c r="G331" s="22" t="s">
        <v>12</v>
      </c>
      <c r="H331" s="22" t="s">
        <v>12</v>
      </c>
      <c r="I331" s="12">
        <f>SUM(I332:I344)</f>
        <v>0</v>
      </c>
      <c r="J331" s="12">
        <f>SUM(J332:J344)</f>
        <v>0</v>
      </c>
      <c r="K331" s="12">
        <f>SUM(K332:K344)</f>
        <v>0</v>
      </c>
      <c r="L331" s="13" t="s">
        <v>22</v>
      </c>
      <c r="M331" s="12">
        <f>SUM(M332:M344)</f>
        <v>0.43900230000000007</v>
      </c>
      <c r="N331" s="85" t="s">
        <v>22</v>
      </c>
      <c r="AG331" s="13" t="s">
        <v>42</v>
      </c>
      <c r="AQ331" s="12">
        <f>SUM(AH332:AH344)</f>
        <v>0</v>
      </c>
      <c r="AR331" s="12">
        <f>SUM(AI332:AI344)</f>
        <v>0</v>
      </c>
      <c r="AS331" s="12">
        <f>SUM(AJ332:AJ344)</f>
        <v>0</v>
      </c>
    </row>
    <row r="332" spans="1:74" ht="14.5" x14ac:dyDescent="0.35">
      <c r="A332" s="1" t="s">
        <v>635</v>
      </c>
      <c r="B332" s="2" t="s">
        <v>42</v>
      </c>
      <c r="C332" s="2" t="s">
        <v>636</v>
      </c>
      <c r="D332" s="138" t="s">
        <v>637</v>
      </c>
      <c r="E332" s="107"/>
      <c r="F332" s="37" t="s">
        <v>100</v>
      </c>
      <c r="G332" s="6">
        <v>18.03</v>
      </c>
      <c r="H332" s="147">
        <v>0</v>
      </c>
      <c r="I332" s="6">
        <f>G332*AM332</f>
        <v>0</v>
      </c>
      <c r="J332" s="6">
        <f>G332*AN332</f>
        <v>0</v>
      </c>
      <c r="K332" s="6">
        <f>G332*H332</f>
        <v>0</v>
      </c>
      <c r="L332" s="6">
        <v>1.75E-3</v>
      </c>
      <c r="M332" s="6">
        <f>G332*L332</f>
        <v>3.1552500000000004E-2</v>
      </c>
      <c r="N332" s="86" t="s">
        <v>129</v>
      </c>
      <c r="X332" s="6">
        <f>IF(AO332="5",BH332,0)</f>
        <v>0</v>
      </c>
      <c r="Z332" s="6">
        <f>IF(AO332="1",BF332,0)</f>
        <v>0</v>
      </c>
      <c r="AA332" s="6">
        <f>IF(AO332="1",BG332,0)</f>
        <v>0</v>
      </c>
      <c r="AB332" s="6">
        <f>IF(AO332="7",BF332,0)</f>
        <v>0</v>
      </c>
      <c r="AC332" s="6">
        <f>IF(AO332="7",BG332,0)</f>
        <v>0</v>
      </c>
      <c r="AD332" s="6">
        <f>IF(AO332="2",BF332,0)</f>
        <v>0</v>
      </c>
      <c r="AE332" s="6">
        <f>IF(AO332="2",BG332,0)</f>
        <v>0</v>
      </c>
      <c r="AF332" s="6">
        <f>IF(AO332="0",BH332,0)</f>
        <v>0</v>
      </c>
      <c r="AG332" s="13" t="s">
        <v>42</v>
      </c>
      <c r="AH332" s="6">
        <f>IF(AL332=0,K332,0)</f>
        <v>0</v>
      </c>
      <c r="AI332" s="6">
        <f>IF(AL332=12,K332,0)</f>
        <v>0</v>
      </c>
      <c r="AJ332" s="6">
        <f>IF(AL332=21,K332,0)</f>
        <v>0</v>
      </c>
      <c r="AL332" s="6">
        <v>21</v>
      </c>
      <c r="AM332" s="6">
        <f>H332*0</f>
        <v>0</v>
      </c>
      <c r="AN332" s="6">
        <f>H332*(1-0)</f>
        <v>0</v>
      </c>
      <c r="AO332" s="23" t="s">
        <v>97</v>
      </c>
      <c r="AT332" s="6">
        <f>AU332+AV332</f>
        <v>0</v>
      </c>
      <c r="AU332" s="6">
        <f>G332*AM332</f>
        <v>0</v>
      </c>
      <c r="AV332" s="6">
        <f>G332*AN332</f>
        <v>0</v>
      </c>
      <c r="AW332" s="23" t="s">
        <v>146</v>
      </c>
      <c r="AX332" s="23" t="s">
        <v>638</v>
      </c>
      <c r="AY332" s="13" t="s">
        <v>475</v>
      </c>
      <c r="BA332" s="6">
        <f>AU332+AV332</f>
        <v>0</v>
      </c>
      <c r="BB332" s="6">
        <f>H332/(100-BC332)*100</f>
        <v>0</v>
      </c>
      <c r="BC332" s="6">
        <v>0</v>
      </c>
      <c r="BD332" s="6">
        <f>M332</f>
        <v>3.1552500000000004E-2</v>
      </c>
      <c r="BF332" s="6">
        <f>G332*AM332</f>
        <v>0</v>
      </c>
      <c r="BG332" s="6">
        <f>G332*AN332</f>
        <v>0</v>
      </c>
      <c r="BH332" s="6">
        <f>G332*H332</f>
        <v>0</v>
      </c>
      <c r="BI332" s="6"/>
      <c r="BJ332" s="6">
        <v>96</v>
      </c>
      <c r="BU332" s="6" t="e">
        <f>#REF!</f>
        <v>#REF!</v>
      </c>
      <c r="BV332" s="3" t="s">
        <v>637</v>
      </c>
    </row>
    <row r="333" spans="1:74" ht="14.5" x14ac:dyDescent="0.35">
      <c r="A333" s="24"/>
      <c r="D333" s="25" t="s">
        <v>639</v>
      </c>
      <c r="E333" s="26" t="s">
        <v>640</v>
      </c>
      <c r="G333" s="27">
        <v>18.03</v>
      </c>
      <c r="N333" s="87"/>
    </row>
    <row r="334" spans="1:74" ht="14.5" x14ac:dyDescent="0.35">
      <c r="A334" s="1" t="s">
        <v>641</v>
      </c>
      <c r="B334" s="2" t="s">
        <v>42</v>
      </c>
      <c r="C334" s="2" t="s">
        <v>642</v>
      </c>
      <c r="D334" s="138" t="s">
        <v>643</v>
      </c>
      <c r="E334" s="107"/>
      <c r="F334" s="37" t="s">
        <v>100</v>
      </c>
      <c r="G334" s="6">
        <v>6.74</v>
      </c>
      <c r="H334" s="147">
        <v>0</v>
      </c>
      <c r="I334" s="6">
        <f>G334*AM334</f>
        <v>0</v>
      </c>
      <c r="J334" s="6">
        <f>G334*AN334</f>
        <v>0</v>
      </c>
      <c r="K334" s="6">
        <f>G334*H334</f>
        <v>0</v>
      </c>
      <c r="L334" s="6">
        <v>3.3700000000000002E-3</v>
      </c>
      <c r="M334" s="6">
        <f>G334*L334</f>
        <v>2.2713800000000003E-2</v>
      </c>
      <c r="N334" s="86" t="s">
        <v>129</v>
      </c>
      <c r="X334" s="6">
        <f>IF(AO334="5",BH334,0)</f>
        <v>0</v>
      </c>
      <c r="Z334" s="6">
        <f>IF(AO334="1",BF334,0)</f>
        <v>0</v>
      </c>
      <c r="AA334" s="6">
        <f>IF(AO334="1",BG334,0)</f>
        <v>0</v>
      </c>
      <c r="AB334" s="6">
        <f>IF(AO334="7",BF334,0)</f>
        <v>0</v>
      </c>
      <c r="AC334" s="6">
        <f>IF(AO334="7",BG334,0)</f>
        <v>0</v>
      </c>
      <c r="AD334" s="6">
        <f>IF(AO334="2",BF334,0)</f>
        <v>0</v>
      </c>
      <c r="AE334" s="6">
        <f>IF(AO334="2",BG334,0)</f>
        <v>0</v>
      </c>
      <c r="AF334" s="6">
        <f>IF(AO334="0",BH334,0)</f>
        <v>0</v>
      </c>
      <c r="AG334" s="13" t="s">
        <v>42</v>
      </c>
      <c r="AH334" s="6">
        <f>IF(AL334=0,K334,0)</f>
        <v>0</v>
      </c>
      <c r="AI334" s="6">
        <f>IF(AL334=12,K334,0)</f>
        <v>0</v>
      </c>
      <c r="AJ334" s="6">
        <f>IF(AL334=21,K334,0)</f>
        <v>0</v>
      </c>
      <c r="AL334" s="6">
        <v>21</v>
      </c>
      <c r="AM334" s="6">
        <f>H334*0</f>
        <v>0</v>
      </c>
      <c r="AN334" s="6">
        <f>H334*(1-0)</f>
        <v>0</v>
      </c>
      <c r="AO334" s="23" t="s">
        <v>97</v>
      </c>
      <c r="AT334" s="6">
        <f>AU334+AV334</f>
        <v>0</v>
      </c>
      <c r="AU334" s="6">
        <f>G334*AM334</f>
        <v>0</v>
      </c>
      <c r="AV334" s="6">
        <f>G334*AN334</f>
        <v>0</v>
      </c>
      <c r="AW334" s="23" t="s">
        <v>146</v>
      </c>
      <c r="AX334" s="23" t="s">
        <v>638</v>
      </c>
      <c r="AY334" s="13" t="s">
        <v>475</v>
      </c>
      <c r="BA334" s="6">
        <f>AU334+AV334</f>
        <v>0</v>
      </c>
      <c r="BB334" s="6">
        <f>H334/(100-BC334)*100</f>
        <v>0</v>
      </c>
      <c r="BC334" s="6">
        <v>0</v>
      </c>
      <c r="BD334" s="6">
        <f>M334</f>
        <v>2.2713800000000003E-2</v>
      </c>
      <c r="BF334" s="6">
        <f>G334*AM334</f>
        <v>0</v>
      </c>
      <c r="BG334" s="6">
        <f>G334*AN334</f>
        <v>0</v>
      </c>
      <c r="BH334" s="6">
        <f>G334*H334</f>
        <v>0</v>
      </c>
      <c r="BI334" s="6"/>
      <c r="BJ334" s="6">
        <v>96</v>
      </c>
      <c r="BU334" s="6" t="e">
        <f>#REF!</f>
        <v>#REF!</v>
      </c>
      <c r="BV334" s="3" t="s">
        <v>643</v>
      </c>
    </row>
    <row r="335" spans="1:74" ht="14.5" x14ac:dyDescent="0.35">
      <c r="A335" s="24"/>
      <c r="D335" s="25" t="s">
        <v>644</v>
      </c>
      <c r="E335" s="26" t="s">
        <v>645</v>
      </c>
      <c r="G335" s="27">
        <v>6.74</v>
      </c>
      <c r="N335" s="87"/>
    </row>
    <row r="336" spans="1:74" ht="14.5" x14ac:dyDescent="0.35">
      <c r="A336" s="1" t="s">
        <v>646</v>
      </c>
      <c r="B336" s="2" t="s">
        <v>42</v>
      </c>
      <c r="C336" s="2" t="s">
        <v>647</v>
      </c>
      <c r="D336" s="138" t="s">
        <v>648</v>
      </c>
      <c r="E336" s="107"/>
      <c r="F336" s="37" t="s">
        <v>100</v>
      </c>
      <c r="G336" s="6">
        <v>49.6</v>
      </c>
      <c r="H336" s="147">
        <v>0</v>
      </c>
      <c r="I336" s="6">
        <f>G336*AM336</f>
        <v>0</v>
      </c>
      <c r="J336" s="6">
        <f>G336*AN336</f>
        <v>0</v>
      </c>
      <c r="K336" s="6">
        <f>G336*H336</f>
        <v>0</v>
      </c>
      <c r="L336" s="6">
        <v>2.8500000000000001E-3</v>
      </c>
      <c r="M336" s="6">
        <f>G336*L336</f>
        <v>0.14136000000000001</v>
      </c>
      <c r="N336" s="86" t="s">
        <v>129</v>
      </c>
      <c r="X336" s="6">
        <f>IF(AO336="5",BH336,0)</f>
        <v>0</v>
      </c>
      <c r="Z336" s="6">
        <f>IF(AO336="1",BF336,0)</f>
        <v>0</v>
      </c>
      <c r="AA336" s="6">
        <f>IF(AO336="1",BG336,0)</f>
        <v>0</v>
      </c>
      <c r="AB336" s="6">
        <f>IF(AO336="7",BF336,0)</f>
        <v>0</v>
      </c>
      <c r="AC336" s="6">
        <f>IF(AO336="7",BG336,0)</f>
        <v>0</v>
      </c>
      <c r="AD336" s="6">
        <f>IF(AO336="2",BF336,0)</f>
        <v>0</v>
      </c>
      <c r="AE336" s="6">
        <f>IF(AO336="2",BG336,0)</f>
        <v>0</v>
      </c>
      <c r="AF336" s="6">
        <f>IF(AO336="0",BH336,0)</f>
        <v>0</v>
      </c>
      <c r="AG336" s="13" t="s">
        <v>42</v>
      </c>
      <c r="AH336" s="6">
        <f>IF(AL336=0,K336,0)</f>
        <v>0</v>
      </c>
      <c r="AI336" s="6">
        <f>IF(AL336=12,K336,0)</f>
        <v>0</v>
      </c>
      <c r="AJ336" s="6">
        <f>IF(AL336=21,K336,0)</f>
        <v>0</v>
      </c>
      <c r="AL336" s="6">
        <v>21</v>
      </c>
      <c r="AM336" s="6">
        <f>H336*0</f>
        <v>0</v>
      </c>
      <c r="AN336" s="6">
        <f>H336*(1-0)</f>
        <v>0</v>
      </c>
      <c r="AO336" s="23" t="s">
        <v>97</v>
      </c>
      <c r="AT336" s="6">
        <f>AU336+AV336</f>
        <v>0</v>
      </c>
      <c r="AU336" s="6">
        <f>G336*AM336</f>
        <v>0</v>
      </c>
      <c r="AV336" s="6">
        <f>G336*AN336</f>
        <v>0</v>
      </c>
      <c r="AW336" s="23" t="s">
        <v>146</v>
      </c>
      <c r="AX336" s="23" t="s">
        <v>638</v>
      </c>
      <c r="AY336" s="13" t="s">
        <v>475</v>
      </c>
      <c r="BA336" s="6">
        <f>AU336+AV336</f>
        <v>0</v>
      </c>
      <c r="BB336" s="6">
        <f>H336/(100-BC336)*100</f>
        <v>0</v>
      </c>
      <c r="BC336" s="6">
        <v>0</v>
      </c>
      <c r="BD336" s="6">
        <f>M336</f>
        <v>0.14136000000000001</v>
      </c>
      <c r="BF336" s="6">
        <f>G336*AM336</f>
        <v>0</v>
      </c>
      <c r="BG336" s="6">
        <f>G336*AN336</f>
        <v>0</v>
      </c>
      <c r="BH336" s="6">
        <f>G336*H336</f>
        <v>0</v>
      </c>
      <c r="BI336" s="6"/>
      <c r="BJ336" s="6">
        <v>96</v>
      </c>
      <c r="BU336" s="6" t="e">
        <f>#REF!</f>
        <v>#REF!</v>
      </c>
      <c r="BV336" s="3" t="s">
        <v>648</v>
      </c>
    </row>
    <row r="337" spans="1:74" ht="14.5" x14ac:dyDescent="0.35">
      <c r="A337" s="24"/>
      <c r="D337" s="25" t="s">
        <v>649</v>
      </c>
      <c r="E337" s="26" t="s">
        <v>22</v>
      </c>
      <c r="G337" s="27">
        <v>49.6</v>
      </c>
      <c r="N337" s="87"/>
    </row>
    <row r="338" spans="1:74" ht="14.5" x14ac:dyDescent="0.35">
      <c r="A338" s="1" t="s">
        <v>650</v>
      </c>
      <c r="B338" s="2" t="s">
        <v>42</v>
      </c>
      <c r="C338" s="2" t="s">
        <v>651</v>
      </c>
      <c r="D338" s="138" t="s">
        <v>652</v>
      </c>
      <c r="E338" s="107"/>
      <c r="F338" s="37" t="s">
        <v>259</v>
      </c>
      <c r="G338" s="6">
        <v>8</v>
      </c>
      <c r="H338" s="147">
        <v>0</v>
      </c>
      <c r="I338" s="6">
        <f>G338*AM338</f>
        <v>0</v>
      </c>
      <c r="J338" s="6">
        <f>G338*AN338</f>
        <v>0</v>
      </c>
      <c r="K338" s="6">
        <f>G338*H338</f>
        <v>0</v>
      </c>
      <c r="L338" s="6">
        <v>2.9299999999999999E-3</v>
      </c>
      <c r="M338" s="6">
        <f>G338*L338</f>
        <v>2.3439999999999999E-2</v>
      </c>
      <c r="N338" s="86" t="s">
        <v>129</v>
      </c>
      <c r="X338" s="6">
        <f>IF(AO338="5",BH338,0)</f>
        <v>0</v>
      </c>
      <c r="Z338" s="6">
        <f>IF(AO338="1",BF338,0)</f>
        <v>0</v>
      </c>
      <c r="AA338" s="6">
        <f>IF(AO338="1",BG338,0)</f>
        <v>0</v>
      </c>
      <c r="AB338" s="6">
        <f>IF(AO338="7",BF338,0)</f>
        <v>0</v>
      </c>
      <c r="AC338" s="6">
        <f>IF(AO338="7",BG338,0)</f>
        <v>0</v>
      </c>
      <c r="AD338" s="6">
        <f>IF(AO338="2",BF338,0)</f>
        <v>0</v>
      </c>
      <c r="AE338" s="6">
        <f>IF(AO338="2",BG338,0)</f>
        <v>0</v>
      </c>
      <c r="AF338" s="6">
        <f>IF(AO338="0",BH338,0)</f>
        <v>0</v>
      </c>
      <c r="AG338" s="13" t="s">
        <v>42</v>
      </c>
      <c r="AH338" s="6">
        <f>IF(AL338=0,K338,0)</f>
        <v>0</v>
      </c>
      <c r="AI338" s="6">
        <f>IF(AL338=12,K338,0)</f>
        <v>0</v>
      </c>
      <c r="AJ338" s="6">
        <f>IF(AL338=21,K338,0)</f>
        <v>0</v>
      </c>
      <c r="AL338" s="6">
        <v>21</v>
      </c>
      <c r="AM338" s="6">
        <f>H338*0</f>
        <v>0</v>
      </c>
      <c r="AN338" s="6">
        <f>H338*(1-0)</f>
        <v>0</v>
      </c>
      <c r="AO338" s="23" t="s">
        <v>97</v>
      </c>
      <c r="AT338" s="6">
        <f>AU338+AV338</f>
        <v>0</v>
      </c>
      <c r="AU338" s="6">
        <f>G338*AM338</f>
        <v>0</v>
      </c>
      <c r="AV338" s="6">
        <f>G338*AN338</f>
        <v>0</v>
      </c>
      <c r="AW338" s="23" t="s">
        <v>146</v>
      </c>
      <c r="AX338" s="23" t="s">
        <v>638</v>
      </c>
      <c r="AY338" s="13" t="s">
        <v>475</v>
      </c>
      <c r="BA338" s="6">
        <f>AU338+AV338</f>
        <v>0</v>
      </c>
      <c r="BB338" s="6">
        <f>H338/(100-BC338)*100</f>
        <v>0</v>
      </c>
      <c r="BC338" s="6">
        <v>0</v>
      </c>
      <c r="BD338" s="6">
        <f>M338</f>
        <v>2.3439999999999999E-2</v>
      </c>
      <c r="BF338" s="6">
        <f>G338*AM338</f>
        <v>0</v>
      </c>
      <c r="BG338" s="6">
        <f>G338*AN338</f>
        <v>0</v>
      </c>
      <c r="BH338" s="6">
        <f>G338*H338</f>
        <v>0</v>
      </c>
      <c r="BI338" s="6"/>
      <c r="BJ338" s="6">
        <v>96</v>
      </c>
      <c r="BU338" s="6" t="e">
        <f>#REF!</f>
        <v>#REF!</v>
      </c>
      <c r="BV338" s="3" t="s">
        <v>652</v>
      </c>
    </row>
    <row r="339" spans="1:74" ht="14.5" x14ac:dyDescent="0.35">
      <c r="A339" s="24"/>
      <c r="D339" s="25" t="s">
        <v>653</v>
      </c>
      <c r="E339" s="26" t="s">
        <v>22</v>
      </c>
      <c r="G339" s="27">
        <v>8</v>
      </c>
      <c r="N339" s="87"/>
    </row>
    <row r="340" spans="1:74" ht="14.5" x14ac:dyDescent="0.35">
      <c r="A340" s="1" t="s">
        <v>654</v>
      </c>
      <c r="B340" s="2" t="s">
        <v>42</v>
      </c>
      <c r="C340" s="2" t="s">
        <v>655</v>
      </c>
      <c r="D340" s="138" t="s">
        <v>656</v>
      </c>
      <c r="E340" s="107"/>
      <c r="F340" s="37" t="s">
        <v>259</v>
      </c>
      <c r="G340" s="6">
        <v>4</v>
      </c>
      <c r="H340" s="147">
        <v>0</v>
      </c>
      <c r="I340" s="6">
        <f>G340*AM340</f>
        <v>0</v>
      </c>
      <c r="J340" s="6">
        <f>G340*AN340</f>
        <v>0</v>
      </c>
      <c r="K340" s="6">
        <f>G340*H340</f>
        <v>0</v>
      </c>
      <c r="L340" s="6">
        <v>2.0899999999999998E-3</v>
      </c>
      <c r="M340" s="6">
        <f>G340*L340</f>
        <v>8.3599999999999994E-3</v>
      </c>
      <c r="N340" s="86" t="s">
        <v>129</v>
      </c>
      <c r="X340" s="6">
        <f>IF(AO340="5",BH340,0)</f>
        <v>0</v>
      </c>
      <c r="Z340" s="6">
        <f>IF(AO340="1",BF340,0)</f>
        <v>0</v>
      </c>
      <c r="AA340" s="6">
        <f>IF(AO340="1",BG340,0)</f>
        <v>0</v>
      </c>
      <c r="AB340" s="6">
        <f>IF(AO340="7",BF340,0)</f>
        <v>0</v>
      </c>
      <c r="AC340" s="6">
        <f>IF(AO340="7",BG340,0)</f>
        <v>0</v>
      </c>
      <c r="AD340" s="6">
        <f>IF(AO340="2",BF340,0)</f>
        <v>0</v>
      </c>
      <c r="AE340" s="6">
        <f>IF(AO340="2",BG340,0)</f>
        <v>0</v>
      </c>
      <c r="AF340" s="6">
        <f>IF(AO340="0",BH340,0)</f>
        <v>0</v>
      </c>
      <c r="AG340" s="13" t="s">
        <v>42</v>
      </c>
      <c r="AH340" s="6">
        <f>IF(AL340=0,K340,0)</f>
        <v>0</v>
      </c>
      <c r="AI340" s="6">
        <f>IF(AL340=12,K340,0)</f>
        <v>0</v>
      </c>
      <c r="AJ340" s="6">
        <f>IF(AL340=21,K340,0)</f>
        <v>0</v>
      </c>
      <c r="AL340" s="6">
        <v>21</v>
      </c>
      <c r="AM340" s="6">
        <f>H340*0</f>
        <v>0</v>
      </c>
      <c r="AN340" s="6">
        <f>H340*(1-0)</f>
        <v>0</v>
      </c>
      <c r="AO340" s="23" t="s">
        <v>97</v>
      </c>
      <c r="AT340" s="6">
        <f>AU340+AV340</f>
        <v>0</v>
      </c>
      <c r="AU340" s="6">
        <f>G340*AM340</f>
        <v>0</v>
      </c>
      <c r="AV340" s="6">
        <f>G340*AN340</f>
        <v>0</v>
      </c>
      <c r="AW340" s="23" t="s">
        <v>146</v>
      </c>
      <c r="AX340" s="23" t="s">
        <v>638</v>
      </c>
      <c r="AY340" s="13" t="s">
        <v>475</v>
      </c>
      <c r="BA340" s="6">
        <f>AU340+AV340</f>
        <v>0</v>
      </c>
      <c r="BB340" s="6">
        <f>H340/(100-BC340)*100</f>
        <v>0</v>
      </c>
      <c r="BC340" s="6">
        <v>0</v>
      </c>
      <c r="BD340" s="6">
        <f>M340</f>
        <v>8.3599999999999994E-3</v>
      </c>
      <c r="BF340" s="6">
        <f>G340*AM340</f>
        <v>0</v>
      </c>
      <c r="BG340" s="6">
        <f>G340*AN340</f>
        <v>0</v>
      </c>
      <c r="BH340" s="6">
        <f>G340*H340</f>
        <v>0</v>
      </c>
      <c r="BI340" s="6"/>
      <c r="BJ340" s="6">
        <v>96</v>
      </c>
      <c r="BU340" s="6" t="e">
        <f>#REF!</f>
        <v>#REF!</v>
      </c>
      <c r="BV340" s="3" t="s">
        <v>656</v>
      </c>
    </row>
    <row r="341" spans="1:74" ht="14.5" x14ac:dyDescent="0.35">
      <c r="A341" s="24"/>
      <c r="D341" s="25" t="s">
        <v>657</v>
      </c>
      <c r="E341" s="26" t="s">
        <v>22</v>
      </c>
      <c r="G341" s="27">
        <v>4</v>
      </c>
      <c r="N341" s="87"/>
    </row>
    <row r="342" spans="1:74" ht="14.5" x14ac:dyDescent="0.35">
      <c r="A342" s="1" t="s">
        <v>658</v>
      </c>
      <c r="B342" s="2" t="s">
        <v>42</v>
      </c>
      <c r="C342" s="2" t="s">
        <v>659</v>
      </c>
      <c r="D342" s="138" t="s">
        <v>660</v>
      </c>
      <c r="E342" s="107"/>
      <c r="F342" s="37" t="s">
        <v>259</v>
      </c>
      <c r="G342" s="6">
        <v>4</v>
      </c>
      <c r="H342" s="147">
        <v>0</v>
      </c>
      <c r="I342" s="6">
        <f>G342*AM342</f>
        <v>0</v>
      </c>
      <c r="J342" s="6">
        <f>G342*AN342</f>
        <v>0</v>
      </c>
      <c r="K342" s="6">
        <f>G342*H342</f>
        <v>0</v>
      </c>
      <c r="L342" s="6">
        <v>1.15E-3</v>
      </c>
      <c r="M342" s="6">
        <f>G342*L342</f>
        <v>4.5999999999999999E-3</v>
      </c>
      <c r="N342" s="86" t="s">
        <v>129</v>
      </c>
      <c r="X342" s="6">
        <f>IF(AO342="5",BH342,0)</f>
        <v>0</v>
      </c>
      <c r="Z342" s="6">
        <f>IF(AO342="1",BF342,0)</f>
        <v>0</v>
      </c>
      <c r="AA342" s="6">
        <f>IF(AO342="1",BG342,0)</f>
        <v>0</v>
      </c>
      <c r="AB342" s="6">
        <f>IF(AO342="7",BF342,0)</f>
        <v>0</v>
      </c>
      <c r="AC342" s="6">
        <f>IF(AO342="7",BG342,0)</f>
        <v>0</v>
      </c>
      <c r="AD342" s="6">
        <f>IF(AO342="2",BF342,0)</f>
        <v>0</v>
      </c>
      <c r="AE342" s="6">
        <f>IF(AO342="2",BG342,0)</f>
        <v>0</v>
      </c>
      <c r="AF342" s="6">
        <f>IF(AO342="0",BH342,0)</f>
        <v>0</v>
      </c>
      <c r="AG342" s="13" t="s">
        <v>42</v>
      </c>
      <c r="AH342" s="6">
        <f>IF(AL342=0,K342,0)</f>
        <v>0</v>
      </c>
      <c r="AI342" s="6">
        <f>IF(AL342=12,K342,0)</f>
        <v>0</v>
      </c>
      <c r="AJ342" s="6">
        <f>IF(AL342=21,K342,0)</f>
        <v>0</v>
      </c>
      <c r="AL342" s="6">
        <v>21</v>
      </c>
      <c r="AM342" s="6">
        <f>H342*0</f>
        <v>0</v>
      </c>
      <c r="AN342" s="6">
        <f>H342*(1-0)</f>
        <v>0</v>
      </c>
      <c r="AO342" s="23" t="s">
        <v>97</v>
      </c>
      <c r="AT342" s="6">
        <f>AU342+AV342</f>
        <v>0</v>
      </c>
      <c r="AU342" s="6">
        <f>G342*AM342</f>
        <v>0</v>
      </c>
      <c r="AV342" s="6">
        <f>G342*AN342</f>
        <v>0</v>
      </c>
      <c r="AW342" s="23" t="s">
        <v>146</v>
      </c>
      <c r="AX342" s="23" t="s">
        <v>638</v>
      </c>
      <c r="AY342" s="13" t="s">
        <v>475</v>
      </c>
      <c r="BA342" s="6">
        <f>AU342+AV342</f>
        <v>0</v>
      </c>
      <c r="BB342" s="6">
        <f>H342/(100-BC342)*100</f>
        <v>0</v>
      </c>
      <c r="BC342" s="6">
        <v>0</v>
      </c>
      <c r="BD342" s="6">
        <f>M342</f>
        <v>4.5999999999999999E-3</v>
      </c>
      <c r="BF342" s="6">
        <f>G342*AM342</f>
        <v>0</v>
      </c>
      <c r="BG342" s="6">
        <f>G342*AN342</f>
        <v>0</v>
      </c>
      <c r="BH342" s="6">
        <f>G342*H342</f>
        <v>0</v>
      </c>
      <c r="BI342" s="6"/>
      <c r="BJ342" s="6">
        <v>96</v>
      </c>
      <c r="BU342" s="6" t="e">
        <f>#REF!</f>
        <v>#REF!</v>
      </c>
      <c r="BV342" s="3" t="s">
        <v>660</v>
      </c>
    </row>
    <row r="343" spans="1:74" ht="14.5" x14ac:dyDescent="0.35">
      <c r="A343" s="24"/>
      <c r="D343" s="25" t="s">
        <v>657</v>
      </c>
      <c r="E343" s="26" t="s">
        <v>22</v>
      </c>
      <c r="G343" s="27">
        <v>4</v>
      </c>
      <c r="N343" s="87"/>
    </row>
    <row r="344" spans="1:74" ht="14.5" x14ac:dyDescent="0.35">
      <c r="A344" s="1" t="s">
        <v>661</v>
      </c>
      <c r="B344" s="2" t="s">
        <v>42</v>
      </c>
      <c r="C344" s="2" t="s">
        <v>662</v>
      </c>
      <c r="D344" s="138" t="s">
        <v>663</v>
      </c>
      <c r="E344" s="107"/>
      <c r="F344" s="37" t="s">
        <v>100</v>
      </c>
      <c r="G344" s="6">
        <v>61.6</v>
      </c>
      <c r="H344" s="147">
        <v>0</v>
      </c>
      <c r="I344" s="6">
        <f>G344*AM344</f>
        <v>0</v>
      </c>
      <c r="J344" s="6">
        <f>G344*AN344</f>
        <v>0</v>
      </c>
      <c r="K344" s="6">
        <f>G344*H344</f>
        <v>0</v>
      </c>
      <c r="L344" s="6">
        <v>3.3600000000000001E-3</v>
      </c>
      <c r="M344" s="6">
        <f>G344*L344</f>
        <v>0.20697600000000002</v>
      </c>
      <c r="N344" s="86" t="s">
        <v>129</v>
      </c>
      <c r="X344" s="6">
        <f>IF(AO344="5",BH344,0)</f>
        <v>0</v>
      </c>
      <c r="Z344" s="6">
        <f>IF(AO344="1",BF344,0)</f>
        <v>0</v>
      </c>
      <c r="AA344" s="6">
        <f>IF(AO344="1",BG344,0)</f>
        <v>0</v>
      </c>
      <c r="AB344" s="6">
        <f>IF(AO344="7",BF344,0)</f>
        <v>0</v>
      </c>
      <c r="AC344" s="6">
        <f>IF(AO344="7",BG344,0)</f>
        <v>0</v>
      </c>
      <c r="AD344" s="6">
        <f>IF(AO344="2",BF344,0)</f>
        <v>0</v>
      </c>
      <c r="AE344" s="6">
        <f>IF(AO344="2",BG344,0)</f>
        <v>0</v>
      </c>
      <c r="AF344" s="6">
        <f>IF(AO344="0",BH344,0)</f>
        <v>0</v>
      </c>
      <c r="AG344" s="13" t="s">
        <v>42</v>
      </c>
      <c r="AH344" s="6">
        <f>IF(AL344=0,K344,0)</f>
        <v>0</v>
      </c>
      <c r="AI344" s="6">
        <f>IF(AL344=12,K344,0)</f>
        <v>0</v>
      </c>
      <c r="AJ344" s="6">
        <f>IF(AL344=21,K344,0)</f>
        <v>0</v>
      </c>
      <c r="AL344" s="6">
        <v>21</v>
      </c>
      <c r="AM344" s="6">
        <f>H344*0</f>
        <v>0</v>
      </c>
      <c r="AN344" s="6">
        <f>H344*(1-0)</f>
        <v>0</v>
      </c>
      <c r="AO344" s="23" t="s">
        <v>97</v>
      </c>
      <c r="AT344" s="6">
        <f>AU344+AV344</f>
        <v>0</v>
      </c>
      <c r="AU344" s="6">
        <f>G344*AM344</f>
        <v>0</v>
      </c>
      <c r="AV344" s="6">
        <f>G344*AN344</f>
        <v>0</v>
      </c>
      <c r="AW344" s="23" t="s">
        <v>146</v>
      </c>
      <c r="AX344" s="23" t="s">
        <v>638</v>
      </c>
      <c r="AY344" s="13" t="s">
        <v>475</v>
      </c>
      <c r="BA344" s="6">
        <f>AU344+AV344</f>
        <v>0</v>
      </c>
      <c r="BB344" s="6">
        <f>H344/(100-BC344)*100</f>
        <v>0</v>
      </c>
      <c r="BC344" s="6">
        <v>0</v>
      </c>
      <c r="BD344" s="6">
        <f>M344</f>
        <v>0.20697600000000002</v>
      </c>
      <c r="BF344" s="6">
        <f>G344*AM344</f>
        <v>0</v>
      </c>
      <c r="BG344" s="6">
        <f>G344*AN344</f>
        <v>0</v>
      </c>
      <c r="BH344" s="6">
        <f>G344*H344</f>
        <v>0</v>
      </c>
      <c r="BI344" s="6"/>
      <c r="BJ344" s="6">
        <v>96</v>
      </c>
      <c r="BU344" s="6" t="e">
        <f>#REF!</f>
        <v>#REF!</v>
      </c>
      <c r="BV344" s="3" t="s">
        <v>663</v>
      </c>
    </row>
    <row r="345" spans="1:74" ht="14.5" x14ac:dyDescent="0.35">
      <c r="A345" s="24"/>
      <c r="D345" s="25" t="s">
        <v>664</v>
      </c>
      <c r="E345" s="26" t="s">
        <v>22</v>
      </c>
      <c r="G345" s="27">
        <v>61.6</v>
      </c>
      <c r="N345" s="87"/>
    </row>
    <row r="346" spans="1:74" ht="14.5" x14ac:dyDescent="0.35">
      <c r="A346" s="20" t="s">
        <v>22</v>
      </c>
      <c r="B346" s="21" t="s">
        <v>42</v>
      </c>
      <c r="C346" s="21" t="s">
        <v>30</v>
      </c>
      <c r="D346" s="133" t="s">
        <v>31</v>
      </c>
      <c r="E346" s="134"/>
      <c r="F346" s="91" t="s">
        <v>12</v>
      </c>
      <c r="G346" s="22" t="s">
        <v>12</v>
      </c>
      <c r="H346" s="22" t="s">
        <v>12</v>
      </c>
      <c r="I346" s="12">
        <f>SUM(I347:I353)</f>
        <v>0</v>
      </c>
      <c r="J346" s="12">
        <f>SUM(J347:J353)</f>
        <v>0</v>
      </c>
      <c r="K346" s="12">
        <f>SUM(K347:K353)</f>
        <v>0</v>
      </c>
      <c r="L346" s="13" t="s">
        <v>22</v>
      </c>
      <c r="M346" s="12">
        <f>SUM(M347:M353)</f>
        <v>0</v>
      </c>
      <c r="N346" s="85" t="s">
        <v>22</v>
      </c>
      <c r="AG346" s="13" t="s">
        <v>42</v>
      </c>
      <c r="AQ346" s="12">
        <f>SUM(AH347:AH353)</f>
        <v>0</v>
      </c>
      <c r="AR346" s="12">
        <f>SUM(AI347:AI353)</f>
        <v>0</v>
      </c>
      <c r="AS346" s="12">
        <f>SUM(AJ347:AJ353)</f>
        <v>0</v>
      </c>
    </row>
    <row r="347" spans="1:74" ht="14.5" x14ac:dyDescent="0.35">
      <c r="A347" s="1" t="s">
        <v>665</v>
      </c>
      <c r="B347" s="2" t="s">
        <v>42</v>
      </c>
      <c r="C347" s="2" t="s">
        <v>203</v>
      </c>
      <c r="D347" s="138" t="s">
        <v>204</v>
      </c>
      <c r="E347" s="107"/>
      <c r="F347" s="37" t="s">
        <v>200</v>
      </c>
      <c r="G347" s="6">
        <v>0.44</v>
      </c>
      <c r="H347" s="147">
        <v>0</v>
      </c>
      <c r="I347" s="6">
        <f>G347*AM347</f>
        <v>0</v>
      </c>
      <c r="J347" s="6">
        <f>G347*AN347</f>
        <v>0</v>
      </c>
      <c r="K347" s="6">
        <f>G347*H347</f>
        <v>0</v>
      </c>
      <c r="L347" s="6">
        <v>0</v>
      </c>
      <c r="M347" s="6">
        <f>G347*L347</f>
        <v>0</v>
      </c>
      <c r="N347" s="86" t="s">
        <v>129</v>
      </c>
      <c r="X347" s="6">
        <f>IF(AO347="5",BH347,0)</f>
        <v>0</v>
      </c>
      <c r="Z347" s="6">
        <f>IF(AO347="1",BF347,0)</f>
        <v>0</v>
      </c>
      <c r="AA347" s="6">
        <f>IF(AO347="1",BG347,0)</f>
        <v>0</v>
      </c>
      <c r="AB347" s="6">
        <f>IF(AO347="7",BF347,0)</f>
        <v>0</v>
      </c>
      <c r="AC347" s="6">
        <f>IF(AO347="7",BG347,0)</f>
        <v>0</v>
      </c>
      <c r="AD347" s="6">
        <f>IF(AO347="2",BF347,0)</f>
        <v>0</v>
      </c>
      <c r="AE347" s="6">
        <f>IF(AO347="2",BG347,0)</f>
        <v>0</v>
      </c>
      <c r="AF347" s="6">
        <f>IF(AO347="0",BH347,0)</f>
        <v>0</v>
      </c>
      <c r="AG347" s="13" t="s">
        <v>42</v>
      </c>
      <c r="AH347" s="6">
        <f>IF(AL347=0,K347,0)</f>
        <v>0</v>
      </c>
      <c r="AI347" s="6">
        <f>IF(AL347=12,K347,0)</f>
        <v>0</v>
      </c>
      <c r="AJ347" s="6">
        <f>IF(AL347=21,K347,0)</f>
        <v>0</v>
      </c>
      <c r="AL347" s="6">
        <v>21</v>
      </c>
      <c r="AM347" s="6">
        <f>H347*0</f>
        <v>0</v>
      </c>
      <c r="AN347" s="6">
        <f>H347*(1-0)</f>
        <v>0</v>
      </c>
      <c r="AO347" s="23" t="s">
        <v>164</v>
      </c>
      <c r="AT347" s="6">
        <f>AU347+AV347</f>
        <v>0</v>
      </c>
      <c r="AU347" s="6">
        <f>G347*AM347</f>
        <v>0</v>
      </c>
      <c r="AV347" s="6">
        <f>G347*AN347</f>
        <v>0</v>
      </c>
      <c r="AW347" s="23" t="s">
        <v>201</v>
      </c>
      <c r="AX347" s="23" t="s">
        <v>666</v>
      </c>
      <c r="AY347" s="13" t="s">
        <v>475</v>
      </c>
      <c r="BA347" s="6">
        <f>AU347+AV347</f>
        <v>0</v>
      </c>
      <c r="BB347" s="6">
        <f>H347/(100-BC347)*100</f>
        <v>0</v>
      </c>
      <c r="BC347" s="6">
        <v>0</v>
      </c>
      <c r="BD347" s="6">
        <f>M347</f>
        <v>0</v>
      </c>
      <c r="BF347" s="6">
        <f>G347*AM347</f>
        <v>0</v>
      </c>
      <c r="BG347" s="6">
        <f>G347*AN347</f>
        <v>0</v>
      </c>
      <c r="BH347" s="6">
        <f>G347*H347</f>
        <v>0</v>
      </c>
      <c r="BI347" s="6"/>
      <c r="BJ347" s="6">
        <v>99</v>
      </c>
      <c r="BU347" s="6" t="e">
        <f>#REF!</f>
        <v>#REF!</v>
      </c>
      <c r="BV347" s="3" t="s">
        <v>204</v>
      </c>
    </row>
    <row r="348" spans="1:74" ht="14.5" x14ac:dyDescent="0.35">
      <c r="A348" s="1" t="s">
        <v>667</v>
      </c>
      <c r="B348" s="2" t="s">
        <v>42</v>
      </c>
      <c r="C348" s="2" t="s">
        <v>206</v>
      </c>
      <c r="D348" s="138" t="s">
        <v>207</v>
      </c>
      <c r="E348" s="107"/>
      <c r="F348" s="37" t="s">
        <v>200</v>
      </c>
      <c r="G348" s="6">
        <v>0.88</v>
      </c>
      <c r="H348" s="147">
        <v>0</v>
      </c>
      <c r="I348" s="6">
        <f>G348*AM348</f>
        <v>0</v>
      </c>
      <c r="J348" s="6">
        <f>G348*AN348</f>
        <v>0</v>
      </c>
      <c r="K348" s="6">
        <f>G348*H348</f>
        <v>0</v>
      </c>
      <c r="L348" s="6">
        <v>0</v>
      </c>
      <c r="M348" s="6">
        <f>G348*L348</f>
        <v>0</v>
      </c>
      <c r="N348" s="86" t="s">
        <v>129</v>
      </c>
      <c r="X348" s="6">
        <f>IF(AO348="5",BH348,0)</f>
        <v>0</v>
      </c>
      <c r="Z348" s="6">
        <f>IF(AO348="1",BF348,0)</f>
        <v>0</v>
      </c>
      <c r="AA348" s="6">
        <f>IF(AO348="1",BG348,0)</f>
        <v>0</v>
      </c>
      <c r="AB348" s="6">
        <f>IF(AO348="7",BF348,0)</f>
        <v>0</v>
      </c>
      <c r="AC348" s="6">
        <f>IF(AO348="7",BG348,0)</f>
        <v>0</v>
      </c>
      <c r="AD348" s="6">
        <f>IF(AO348="2",BF348,0)</f>
        <v>0</v>
      </c>
      <c r="AE348" s="6">
        <f>IF(AO348="2",BG348,0)</f>
        <v>0</v>
      </c>
      <c r="AF348" s="6">
        <f>IF(AO348="0",BH348,0)</f>
        <v>0</v>
      </c>
      <c r="AG348" s="13" t="s">
        <v>42</v>
      </c>
      <c r="AH348" s="6">
        <f>IF(AL348=0,K348,0)</f>
        <v>0</v>
      </c>
      <c r="AI348" s="6">
        <f>IF(AL348=12,K348,0)</f>
        <v>0</v>
      </c>
      <c r="AJ348" s="6">
        <f>IF(AL348=21,K348,0)</f>
        <v>0</v>
      </c>
      <c r="AL348" s="6">
        <v>21</v>
      </c>
      <c r="AM348" s="6">
        <f>H348*0</f>
        <v>0</v>
      </c>
      <c r="AN348" s="6">
        <f>H348*(1-0)</f>
        <v>0</v>
      </c>
      <c r="AO348" s="23" t="s">
        <v>164</v>
      </c>
      <c r="AT348" s="6">
        <f>AU348+AV348</f>
        <v>0</v>
      </c>
      <c r="AU348" s="6">
        <f>G348*AM348</f>
        <v>0</v>
      </c>
      <c r="AV348" s="6">
        <f>G348*AN348</f>
        <v>0</v>
      </c>
      <c r="AW348" s="23" t="s">
        <v>201</v>
      </c>
      <c r="AX348" s="23" t="s">
        <v>666</v>
      </c>
      <c r="AY348" s="13" t="s">
        <v>475</v>
      </c>
      <c r="BA348" s="6">
        <f>AU348+AV348</f>
        <v>0</v>
      </c>
      <c r="BB348" s="6">
        <f>H348/(100-BC348)*100</f>
        <v>0</v>
      </c>
      <c r="BC348" s="6">
        <v>0</v>
      </c>
      <c r="BD348" s="6">
        <f>M348</f>
        <v>0</v>
      </c>
      <c r="BF348" s="6">
        <f>G348*AM348</f>
        <v>0</v>
      </c>
      <c r="BG348" s="6">
        <f>G348*AN348</f>
        <v>0</v>
      </c>
      <c r="BH348" s="6">
        <f>G348*H348</f>
        <v>0</v>
      </c>
      <c r="BI348" s="6"/>
      <c r="BJ348" s="6">
        <v>99</v>
      </c>
      <c r="BU348" s="6" t="e">
        <f>#REF!</f>
        <v>#REF!</v>
      </c>
      <c r="BV348" s="3" t="s">
        <v>207</v>
      </c>
    </row>
    <row r="349" spans="1:74" ht="14.5" x14ac:dyDescent="0.35">
      <c r="A349" s="24"/>
      <c r="D349" s="25" t="s">
        <v>668</v>
      </c>
      <c r="E349" s="26" t="s">
        <v>22</v>
      </c>
      <c r="G349" s="27">
        <v>0.88</v>
      </c>
      <c r="N349" s="87"/>
    </row>
    <row r="350" spans="1:74" ht="14.5" x14ac:dyDescent="0.35">
      <c r="A350" s="1" t="s">
        <v>669</v>
      </c>
      <c r="B350" s="2" t="s">
        <v>42</v>
      </c>
      <c r="C350" s="2" t="s">
        <v>210</v>
      </c>
      <c r="D350" s="138" t="s">
        <v>211</v>
      </c>
      <c r="E350" s="107"/>
      <c r="F350" s="37" t="s">
        <v>200</v>
      </c>
      <c r="G350" s="6">
        <v>0.44</v>
      </c>
      <c r="H350" s="147">
        <v>0</v>
      </c>
      <c r="I350" s="6">
        <f>G350*AM350</f>
        <v>0</v>
      </c>
      <c r="J350" s="6">
        <f>G350*AN350</f>
        <v>0</v>
      </c>
      <c r="K350" s="6">
        <f>G350*H350</f>
        <v>0</v>
      </c>
      <c r="L350" s="6">
        <v>0</v>
      </c>
      <c r="M350" s="6">
        <f>G350*L350</f>
        <v>0</v>
      </c>
      <c r="N350" s="86" t="s">
        <v>102</v>
      </c>
      <c r="X350" s="6">
        <f>IF(AO350="5",BH350,0)</f>
        <v>0</v>
      </c>
      <c r="Z350" s="6">
        <f>IF(AO350="1",BF350,0)</f>
        <v>0</v>
      </c>
      <c r="AA350" s="6">
        <f>IF(AO350="1",BG350,0)</f>
        <v>0</v>
      </c>
      <c r="AB350" s="6">
        <f>IF(AO350="7",BF350,0)</f>
        <v>0</v>
      </c>
      <c r="AC350" s="6">
        <f>IF(AO350="7",BG350,0)</f>
        <v>0</v>
      </c>
      <c r="AD350" s="6">
        <f>IF(AO350="2",BF350,0)</f>
        <v>0</v>
      </c>
      <c r="AE350" s="6">
        <f>IF(AO350="2",BG350,0)</f>
        <v>0</v>
      </c>
      <c r="AF350" s="6">
        <f>IF(AO350="0",BH350,0)</f>
        <v>0</v>
      </c>
      <c r="AG350" s="13" t="s">
        <v>42</v>
      </c>
      <c r="AH350" s="6">
        <f>IF(AL350=0,K350,0)</f>
        <v>0</v>
      </c>
      <c r="AI350" s="6">
        <f>IF(AL350=12,K350,0)</f>
        <v>0</v>
      </c>
      <c r="AJ350" s="6">
        <f>IF(AL350=21,K350,0)</f>
        <v>0</v>
      </c>
      <c r="AL350" s="6">
        <v>21</v>
      </c>
      <c r="AM350" s="6">
        <f>H350*0</f>
        <v>0</v>
      </c>
      <c r="AN350" s="6">
        <f>H350*(1-0)</f>
        <v>0</v>
      </c>
      <c r="AO350" s="23" t="s">
        <v>164</v>
      </c>
      <c r="AT350" s="6">
        <f>AU350+AV350</f>
        <v>0</v>
      </c>
      <c r="AU350" s="6">
        <f>G350*AM350</f>
        <v>0</v>
      </c>
      <c r="AV350" s="6">
        <f>G350*AN350</f>
        <v>0</v>
      </c>
      <c r="AW350" s="23" t="s">
        <v>201</v>
      </c>
      <c r="AX350" s="23" t="s">
        <v>666</v>
      </c>
      <c r="AY350" s="13" t="s">
        <v>475</v>
      </c>
      <c r="BA350" s="6">
        <f>AU350+AV350</f>
        <v>0</v>
      </c>
      <c r="BB350" s="6">
        <f>H350/(100-BC350)*100</f>
        <v>0</v>
      </c>
      <c r="BC350" s="6">
        <v>0</v>
      </c>
      <c r="BD350" s="6">
        <f>M350</f>
        <v>0</v>
      </c>
      <c r="BF350" s="6">
        <f>G350*AM350</f>
        <v>0</v>
      </c>
      <c r="BG350" s="6">
        <f>G350*AN350</f>
        <v>0</v>
      </c>
      <c r="BH350" s="6">
        <f>G350*H350</f>
        <v>0</v>
      </c>
      <c r="BI350" s="6"/>
      <c r="BJ350" s="6">
        <v>99</v>
      </c>
      <c r="BU350" s="6" t="e">
        <f>#REF!</f>
        <v>#REF!</v>
      </c>
      <c r="BV350" s="3" t="s">
        <v>211</v>
      </c>
    </row>
    <row r="351" spans="1:74" ht="14.5" x14ac:dyDescent="0.35">
      <c r="A351" s="1" t="s">
        <v>670</v>
      </c>
      <c r="B351" s="2" t="s">
        <v>42</v>
      </c>
      <c r="C351" s="2" t="s">
        <v>213</v>
      </c>
      <c r="D351" s="138" t="s">
        <v>214</v>
      </c>
      <c r="E351" s="107"/>
      <c r="F351" s="37" t="s">
        <v>200</v>
      </c>
      <c r="G351" s="6">
        <v>0.44</v>
      </c>
      <c r="H351" s="147">
        <v>0</v>
      </c>
      <c r="I351" s="6">
        <f>G351*AM351</f>
        <v>0</v>
      </c>
      <c r="J351" s="6">
        <f>G351*AN351</f>
        <v>0</v>
      </c>
      <c r="K351" s="6">
        <f>G351*H351</f>
        <v>0</v>
      </c>
      <c r="L351" s="6">
        <v>0</v>
      </c>
      <c r="M351" s="6">
        <f>G351*L351</f>
        <v>0</v>
      </c>
      <c r="N351" s="86" t="s">
        <v>129</v>
      </c>
      <c r="X351" s="6">
        <f>IF(AO351="5",BH351,0)</f>
        <v>0</v>
      </c>
      <c r="Z351" s="6">
        <f>IF(AO351="1",BF351,0)</f>
        <v>0</v>
      </c>
      <c r="AA351" s="6">
        <f>IF(AO351="1",BG351,0)</f>
        <v>0</v>
      </c>
      <c r="AB351" s="6">
        <f>IF(AO351="7",BF351,0)</f>
        <v>0</v>
      </c>
      <c r="AC351" s="6">
        <f>IF(AO351="7",BG351,0)</f>
        <v>0</v>
      </c>
      <c r="AD351" s="6">
        <f>IF(AO351="2",BF351,0)</f>
        <v>0</v>
      </c>
      <c r="AE351" s="6">
        <f>IF(AO351="2",BG351,0)</f>
        <v>0</v>
      </c>
      <c r="AF351" s="6">
        <f>IF(AO351="0",BH351,0)</f>
        <v>0</v>
      </c>
      <c r="AG351" s="13" t="s">
        <v>42</v>
      </c>
      <c r="AH351" s="6">
        <f>IF(AL351=0,K351,0)</f>
        <v>0</v>
      </c>
      <c r="AI351" s="6">
        <f>IF(AL351=12,K351,0)</f>
        <v>0</v>
      </c>
      <c r="AJ351" s="6">
        <f>IF(AL351=21,K351,0)</f>
        <v>0</v>
      </c>
      <c r="AL351" s="6">
        <v>21</v>
      </c>
      <c r="AM351" s="6">
        <f>H351*0.011711457</f>
        <v>0</v>
      </c>
      <c r="AN351" s="6">
        <f>H351*(1-0.011711457)</f>
        <v>0</v>
      </c>
      <c r="AO351" s="23" t="s">
        <v>164</v>
      </c>
      <c r="AT351" s="6">
        <f>AU351+AV351</f>
        <v>0</v>
      </c>
      <c r="AU351" s="6">
        <f>G351*AM351</f>
        <v>0</v>
      </c>
      <c r="AV351" s="6">
        <f>G351*AN351</f>
        <v>0</v>
      </c>
      <c r="AW351" s="23" t="s">
        <v>201</v>
      </c>
      <c r="AX351" s="23" t="s">
        <v>666</v>
      </c>
      <c r="AY351" s="13" t="s">
        <v>475</v>
      </c>
      <c r="BA351" s="6">
        <f>AU351+AV351</f>
        <v>0</v>
      </c>
      <c r="BB351" s="6">
        <f>H351/(100-BC351)*100</f>
        <v>0</v>
      </c>
      <c r="BC351" s="6">
        <v>0</v>
      </c>
      <c r="BD351" s="6">
        <f>M351</f>
        <v>0</v>
      </c>
      <c r="BF351" s="6">
        <f>G351*AM351</f>
        <v>0</v>
      </c>
      <c r="BG351" s="6">
        <f>G351*AN351</f>
        <v>0</v>
      </c>
      <c r="BH351" s="6">
        <f>G351*H351</f>
        <v>0</v>
      </c>
      <c r="BI351" s="6"/>
      <c r="BJ351" s="6">
        <v>99</v>
      </c>
      <c r="BU351" s="6" t="e">
        <f>#REF!</f>
        <v>#REF!</v>
      </c>
      <c r="BV351" s="3" t="s">
        <v>214</v>
      </c>
    </row>
    <row r="352" spans="1:74" ht="14.5" x14ac:dyDescent="0.35">
      <c r="A352" s="1" t="s">
        <v>671</v>
      </c>
      <c r="B352" s="2" t="s">
        <v>42</v>
      </c>
      <c r="C352" s="2" t="s">
        <v>511</v>
      </c>
      <c r="D352" s="138" t="s">
        <v>672</v>
      </c>
      <c r="E352" s="107"/>
      <c r="F352" s="37" t="s">
        <v>200</v>
      </c>
      <c r="G352" s="6">
        <v>0</v>
      </c>
      <c r="H352" s="147">
        <v>0</v>
      </c>
      <c r="I352" s="6">
        <f>G352*AM352</f>
        <v>0</v>
      </c>
      <c r="J352" s="6">
        <f>G352*AN352</f>
        <v>0</v>
      </c>
      <c r="K352" s="6">
        <f>G352*H352</f>
        <v>0</v>
      </c>
      <c r="L352" s="6">
        <v>0</v>
      </c>
      <c r="M352" s="6">
        <f>G352*L352</f>
        <v>0</v>
      </c>
      <c r="N352" s="86" t="s">
        <v>129</v>
      </c>
      <c r="X352" s="6">
        <f>IF(AO352="5",BH352,0)</f>
        <v>0</v>
      </c>
      <c r="Z352" s="6">
        <f>IF(AO352="1",BF352,0)</f>
        <v>0</v>
      </c>
      <c r="AA352" s="6">
        <f>IF(AO352="1",BG352,0)</f>
        <v>0</v>
      </c>
      <c r="AB352" s="6">
        <f>IF(AO352="7",BF352,0)</f>
        <v>0</v>
      </c>
      <c r="AC352" s="6">
        <f>IF(AO352="7",BG352,0)</f>
        <v>0</v>
      </c>
      <c r="AD352" s="6">
        <f>IF(AO352="2",BF352,0)</f>
        <v>0</v>
      </c>
      <c r="AE352" s="6">
        <f>IF(AO352="2",BG352,0)</f>
        <v>0</v>
      </c>
      <c r="AF352" s="6">
        <f>IF(AO352="0",BH352,0)</f>
        <v>0</v>
      </c>
      <c r="AG352" s="13" t="s">
        <v>42</v>
      </c>
      <c r="AH352" s="6">
        <f>IF(AL352=0,K352,0)</f>
        <v>0</v>
      </c>
      <c r="AI352" s="6">
        <f>IF(AL352=12,K352,0)</f>
        <v>0</v>
      </c>
      <c r="AJ352" s="6">
        <f>IF(AL352=21,K352,0)</f>
        <v>0</v>
      </c>
      <c r="AL352" s="6">
        <v>21</v>
      </c>
      <c r="AM352" s="6">
        <f>H352*0</f>
        <v>0</v>
      </c>
      <c r="AN352" s="6">
        <f>H352*(1-0)</f>
        <v>0</v>
      </c>
      <c r="AO352" s="23" t="s">
        <v>164</v>
      </c>
      <c r="AT352" s="6">
        <f>AU352+AV352</f>
        <v>0</v>
      </c>
      <c r="AU352" s="6">
        <f>G352*AM352</f>
        <v>0</v>
      </c>
      <c r="AV352" s="6">
        <f>G352*AN352</f>
        <v>0</v>
      </c>
      <c r="AW352" s="23" t="s">
        <v>201</v>
      </c>
      <c r="AX352" s="23" t="s">
        <v>666</v>
      </c>
      <c r="AY352" s="13" t="s">
        <v>475</v>
      </c>
      <c r="BA352" s="6">
        <f>AU352+AV352</f>
        <v>0</v>
      </c>
      <c r="BB352" s="6">
        <f>H352/(100-BC352)*100</f>
        <v>0</v>
      </c>
      <c r="BC352" s="6">
        <v>0</v>
      </c>
      <c r="BD352" s="6">
        <f>M352</f>
        <v>0</v>
      </c>
      <c r="BF352" s="6">
        <f>G352*AM352</f>
        <v>0</v>
      </c>
      <c r="BG352" s="6">
        <f>G352*AN352</f>
        <v>0</v>
      </c>
      <c r="BH352" s="6">
        <f>G352*H352</f>
        <v>0</v>
      </c>
      <c r="BI352" s="6"/>
      <c r="BJ352" s="6">
        <v>99</v>
      </c>
      <c r="BU352" s="6" t="e">
        <f>#REF!</f>
        <v>#REF!</v>
      </c>
      <c r="BV352" s="3" t="s">
        <v>672</v>
      </c>
    </row>
    <row r="353" spans="1:74" ht="14.5" x14ac:dyDescent="0.35">
      <c r="A353" s="1" t="s">
        <v>673</v>
      </c>
      <c r="B353" s="2" t="s">
        <v>42</v>
      </c>
      <c r="C353" s="2" t="s">
        <v>219</v>
      </c>
      <c r="D353" s="138" t="s">
        <v>220</v>
      </c>
      <c r="E353" s="107"/>
      <c r="F353" s="37" t="s">
        <v>200</v>
      </c>
      <c r="G353" s="6">
        <v>0.44</v>
      </c>
      <c r="H353" s="147">
        <v>0</v>
      </c>
      <c r="I353" s="6">
        <f>G353*AM353</f>
        <v>0</v>
      </c>
      <c r="J353" s="6">
        <f>G353*AN353</f>
        <v>0</v>
      </c>
      <c r="K353" s="6">
        <f>G353*H353</f>
        <v>0</v>
      </c>
      <c r="L353" s="6">
        <v>0</v>
      </c>
      <c r="M353" s="6">
        <f>G353*L353</f>
        <v>0</v>
      </c>
      <c r="N353" s="86" t="s">
        <v>129</v>
      </c>
      <c r="X353" s="6">
        <f>IF(AO353="5",BH353,0)</f>
        <v>0</v>
      </c>
      <c r="Z353" s="6">
        <f>IF(AO353="1",BF353,0)</f>
        <v>0</v>
      </c>
      <c r="AA353" s="6">
        <f>IF(AO353="1",BG353,0)</f>
        <v>0</v>
      </c>
      <c r="AB353" s="6">
        <f>IF(AO353="7",BF353,0)</f>
        <v>0</v>
      </c>
      <c r="AC353" s="6">
        <f>IF(AO353="7",BG353,0)</f>
        <v>0</v>
      </c>
      <c r="AD353" s="6">
        <f>IF(AO353="2",BF353,0)</f>
        <v>0</v>
      </c>
      <c r="AE353" s="6">
        <f>IF(AO353="2",BG353,0)</f>
        <v>0</v>
      </c>
      <c r="AF353" s="6">
        <f>IF(AO353="0",BH353,0)</f>
        <v>0</v>
      </c>
      <c r="AG353" s="13" t="s">
        <v>42</v>
      </c>
      <c r="AH353" s="6">
        <f>IF(AL353=0,K353,0)</f>
        <v>0</v>
      </c>
      <c r="AI353" s="6">
        <f>IF(AL353=12,K353,0)</f>
        <v>0</v>
      </c>
      <c r="AJ353" s="6">
        <f>IF(AL353=21,K353,0)</f>
        <v>0</v>
      </c>
      <c r="AL353" s="6">
        <v>21</v>
      </c>
      <c r="AM353" s="6">
        <f>H353*0</f>
        <v>0</v>
      </c>
      <c r="AN353" s="6">
        <f>H353*(1-0)</f>
        <v>0</v>
      </c>
      <c r="AO353" s="23" t="s">
        <v>164</v>
      </c>
      <c r="AT353" s="6">
        <f>AU353+AV353</f>
        <v>0</v>
      </c>
      <c r="AU353" s="6">
        <f>G353*AM353</f>
        <v>0</v>
      </c>
      <c r="AV353" s="6">
        <f>G353*AN353</f>
        <v>0</v>
      </c>
      <c r="AW353" s="23" t="s">
        <v>201</v>
      </c>
      <c r="AX353" s="23" t="s">
        <v>666</v>
      </c>
      <c r="AY353" s="13" t="s">
        <v>475</v>
      </c>
      <c r="BA353" s="6">
        <f>AU353+AV353</f>
        <v>0</v>
      </c>
      <c r="BB353" s="6">
        <f>H353/(100-BC353)*100</f>
        <v>0</v>
      </c>
      <c r="BC353" s="6">
        <v>0</v>
      </c>
      <c r="BD353" s="6">
        <f>M353</f>
        <v>0</v>
      </c>
      <c r="BF353" s="6">
        <f>G353*AM353</f>
        <v>0</v>
      </c>
      <c r="BG353" s="6">
        <f>G353*AN353</f>
        <v>0</v>
      </c>
      <c r="BH353" s="6">
        <f>G353*H353</f>
        <v>0</v>
      </c>
      <c r="BI353" s="6"/>
      <c r="BJ353" s="6">
        <v>99</v>
      </c>
      <c r="BU353" s="6" t="e">
        <f>#REF!</f>
        <v>#REF!</v>
      </c>
      <c r="BV353" s="3" t="s">
        <v>220</v>
      </c>
    </row>
    <row r="354" spans="1:74" ht="14.5" x14ac:dyDescent="0.35">
      <c r="A354" s="20" t="s">
        <v>22</v>
      </c>
      <c r="B354" s="21" t="s">
        <v>42</v>
      </c>
      <c r="C354" s="21" t="s">
        <v>32</v>
      </c>
      <c r="D354" s="133" t="s">
        <v>33</v>
      </c>
      <c r="E354" s="134"/>
      <c r="F354" s="91" t="s">
        <v>12</v>
      </c>
      <c r="G354" s="22" t="s">
        <v>12</v>
      </c>
      <c r="H354" s="22" t="s">
        <v>12</v>
      </c>
      <c r="I354" s="12">
        <f>SUM(I355:I388)</f>
        <v>0</v>
      </c>
      <c r="J354" s="12">
        <f>SUM(J355:J388)</f>
        <v>0</v>
      </c>
      <c r="K354" s="12">
        <f>SUM(K355:K388)</f>
        <v>0</v>
      </c>
      <c r="L354" s="13" t="s">
        <v>22</v>
      </c>
      <c r="M354" s="12">
        <f>SUM(M355:M388)</f>
        <v>0.45421600000000001</v>
      </c>
      <c r="N354" s="85" t="s">
        <v>22</v>
      </c>
      <c r="AG354" s="13" t="s">
        <v>42</v>
      </c>
      <c r="AQ354" s="12">
        <f>SUM(AH355:AH388)</f>
        <v>0</v>
      </c>
      <c r="AR354" s="12">
        <f>SUM(AI355:AI388)</f>
        <v>0</v>
      </c>
      <c r="AS354" s="12">
        <f>SUM(AJ355:AJ388)</f>
        <v>0</v>
      </c>
    </row>
    <row r="355" spans="1:74" ht="14.5" x14ac:dyDescent="0.35">
      <c r="A355" s="1" t="s">
        <v>674</v>
      </c>
      <c r="B355" s="2" t="s">
        <v>42</v>
      </c>
      <c r="C355" s="2" t="s">
        <v>675</v>
      </c>
      <c r="D355" s="138" t="s">
        <v>676</v>
      </c>
      <c r="E355" s="107"/>
      <c r="F355" s="37" t="s">
        <v>100</v>
      </c>
      <c r="G355" s="6">
        <v>18.03</v>
      </c>
      <c r="H355" s="147">
        <v>0</v>
      </c>
      <c r="I355" s="6">
        <f>G355*AM355</f>
        <v>0</v>
      </c>
      <c r="J355" s="6">
        <f>G355*AN355</f>
        <v>0</v>
      </c>
      <c r="K355" s="6">
        <f>G355*H355</f>
        <v>0</v>
      </c>
      <c r="L355" s="6">
        <v>1.6000000000000001E-3</v>
      </c>
      <c r="M355" s="6">
        <f>G355*L355</f>
        <v>2.8848000000000002E-2</v>
      </c>
      <c r="N355" s="86" t="s">
        <v>129</v>
      </c>
      <c r="X355" s="6">
        <f>IF(AO355="5",BH355,0)</f>
        <v>0</v>
      </c>
      <c r="Z355" s="6">
        <f>IF(AO355="1",BF355,0)</f>
        <v>0</v>
      </c>
      <c r="AA355" s="6">
        <f>IF(AO355="1",BG355,0)</f>
        <v>0</v>
      </c>
      <c r="AB355" s="6">
        <f>IF(AO355="7",BF355,0)</f>
        <v>0</v>
      </c>
      <c r="AC355" s="6">
        <f>IF(AO355="7",BG355,0)</f>
        <v>0</v>
      </c>
      <c r="AD355" s="6">
        <f>IF(AO355="2",BF355,0)</f>
        <v>0</v>
      </c>
      <c r="AE355" s="6">
        <f>IF(AO355="2",BG355,0)</f>
        <v>0</v>
      </c>
      <c r="AF355" s="6">
        <f>IF(AO355="0",BH355,0)</f>
        <v>0</v>
      </c>
      <c r="AG355" s="13" t="s">
        <v>42</v>
      </c>
      <c r="AH355" s="6">
        <f>IF(AL355=0,K355,0)</f>
        <v>0</v>
      </c>
      <c r="AI355" s="6">
        <f>IF(AL355=12,K355,0)</f>
        <v>0</v>
      </c>
      <c r="AJ355" s="6">
        <f>IF(AL355=21,K355,0)</f>
        <v>0</v>
      </c>
      <c r="AL355" s="6">
        <v>21</v>
      </c>
      <c r="AM355" s="6">
        <f>H355*0.753482659</f>
        <v>0</v>
      </c>
      <c r="AN355" s="6">
        <f>H355*(1-0.753482659)</f>
        <v>0</v>
      </c>
      <c r="AO355" s="23" t="s">
        <v>174</v>
      </c>
      <c r="AT355" s="6">
        <f>AU355+AV355</f>
        <v>0</v>
      </c>
      <c r="AU355" s="6">
        <f>G355*AM355</f>
        <v>0</v>
      </c>
      <c r="AV355" s="6">
        <f>G355*AN355</f>
        <v>0</v>
      </c>
      <c r="AW355" s="23" t="s">
        <v>224</v>
      </c>
      <c r="AX355" s="23" t="s">
        <v>677</v>
      </c>
      <c r="AY355" s="13" t="s">
        <v>475</v>
      </c>
      <c r="BA355" s="6">
        <f>AU355+AV355</f>
        <v>0</v>
      </c>
      <c r="BB355" s="6">
        <f>H355/(100-BC355)*100</f>
        <v>0</v>
      </c>
      <c r="BC355" s="6">
        <v>0</v>
      </c>
      <c r="BD355" s="6">
        <f>M355</f>
        <v>2.8848000000000002E-2</v>
      </c>
      <c r="BF355" s="6">
        <f>G355*AM355</f>
        <v>0</v>
      </c>
      <c r="BG355" s="6">
        <f>G355*AN355</f>
        <v>0</v>
      </c>
      <c r="BH355" s="6">
        <f>G355*H355</f>
        <v>0</v>
      </c>
      <c r="BI355" s="6"/>
      <c r="BJ355" s="6">
        <v>764</v>
      </c>
      <c r="BU355" s="6" t="e">
        <f>#REF!</f>
        <v>#REF!</v>
      </c>
      <c r="BV355" s="3" t="s">
        <v>676</v>
      </c>
    </row>
    <row r="356" spans="1:74" ht="14.5" x14ac:dyDescent="0.35">
      <c r="A356" s="24"/>
      <c r="D356" s="25" t="s">
        <v>678</v>
      </c>
      <c r="E356" s="26" t="s">
        <v>679</v>
      </c>
      <c r="G356" s="27">
        <v>1.68</v>
      </c>
      <c r="N356" s="87"/>
    </row>
    <row r="357" spans="1:74" ht="14.5" x14ac:dyDescent="0.35">
      <c r="A357" s="24"/>
      <c r="D357" s="25" t="s">
        <v>680</v>
      </c>
      <c r="E357" s="26" t="s">
        <v>681</v>
      </c>
      <c r="G357" s="27">
        <v>5.04</v>
      </c>
      <c r="N357" s="87"/>
    </row>
    <row r="358" spans="1:74" ht="14.5" x14ac:dyDescent="0.35">
      <c r="A358" s="24"/>
      <c r="D358" s="25" t="s">
        <v>682</v>
      </c>
      <c r="E358" s="26" t="s">
        <v>683</v>
      </c>
      <c r="G358" s="27">
        <v>0.72</v>
      </c>
      <c r="N358" s="87"/>
    </row>
    <row r="359" spans="1:74" ht="14.5" x14ac:dyDescent="0.35">
      <c r="A359" s="24"/>
      <c r="D359" s="25" t="s">
        <v>684</v>
      </c>
      <c r="E359" s="26" t="s">
        <v>685</v>
      </c>
      <c r="G359" s="27">
        <v>0.74</v>
      </c>
      <c r="N359" s="87"/>
    </row>
    <row r="360" spans="1:74" ht="14.5" x14ac:dyDescent="0.35">
      <c r="A360" s="24"/>
      <c r="D360" s="25" t="s">
        <v>686</v>
      </c>
      <c r="E360" s="26" t="s">
        <v>687</v>
      </c>
      <c r="G360" s="27">
        <v>2.06</v>
      </c>
      <c r="N360" s="87"/>
    </row>
    <row r="361" spans="1:74" ht="14.5" x14ac:dyDescent="0.35">
      <c r="A361" s="24"/>
      <c r="D361" s="25" t="s">
        <v>688</v>
      </c>
      <c r="E361" s="26" t="s">
        <v>689</v>
      </c>
      <c r="G361" s="27">
        <v>2.2599999999999998</v>
      </c>
      <c r="N361" s="87"/>
    </row>
    <row r="362" spans="1:74" ht="14.5" x14ac:dyDescent="0.35">
      <c r="A362" s="24"/>
      <c r="D362" s="25" t="s">
        <v>690</v>
      </c>
      <c r="E362" s="26" t="s">
        <v>691</v>
      </c>
      <c r="G362" s="27">
        <v>1.06</v>
      </c>
      <c r="N362" s="87"/>
    </row>
    <row r="363" spans="1:74" ht="14.5" x14ac:dyDescent="0.35">
      <c r="A363" s="24"/>
      <c r="D363" s="25" t="s">
        <v>692</v>
      </c>
      <c r="E363" s="26" t="s">
        <v>693</v>
      </c>
      <c r="G363" s="27">
        <v>1.76</v>
      </c>
      <c r="N363" s="87"/>
    </row>
    <row r="364" spans="1:74" ht="14.5" x14ac:dyDescent="0.35">
      <c r="A364" s="24"/>
      <c r="D364" s="25" t="s">
        <v>694</v>
      </c>
      <c r="E364" s="26" t="s">
        <v>695</v>
      </c>
      <c r="G364" s="27">
        <v>1.1299999999999999</v>
      </c>
      <c r="N364" s="87"/>
    </row>
    <row r="365" spans="1:74" ht="14.5" x14ac:dyDescent="0.35">
      <c r="A365" s="24"/>
      <c r="D365" s="25" t="s">
        <v>696</v>
      </c>
      <c r="E365" s="26" t="s">
        <v>697</v>
      </c>
      <c r="G365" s="27">
        <v>1.58</v>
      </c>
      <c r="N365" s="87"/>
    </row>
    <row r="366" spans="1:74" ht="14.5" x14ac:dyDescent="0.35">
      <c r="A366" s="1" t="s">
        <v>698</v>
      </c>
      <c r="B366" s="2" t="s">
        <v>42</v>
      </c>
      <c r="C366" s="2" t="s">
        <v>699</v>
      </c>
      <c r="D366" s="138" t="s">
        <v>700</v>
      </c>
      <c r="E366" s="107"/>
      <c r="F366" s="37" t="s">
        <v>259</v>
      </c>
      <c r="G366" s="6">
        <v>20</v>
      </c>
      <c r="H366" s="147">
        <v>0</v>
      </c>
      <c r="I366" s="6">
        <f>G366*AM366</f>
        <v>0</v>
      </c>
      <c r="J366" s="6">
        <f>G366*AN366</f>
        <v>0</v>
      </c>
      <c r="K366" s="6">
        <f>G366*H366</f>
        <v>0</v>
      </c>
      <c r="L366" s="6">
        <v>0</v>
      </c>
      <c r="M366" s="6">
        <f>G366*L366</f>
        <v>0</v>
      </c>
      <c r="N366" s="86" t="s">
        <v>129</v>
      </c>
      <c r="X366" s="6">
        <f>IF(AO366="5",BH366,0)</f>
        <v>0</v>
      </c>
      <c r="Z366" s="6">
        <f>IF(AO366="1",BF366,0)</f>
        <v>0</v>
      </c>
      <c r="AA366" s="6">
        <f>IF(AO366="1",BG366,0)</f>
        <v>0</v>
      </c>
      <c r="AB366" s="6">
        <f>IF(AO366="7",BF366,0)</f>
        <v>0</v>
      </c>
      <c r="AC366" s="6">
        <f>IF(AO366="7",BG366,0)</f>
        <v>0</v>
      </c>
      <c r="AD366" s="6">
        <f>IF(AO366="2",BF366,0)</f>
        <v>0</v>
      </c>
      <c r="AE366" s="6">
        <f>IF(AO366="2",BG366,0)</f>
        <v>0</v>
      </c>
      <c r="AF366" s="6">
        <f>IF(AO366="0",BH366,0)</f>
        <v>0</v>
      </c>
      <c r="AG366" s="13" t="s">
        <v>42</v>
      </c>
      <c r="AH366" s="6">
        <f>IF(AL366=0,K366,0)</f>
        <v>0</v>
      </c>
      <c r="AI366" s="6">
        <f>IF(AL366=12,K366,0)</f>
        <v>0</v>
      </c>
      <c r="AJ366" s="6">
        <f>IF(AL366=21,K366,0)</f>
        <v>0</v>
      </c>
      <c r="AL366" s="6">
        <v>21</v>
      </c>
      <c r="AM366" s="6">
        <f>H366*0.984204012</f>
        <v>0</v>
      </c>
      <c r="AN366" s="6">
        <f>H366*(1-0.984204012)</f>
        <v>0</v>
      </c>
      <c r="AO366" s="23" t="s">
        <v>174</v>
      </c>
      <c r="AT366" s="6">
        <f>AU366+AV366</f>
        <v>0</v>
      </c>
      <c r="AU366" s="6">
        <f>G366*AM366</f>
        <v>0</v>
      </c>
      <c r="AV366" s="6">
        <f>G366*AN366</f>
        <v>0</v>
      </c>
      <c r="AW366" s="23" t="s">
        <v>224</v>
      </c>
      <c r="AX366" s="23" t="s">
        <v>677</v>
      </c>
      <c r="AY366" s="13" t="s">
        <v>475</v>
      </c>
      <c r="BA366" s="6">
        <f>AU366+AV366</f>
        <v>0</v>
      </c>
      <c r="BB366" s="6">
        <f>H366/(100-BC366)*100</f>
        <v>0</v>
      </c>
      <c r="BC366" s="6">
        <v>0</v>
      </c>
      <c r="BD366" s="6">
        <f>M366</f>
        <v>0</v>
      </c>
      <c r="BF366" s="6">
        <f>G366*AM366</f>
        <v>0</v>
      </c>
      <c r="BG366" s="6">
        <f>G366*AN366</f>
        <v>0</v>
      </c>
      <c r="BH366" s="6">
        <f>G366*H366</f>
        <v>0</v>
      </c>
      <c r="BI366" s="6"/>
      <c r="BJ366" s="6">
        <v>764</v>
      </c>
      <c r="BU366" s="6" t="e">
        <f>#REF!</f>
        <v>#REF!</v>
      </c>
      <c r="BV366" s="3" t="s">
        <v>700</v>
      </c>
    </row>
    <row r="367" spans="1:74" ht="14.5" x14ac:dyDescent="0.35">
      <c r="A367" s="24"/>
      <c r="D367" s="25" t="s">
        <v>701</v>
      </c>
      <c r="E367" s="26" t="s">
        <v>702</v>
      </c>
      <c r="G367" s="27">
        <v>20</v>
      </c>
      <c r="N367" s="87"/>
    </row>
    <row r="368" spans="1:74" ht="14.5" x14ac:dyDescent="0.35">
      <c r="A368" s="1" t="s">
        <v>703</v>
      </c>
      <c r="B368" s="2" t="s">
        <v>42</v>
      </c>
      <c r="C368" s="2" t="s">
        <v>704</v>
      </c>
      <c r="D368" s="138" t="s">
        <v>705</v>
      </c>
      <c r="E368" s="107"/>
      <c r="F368" s="37" t="s">
        <v>259</v>
      </c>
      <c r="G368" s="6">
        <v>2</v>
      </c>
      <c r="H368" s="147">
        <v>0</v>
      </c>
      <c r="I368" s="6">
        <f>G368*AM368</f>
        <v>0</v>
      </c>
      <c r="J368" s="6">
        <f>G368*AN368</f>
        <v>0</v>
      </c>
      <c r="K368" s="6">
        <f>G368*H368</f>
        <v>0</v>
      </c>
      <c r="L368" s="6">
        <v>0</v>
      </c>
      <c r="M368" s="6">
        <f>G368*L368</f>
        <v>0</v>
      </c>
      <c r="N368" s="86" t="s">
        <v>129</v>
      </c>
      <c r="X368" s="6">
        <f>IF(AO368="5",BH368,0)</f>
        <v>0</v>
      </c>
      <c r="Z368" s="6">
        <f>IF(AO368="1",BF368,0)</f>
        <v>0</v>
      </c>
      <c r="AA368" s="6">
        <f>IF(AO368="1",BG368,0)</f>
        <v>0</v>
      </c>
      <c r="AB368" s="6">
        <f>IF(AO368="7",BF368,0)</f>
        <v>0</v>
      </c>
      <c r="AC368" s="6">
        <f>IF(AO368="7",BG368,0)</f>
        <v>0</v>
      </c>
      <c r="AD368" s="6">
        <f>IF(AO368="2",BF368,0)</f>
        <v>0</v>
      </c>
      <c r="AE368" s="6">
        <f>IF(AO368="2",BG368,0)</f>
        <v>0</v>
      </c>
      <c r="AF368" s="6">
        <f>IF(AO368="0",BH368,0)</f>
        <v>0</v>
      </c>
      <c r="AG368" s="13" t="s">
        <v>42</v>
      </c>
      <c r="AH368" s="6">
        <f>IF(AL368=0,K368,0)</f>
        <v>0</v>
      </c>
      <c r="AI368" s="6">
        <f>IF(AL368=12,K368,0)</f>
        <v>0</v>
      </c>
      <c r="AJ368" s="6">
        <f>IF(AL368=21,K368,0)</f>
        <v>0</v>
      </c>
      <c r="AL368" s="6">
        <v>21</v>
      </c>
      <c r="AM368" s="6">
        <f>H368*0.819502688</f>
        <v>0</v>
      </c>
      <c r="AN368" s="6">
        <f>H368*(1-0.819502688)</f>
        <v>0</v>
      </c>
      <c r="AO368" s="23" t="s">
        <v>174</v>
      </c>
      <c r="AT368" s="6">
        <f>AU368+AV368</f>
        <v>0</v>
      </c>
      <c r="AU368" s="6">
        <f>G368*AM368</f>
        <v>0</v>
      </c>
      <c r="AV368" s="6">
        <f>G368*AN368</f>
        <v>0</v>
      </c>
      <c r="AW368" s="23" t="s">
        <v>224</v>
      </c>
      <c r="AX368" s="23" t="s">
        <v>677</v>
      </c>
      <c r="AY368" s="13" t="s">
        <v>475</v>
      </c>
      <c r="BA368" s="6">
        <f>AU368+AV368</f>
        <v>0</v>
      </c>
      <c r="BB368" s="6">
        <f>H368/(100-BC368)*100</f>
        <v>0</v>
      </c>
      <c r="BC368" s="6">
        <v>0</v>
      </c>
      <c r="BD368" s="6">
        <f>M368</f>
        <v>0</v>
      </c>
      <c r="BF368" s="6">
        <f>G368*AM368</f>
        <v>0</v>
      </c>
      <c r="BG368" s="6">
        <f>G368*AN368</f>
        <v>0</v>
      </c>
      <c r="BH368" s="6">
        <f>G368*H368</f>
        <v>0</v>
      </c>
      <c r="BI368" s="6"/>
      <c r="BJ368" s="6">
        <v>764</v>
      </c>
      <c r="BU368" s="6" t="e">
        <f>#REF!</f>
        <v>#REF!</v>
      </c>
      <c r="BV368" s="3" t="s">
        <v>705</v>
      </c>
    </row>
    <row r="369" spans="1:74" ht="14.5" x14ac:dyDescent="0.35">
      <c r="A369" s="24"/>
      <c r="D369" s="25" t="s">
        <v>126</v>
      </c>
      <c r="E369" s="26" t="s">
        <v>706</v>
      </c>
      <c r="G369" s="27">
        <v>2</v>
      </c>
      <c r="N369" s="87"/>
    </row>
    <row r="370" spans="1:74" ht="14.5" x14ac:dyDescent="0.35">
      <c r="A370" s="1" t="s">
        <v>707</v>
      </c>
      <c r="B370" s="2" t="s">
        <v>42</v>
      </c>
      <c r="C370" s="2" t="s">
        <v>708</v>
      </c>
      <c r="D370" s="138" t="s">
        <v>709</v>
      </c>
      <c r="E370" s="107"/>
      <c r="F370" s="37" t="s">
        <v>100</v>
      </c>
      <c r="G370" s="6">
        <v>4.8499999999999996</v>
      </c>
      <c r="H370" s="147">
        <v>0</v>
      </c>
      <c r="I370" s="6">
        <f>G370*AM370</f>
        <v>0</v>
      </c>
      <c r="J370" s="6">
        <f>G370*AN370</f>
        <v>0</v>
      </c>
      <c r="K370" s="6">
        <f>G370*H370</f>
        <v>0</v>
      </c>
      <c r="L370" s="6">
        <v>1.6000000000000001E-3</v>
      </c>
      <c r="M370" s="6">
        <f>G370*L370</f>
        <v>7.7599999999999995E-3</v>
      </c>
      <c r="N370" s="86" t="s">
        <v>102</v>
      </c>
      <c r="X370" s="6">
        <f>IF(AO370="5",BH370,0)</f>
        <v>0</v>
      </c>
      <c r="Z370" s="6">
        <f>IF(AO370="1",BF370,0)</f>
        <v>0</v>
      </c>
      <c r="AA370" s="6">
        <f>IF(AO370="1",BG370,0)</f>
        <v>0</v>
      </c>
      <c r="AB370" s="6">
        <f>IF(AO370="7",BF370,0)</f>
        <v>0</v>
      </c>
      <c r="AC370" s="6">
        <f>IF(AO370="7",BG370,0)</f>
        <v>0</v>
      </c>
      <c r="AD370" s="6">
        <f>IF(AO370="2",BF370,0)</f>
        <v>0</v>
      </c>
      <c r="AE370" s="6">
        <f>IF(AO370="2",BG370,0)</f>
        <v>0</v>
      </c>
      <c r="AF370" s="6">
        <f>IF(AO370="0",BH370,0)</f>
        <v>0</v>
      </c>
      <c r="AG370" s="13" t="s">
        <v>42</v>
      </c>
      <c r="AH370" s="6">
        <f>IF(AL370=0,K370,0)</f>
        <v>0</v>
      </c>
      <c r="AI370" s="6">
        <f>IF(AL370=12,K370,0)</f>
        <v>0</v>
      </c>
      <c r="AJ370" s="6">
        <f>IF(AL370=21,K370,0)</f>
        <v>0</v>
      </c>
      <c r="AL370" s="6">
        <v>21</v>
      </c>
      <c r="AM370" s="6">
        <f>H370*0.753475</f>
        <v>0</v>
      </c>
      <c r="AN370" s="6">
        <f>H370*(1-0.753475)</f>
        <v>0</v>
      </c>
      <c r="AO370" s="23" t="s">
        <v>174</v>
      </c>
      <c r="AT370" s="6">
        <f>AU370+AV370</f>
        <v>0</v>
      </c>
      <c r="AU370" s="6">
        <f>G370*AM370</f>
        <v>0</v>
      </c>
      <c r="AV370" s="6">
        <f>G370*AN370</f>
        <v>0</v>
      </c>
      <c r="AW370" s="23" t="s">
        <v>224</v>
      </c>
      <c r="AX370" s="23" t="s">
        <v>677</v>
      </c>
      <c r="AY370" s="13" t="s">
        <v>475</v>
      </c>
      <c r="BA370" s="6">
        <f>AU370+AV370</f>
        <v>0</v>
      </c>
      <c r="BB370" s="6">
        <f>H370/(100-BC370)*100</f>
        <v>0</v>
      </c>
      <c r="BC370" s="6">
        <v>0</v>
      </c>
      <c r="BD370" s="6">
        <f>M370</f>
        <v>7.7599999999999995E-3</v>
      </c>
      <c r="BF370" s="6">
        <f>G370*AM370</f>
        <v>0</v>
      </c>
      <c r="BG370" s="6">
        <f>G370*AN370</f>
        <v>0</v>
      </c>
      <c r="BH370" s="6">
        <f>G370*H370</f>
        <v>0</v>
      </c>
      <c r="BI370" s="6"/>
      <c r="BJ370" s="6">
        <v>764</v>
      </c>
      <c r="BU370" s="6" t="e">
        <f>#REF!</f>
        <v>#REF!</v>
      </c>
      <c r="BV370" s="3" t="s">
        <v>709</v>
      </c>
    </row>
    <row r="371" spans="1:74" ht="14.5" x14ac:dyDescent="0.35">
      <c r="A371" s="24"/>
      <c r="D371" s="25" t="s">
        <v>710</v>
      </c>
      <c r="E371" s="26" t="s">
        <v>711</v>
      </c>
      <c r="G371" s="27">
        <v>4.8499999999999996</v>
      </c>
      <c r="N371" s="87"/>
    </row>
    <row r="372" spans="1:74" ht="14.5" x14ac:dyDescent="0.35">
      <c r="A372" s="1" t="s">
        <v>712</v>
      </c>
      <c r="B372" s="2" t="s">
        <v>42</v>
      </c>
      <c r="C372" s="2" t="s">
        <v>713</v>
      </c>
      <c r="D372" s="138" t="s">
        <v>714</v>
      </c>
      <c r="E372" s="107"/>
      <c r="F372" s="37" t="s">
        <v>100</v>
      </c>
      <c r="G372" s="6">
        <v>1.23</v>
      </c>
      <c r="H372" s="147">
        <v>0</v>
      </c>
      <c r="I372" s="6">
        <f>G372*AM372</f>
        <v>0</v>
      </c>
      <c r="J372" s="6">
        <f>G372*AN372</f>
        <v>0</v>
      </c>
      <c r="K372" s="6">
        <f>G372*H372</f>
        <v>0</v>
      </c>
      <c r="L372" s="6">
        <v>1.6000000000000001E-3</v>
      </c>
      <c r="M372" s="6">
        <f>G372*L372</f>
        <v>1.9680000000000001E-3</v>
      </c>
      <c r="N372" s="86" t="s">
        <v>102</v>
      </c>
      <c r="X372" s="6">
        <f>IF(AO372="5",BH372,0)</f>
        <v>0</v>
      </c>
      <c r="Z372" s="6">
        <f>IF(AO372="1",BF372,0)</f>
        <v>0</v>
      </c>
      <c r="AA372" s="6">
        <f>IF(AO372="1",BG372,0)</f>
        <v>0</v>
      </c>
      <c r="AB372" s="6">
        <f>IF(AO372="7",BF372,0)</f>
        <v>0</v>
      </c>
      <c r="AC372" s="6">
        <f>IF(AO372="7",BG372,0)</f>
        <v>0</v>
      </c>
      <c r="AD372" s="6">
        <f>IF(AO372="2",BF372,0)</f>
        <v>0</v>
      </c>
      <c r="AE372" s="6">
        <f>IF(AO372="2",BG372,0)</f>
        <v>0</v>
      </c>
      <c r="AF372" s="6">
        <f>IF(AO372="0",BH372,0)</f>
        <v>0</v>
      </c>
      <c r="AG372" s="13" t="s">
        <v>42</v>
      </c>
      <c r="AH372" s="6">
        <f>IF(AL372=0,K372,0)</f>
        <v>0</v>
      </c>
      <c r="AI372" s="6">
        <f>IF(AL372=12,K372,0)</f>
        <v>0</v>
      </c>
      <c r="AJ372" s="6">
        <f>IF(AL372=21,K372,0)</f>
        <v>0</v>
      </c>
      <c r="AL372" s="6">
        <v>21</v>
      </c>
      <c r="AM372" s="6">
        <f>H372*0.753485714</f>
        <v>0</v>
      </c>
      <c r="AN372" s="6">
        <f>H372*(1-0.753485714)</f>
        <v>0</v>
      </c>
      <c r="AO372" s="23" t="s">
        <v>174</v>
      </c>
      <c r="AT372" s="6">
        <f>AU372+AV372</f>
        <v>0</v>
      </c>
      <c r="AU372" s="6">
        <f>G372*AM372</f>
        <v>0</v>
      </c>
      <c r="AV372" s="6">
        <f>G372*AN372</f>
        <v>0</v>
      </c>
      <c r="AW372" s="23" t="s">
        <v>224</v>
      </c>
      <c r="AX372" s="23" t="s">
        <v>677</v>
      </c>
      <c r="AY372" s="13" t="s">
        <v>475</v>
      </c>
      <c r="BA372" s="6">
        <f>AU372+AV372</f>
        <v>0</v>
      </c>
      <c r="BB372" s="6">
        <f>H372/(100-BC372)*100</f>
        <v>0</v>
      </c>
      <c r="BC372" s="6">
        <v>0</v>
      </c>
      <c r="BD372" s="6">
        <f>M372</f>
        <v>1.9680000000000001E-3</v>
      </c>
      <c r="BF372" s="6">
        <f>G372*AM372</f>
        <v>0</v>
      </c>
      <c r="BG372" s="6">
        <f>G372*AN372</f>
        <v>0</v>
      </c>
      <c r="BH372" s="6">
        <f>G372*H372</f>
        <v>0</v>
      </c>
      <c r="BI372" s="6"/>
      <c r="BJ372" s="6">
        <v>764</v>
      </c>
      <c r="BU372" s="6" t="e">
        <f>#REF!</f>
        <v>#REF!</v>
      </c>
      <c r="BV372" s="3" t="s">
        <v>714</v>
      </c>
    </row>
    <row r="373" spans="1:74" ht="14.5" x14ac:dyDescent="0.35">
      <c r="A373" s="24"/>
      <c r="D373" s="25" t="s">
        <v>715</v>
      </c>
      <c r="E373" s="26" t="s">
        <v>716</v>
      </c>
      <c r="G373" s="27">
        <v>1.23</v>
      </c>
      <c r="N373" s="87"/>
    </row>
    <row r="374" spans="1:74" ht="14.5" x14ac:dyDescent="0.35">
      <c r="A374" s="1" t="s">
        <v>717</v>
      </c>
      <c r="B374" s="2" t="s">
        <v>42</v>
      </c>
      <c r="C374" s="2" t="s">
        <v>718</v>
      </c>
      <c r="D374" s="138" t="s">
        <v>719</v>
      </c>
      <c r="E374" s="107"/>
      <c r="F374" s="37" t="s">
        <v>100</v>
      </c>
      <c r="G374" s="6">
        <v>0.66</v>
      </c>
      <c r="H374" s="147">
        <v>0</v>
      </c>
      <c r="I374" s="6">
        <f>G374*AM374</f>
        <v>0</v>
      </c>
      <c r="J374" s="6">
        <f>G374*AN374</f>
        <v>0</v>
      </c>
      <c r="K374" s="6">
        <f>G374*H374</f>
        <v>0</v>
      </c>
      <c r="L374" s="6">
        <v>1.6000000000000001E-3</v>
      </c>
      <c r="M374" s="6">
        <f>G374*L374</f>
        <v>1.0560000000000001E-3</v>
      </c>
      <c r="N374" s="86" t="s">
        <v>102</v>
      </c>
      <c r="X374" s="6">
        <f>IF(AO374="5",BH374,0)</f>
        <v>0</v>
      </c>
      <c r="Z374" s="6">
        <f>IF(AO374="1",BF374,0)</f>
        <v>0</v>
      </c>
      <c r="AA374" s="6">
        <f>IF(AO374="1",BG374,0)</f>
        <v>0</v>
      </c>
      <c r="AB374" s="6">
        <f>IF(AO374="7",BF374,0)</f>
        <v>0</v>
      </c>
      <c r="AC374" s="6">
        <f>IF(AO374="7",BG374,0)</f>
        <v>0</v>
      </c>
      <c r="AD374" s="6">
        <f>IF(AO374="2",BF374,0)</f>
        <v>0</v>
      </c>
      <c r="AE374" s="6">
        <f>IF(AO374="2",BG374,0)</f>
        <v>0</v>
      </c>
      <c r="AF374" s="6">
        <f>IF(AO374="0",BH374,0)</f>
        <v>0</v>
      </c>
      <c r="AG374" s="13" t="s">
        <v>42</v>
      </c>
      <c r="AH374" s="6">
        <f>IF(AL374=0,K374,0)</f>
        <v>0</v>
      </c>
      <c r="AI374" s="6">
        <f>IF(AL374=12,K374,0)</f>
        <v>0</v>
      </c>
      <c r="AJ374" s="6">
        <f>IF(AL374=21,K374,0)</f>
        <v>0</v>
      </c>
      <c r="AL374" s="6">
        <v>21</v>
      </c>
      <c r="AM374" s="6">
        <f>H374*0.75348125</f>
        <v>0</v>
      </c>
      <c r="AN374" s="6">
        <f>H374*(1-0.75348125)</f>
        <v>0</v>
      </c>
      <c r="AO374" s="23" t="s">
        <v>174</v>
      </c>
      <c r="AT374" s="6">
        <f>AU374+AV374</f>
        <v>0</v>
      </c>
      <c r="AU374" s="6">
        <f>G374*AM374</f>
        <v>0</v>
      </c>
      <c r="AV374" s="6">
        <f>G374*AN374</f>
        <v>0</v>
      </c>
      <c r="AW374" s="23" t="s">
        <v>224</v>
      </c>
      <c r="AX374" s="23" t="s">
        <v>677</v>
      </c>
      <c r="AY374" s="13" t="s">
        <v>475</v>
      </c>
      <c r="BA374" s="6">
        <f>AU374+AV374</f>
        <v>0</v>
      </c>
      <c r="BB374" s="6">
        <f>H374/(100-BC374)*100</f>
        <v>0</v>
      </c>
      <c r="BC374" s="6">
        <v>0</v>
      </c>
      <c r="BD374" s="6">
        <f>M374</f>
        <v>1.0560000000000001E-3</v>
      </c>
      <c r="BF374" s="6">
        <f>G374*AM374</f>
        <v>0</v>
      </c>
      <c r="BG374" s="6">
        <f>G374*AN374</f>
        <v>0</v>
      </c>
      <c r="BH374" s="6">
        <f>G374*H374</f>
        <v>0</v>
      </c>
      <c r="BI374" s="6"/>
      <c r="BJ374" s="6">
        <v>764</v>
      </c>
      <c r="BU374" s="6" t="e">
        <f>#REF!</f>
        <v>#REF!</v>
      </c>
      <c r="BV374" s="3" t="s">
        <v>719</v>
      </c>
    </row>
    <row r="375" spans="1:74" ht="14.5" x14ac:dyDescent="0.35">
      <c r="A375" s="24"/>
      <c r="D375" s="25" t="s">
        <v>720</v>
      </c>
      <c r="E375" s="26" t="s">
        <v>721</v>
      </c>
      <c r="G375" s="27">
        <v>0.66</v>
      </c>
      <c r="N375" s="87"/>
    </row>
    <row r="376" spans="1:74" ht="14.5" x14ac:dyDescent="0.35">
      <c r="A376" s="1" t="s">
        <v>722</v>
      </c>
      <c r="B376" s="2" t="s">
        <v>42</v>
      </c>
      <c r="C376" s="2" t="s">
        <v>723</v>
      </c>
      <c r="D376" s="138" t="s">
        <v>724</v>
      </c>
      <c r="E376" s="107"/>
      <c r="F376" s="37" t="s">
        <v>259</v>
      </c>
      <c r="G376" s="6">
        <v>2</v>
      </c>
      <c r="H376" s="147">
        <v>0</v>
      </c>
      <c r="I376" s="6">
        <f>G376*AM376</f>
        <v>0</v>
      </c>
      <c r="J376" s="6">
        <f>G376*AN376</f>
        <v>0</v>
      </c>
      <c r="K376" s="6">
        <f>G376*H376</f>
        <v>0</v>
      </c>
      <c r="L376" s="6">
        <v>0</v>
      </c>
      <c r="M376" s="6">
        <f>G376*L376</f>
        <v>0</v>
      </c>
      <c r="N376" s="86" t="s">
        <v>102</v>
      </c>
      <c r="X376" s="6">
        <f>IF(AO376="5",BH376,0)</f>
        <v>0</v>
      </c>
      <c r="Z376" s="6">
        <f>IF(AO376="1",BF376,0)</f>
        <v>0</v>
      </c>
      <c r="AA376" s="6">
        <f>IF(AO376="1",BG376,0)</f>
        <v>0</v>
      </c>
      <c r="AB376" s="6">
        <f>IF(AO376="7",BF376,0)</f>
        <v>0</v>
      </c>
      <c r="AC376" s="6">
        <f>IF(AO376="7",BG376,0)</f>
        <v>0</v>
      </c>
      <c r="AD376" s="6">
        <f>IF(AO376="2",BF376,0)</f>
        <v>0</v>
      </c>
      <c r="AE376" s="6">
        <f>IF(AO376="2",BG376,0)</f>
        <v>0</v>
      </c>
      <c r="AF376" s="6">
        <f>IF(AO376="0",BH376,0)</f>
        <v>0</v>
      </c>
      <c r="AG376" s="13" t="s">
        <v>42</v>
      </c>
      <c r="AH376" s="6">
        <f>IF(AL376=0,K376,0)</f>
        <v>0</v>
      </c>
      <c r="AI376" s="6">
        <f>IF(AL376=12,K376,0)</f>
        <v>0</v>
      </c>
      <c r="AJ376" s="6">
        <f>IF(AL376=21,K376,0)</f>
        <v>0</v>
      </c>
      <c r="AL376" s="6">
        <v>21</v>
      </c>
      <c r="AM376" s="6">
        <f>H376*0.819508333</f>
        <v>0</v>
      </c>
      <c r="AN376" s="6">
        <f>H376*(1-0.819508333)</f>
        <v>0</v>
      </c>
      <c r="AO376" s="23" t="s">
        <v>174</v>
      </c>
      <c r="AT376" s="6">
        <f>AU376+AV376</f>
        <v>0</v>
      </c>
      <c r="AU376" s="6">
        <f>G376*AM376</f>
        <v>0</v>
      </c>
      <c r="AV376" s="6">
        <f>G376*AN376</f>
        <v>0</v>
      </c>
      <c r="AW376" s="23" t="s">
        <v>224</v>
      </c>
      <c r="AX376" s="23" t="s">
        <v>677</v>
      </c>
      <c r="AY376" s="13" t="s">
        <v>475</v>
      </c>
      <c r="BA376" s="6">
        <f>AU376+AV376</f>
        <v>0</v>
      </c>
      <c r="BB376" s="6">
        <f>H376/(100-BC376)*100</f>
        <v>0</v>
      </c>
      <c r="BC376" s="6">
        <v>0</v>
      </c>
      <c r="BD376" s="6">
        <f>M376</f>
        <v>0</v>
      </c>
      <c r="BF376" s="6">
        <f>G376*AM376</f>
        <v>0</v>
      </c>
      <c r="BG376" s="6">
        <f>G376*AN376</f>
        <v>0</v>
      </c>
      <c r="BH376" s="6">
        <f>G376*H376</f>
        <v>0</v>
      </c>
      <c r="BI376" s="6"/>
      <c r="BJ376" s="6">
        <v>764</v>
      </c>
      <c r="BU376" s="6" t="e">
        <f>#REF!</f>
        <v>#REF!</v>
      </c>
      <c r="BV376" s="3" t="s">
        <v>724</v>
      </c>
    </row>
    <row r="377" spans="1:74" ht="14.5" x14ac:dyDescent="0.35">
      <c r="A377" s="24"/>
      <c r="D377" s="25" t="s">
        <v>126</v>
      </c>
      <c r="E377" s="26" t="s">
        <v>725</v>
      </c>
      <c r="G377" s="27">
        <v>2</v>
      </c>
      <c r="N377" s="87"/>
    </row>
    <row r="378" spans="1:74" ht="14.5" x14ac:dyDescent="0.35">
      <c r="A378" s="1" t="s">
        <v>726</v>
      </c>
      <c r="B378" s="2" t="s">
        <v>42</v>
      </c>
      <c r="C378" s="2" t="s">
        <v>727</v>
      </c>
      <c r="D378" s="138" t="s">
        <v>728</v>
      </c>
      <c r="E378" s="107"/>
      <c r="F378" s="37" t="s">
        <v>100</v>
      </c>
      <c r="G378" s="6">
        <v>49.6</v>
      </c>
      <c r="H378" s="147">
        <v>0</v>
      </c>
      <c r="I378" s="6">
        <f>G378*AM378</f>
        <v>0</v>
      </c>
      <c r="J378" s="6">
        <f>G378*AN378</f>
        <v>0</v>
      </c>
      <c r="K378" s="6">
        <f>G378*H378</f>
        <v>0</v>
      </c>
      <c r="L378" s="6">
        <v>3.1099999999999999E-3</v>
      </c>
      <c r="M378" s="6">
        <f>G378*L378</f>
        <v>0.154256</v>
      </c>
      <c r="N378" s="86" t="s">
        <v>129</v>
      </c>
      <c r="X378" s="6">
        <f>IF(AO378="5",BH378,0)</f>
        <v>0</v>
      </c>
      <c r="Z378" s="6">
        <f>IF(AO378="1",BF378,0)</f>
        <v>0</v>
      </c>
      <c r="AA378" s="6">
        <f>IF(AO378="1",BG378,0)</f>
        <v>0</v>
      </c>
      <c r="AB378" s="6">
        <f>IF(AO378="7",BF378,0)</f>
        <v>0</v>
      </c>
      <c r="AC378" s="6">
        <f>IF(AO378="7",BG378,0)</f>
        <v>0</v>
      </c>
      <c r="AD378" s="6">
        <f>IF(AO378="2",BF378,0)</f>
        <v>0</v>
      </c>
      <c r="AE378" s="6">
        <f>IF(AO378="2",BG378,0)</f>
        <v>0</v>
      </c>
      <c r="AF378" s="6">
        <f>IF(AO378="0",BH378,0)</f>
        <v>0</v>
      </c>
      <c r="AG378" s="13" t="s">
        <v>42</v>
      </c>
      <c r="AH378" s="6">
        <f>IF(AL378=0,K378,0)</f>
        <v>0</v>
      </c>
      <c r="AI378" s="6">
        <f>IF(AL378=12,K378,0)</f>
        <v>0</v>
      </c>
      <c r="AJ378" s="6">
        <f>IF(AL378=21,K378,0)</f>
        <v>0</v>
      </c>
      <c r="AL378" s="6">
        <v>21</v>
      </c>
      <c r="AM378" s="6">
        <f>H378*0.346595904</f>
        <v>0</v>
      </c>
      <c r="AN378" s="6">
        <f>H378*(1-0.346595904)</f>
        <v>0</v>
      </c>
      <c r="AO378" s="23" t="s">
        <v>174</v>
      </c>
      <c r="AT378" s="6">
        <f>AU378+AV378</f>
        <v>0</v>
      </c>
      <c r="AU378" s="6">
        <f>G378*AM378</f>
        <v>0</v>
      </c>
      <c r="AV378" s="6">
        <f>G378*AN378</f>
        <v>0</v>
      </c>
      <c r="AW378" s="23" t="s">
        <v>224</v>
      </c>
      <c r="AX378" s="23" t="s">
        <v>677</v>
      </c>
      <c r="AY378" s="13" t="s">
        <v>475</v>
      </c>
      <c r="BA378" s="6">
        <f>AU378+AV378</f>
        <v>0</v>
      </c>
      <c r="BB378" s="6">
        <f>H378/(100-BC378)*100</f>
        <v>0</v>
      </c>
      <c r="BC378" s="6">
        <v>0</v>
      </c>
      <c r="BD378" s="6">
        <f>M378</f>
        <v>0.154256</v>
      </c>
      <c r="BF378" s="6">
        <f>G378*AM378</f>
        <v>0</v>
      </c>
      <c r="BG378" s="6">
        <f>G378*AN378</f>
        <v>0</v>
      </c>
      <c r="BH378" s="6">
        <f>G378*H378</f>
        <v>0</v>
      </c>
      <c r="BI378" s="6"/>
      <c r="BJ378" s="6">
        <v>764</v>
      </c>
      <c r="BU378" s="6" t="e">
        <f>#REF!</f>
        <v>#REF!</v>
      </c>
      <c r="BV378" s="3" t="s">
        <v>728</v>
      </c>
    </row>
    <row r="379" spans="1:74" ht="14.5" x14ac:dyDescent="0.35">
      <c r="A379" s="24"/>
      <c r="D379" s="25" t="s">
        <v>649</v>
      </c>
      <c r="E379" s="26" t="s">
        <v>729</v>
      </c>
      <c r="G379" s="27">
        <v>49.6</v>
      </c>
      <c r="N379" s="87"/>
    </row>
    <row r="380" spans="1:74" ht="14.5" x14ac:dyDescent="0.35">
      <c r="A380" s="1" t="s">
        <v>730</v>
      </c>
      <c r="B380" s="2" t="s">
        <v>42</v>
      </c>
      <c r="C380" s="2" t="s">
        <v>731</v>
      </c>
      <c r="D380" s="138" t="s">
        <v>732</v>
      </c>
      <c r="E380" s="107"/>
      <c r="F380" s="37" t="s">
        <v>259</v>
      </c>
      <c r="G380" s="6">
        <v>16</v>
      </c>
      <c r="H380" s="147">
        <v>0</v>
      </c>
      <c r="I380" s="6">
        <f>G380*AM380</f>
        <v>0</v>
      </c>
      <c r="J380" s="6">
        <f>G380*AN380</f>
        <v>0</v>
      </c>
      <c r="K380" s="6">
        <f>G380*H380</f>
        <v>0</v>
      </c>
      <c r="L380" s="6">
        <v>3.0000000000000001E-3</v>
      </c>
      <c r="M380" s="6">
        <f>G380*L380</f>
        <v>4.8000000000000001E-2</v>
      </c>
      <c r="N380" s="86" t="s">
        <v>102</v>
      </c>
      <c r="X380" s="6">
        <f>IF(AO380="5",BH380,0)</f>
        <v>0</v>
      </c>
      <c r="Z380" s="6">
        <f>IF(AO380="1",BF380,0)</f>
        <v>0</v>
      </c>
      <c r="AA380" s="6">
        <f>IF(AO380="1",BG380,0)</f>
        <v>0</v>
      </c>
      <c r="AB380" s="6">
        <f>IF(AO380="7",BF380,0)</f>
        <v>0</v>
      </c>
      <c r="AC380" s="6">
        <f>IF(AO380="7",BG380,0)</f>
        <v>0</v>
      </c>
      <c r="AD380" s="6">
        <f>IF(AO380="2",BF380,0)</f>
        <v>0</v>
      </c>
      <c r="AE380" s="6">
        <f>IF(AO380="2",BG380,0)</f>
        <v>0</v>
      </c>
      <c r="AF380" s="6">
        <f>IF(AO380="0",BH380,0)</f>
        <v>0</v>
      </c>
      <c r="AG380" s="13" t="s">
        <v>42</v>
      </c>
      <c r="AH380" s="6">
        <f>IF(AL380=0,K380,0)</f>
        <v>0</v>
      </c>
      <c r="AI380" s="6">
        <f>IF(AL380=12,K380,0)</f>
        <v>0</v>
      </c>
      <c r="AJ380" s="6">
        <f>IF(AL380=21,K380,0)</f>
        <v>0</v>
      </c>
      <c r="AL380" s="6">
        <v>21</v>
      </c>
      <c r="AM380" s="6">
        <f>H380*0.241147059</f>
        <v>0</v>
      </c>
      <c r="AN380" s="6">
        <f>H380*(1-0.241147059)</f>
        <v>0</v>
      </c>
      <c r="AO380" s="23" t="s">
        <v>174</v>
      </c>
      <c r="AT380" s="6">
        <f>AU380+AV380</f>
        <v>0</v>
      </c>
      <c r="AU380" s="6">
        <f>G380*AM380</f>
        <v>0</v>
      </c>
      <c r="AV380" s="6">
        <f>G380*AN380</f>
        <v>0</v>
      </c>
      <c r="AW380" s="23" t="s">
        <v>224</v>
      </c>
      <c r="AX380" s="23" t="s">
        <v>677</v>
      </c>
      <c r="AY380" s="13" t="s">
        <v>475</v>
      </c>
      <c r="BA380" s="6">
        <f>AU380+AV380</f>
        <v>0</v>
      </c>
      <c r="BB380" s="6">
        <f>H380/(100-BC380)*100</f>
        <v>0</v>
      </c>
      <c r="BC380" s="6">
        <v>0</v>
      </c>
      <c r="BD380" s="6">
        <f>M380</f>
        <v>4.8000000000000001E-2</v>
      </c>
      <c r="BF380" s="6">
        <f>G380*AM380</f>
        <v>0</v>
      </c>
      <c r="BG380" s="6">
        <f>G380*AN380</f>
        <v>0</v>
      </c>
      <c r="BH380" s="6">
        <f>G380*H380</f>
        <v>0</v>
      </c>
      <c r="BI380" s="6"/>
      <c r="BJ380" s="6">
        <v>764</v>
      </c>
      <c r="BU380" s="6" t="e">
        <f>#REF!</f>
        <v>#REF!</v>
      </c>
      <c r="BV380" s="3" t="s">
        <v>732</v>
      </c>
    </row>
    <row r="381" spans="1:74" ht="14.5" x14ac:dyDescent="0.35">
      <c r="A381" s="24"/>
      <c r="D381" s="25" t="s">
        <v>733</v>
      </c>
      <c r="E381" s="26" t="s">
        <v>734</v>
      </c>
      <c r="G381" s="27">
        <v>16</v>
      </c>
      <c r="N381" s="87"/>
    </row>
    <row r="382" spans="1:74" ht="14.5" x14ac:dyDescent="0.35">
      <c r="A382" s="1" t="s">
        <v>735</v>
      </c>
      <c r="B382" s="2" t="s">
        <v>42</v>
      </c>
      <c r="C382" s="2" t="s">
        <v>736</v>
      </c>
      <c r="D382" s="138" t="s">
        <v>737</v>
      </c>
      <c r="E382" s="107"/>
      <c r="F382" s="37" t="s">
        <v>259</v>
      </c>
      <c r="G382" s="6">
        <v>4</v>
      </c>
      <c r="H382" s="147">
        <v>0</v>
      </c>
      <c r="I382" s="6">
        <f>G382*AM382</f>
        <v>0</v>
      </c>
      <c r="J382" s="6">
        <f>G382*AN382</f>
        <v>0</v>
      </c>
      <c r="K382" s="6">
        <f>G382*H382</f>
        <v>0</v>
      </c>
      <c r="L382" s="6">
        <v>4.0000000000000001E-3</v>
      </c>
      <c r="M382" s="6">
        <f>G382*L382</f>
        <v>1.6E-2</v>
      </c>
      <c r="N382" s="86" t="s">
        <v>102</v>
      </c>
      <c r="X382" s="6">
        <f>IF(AO382="5",BH382,0)</f>
        <v>0</v>
      </c>
      <c r="Z382" s="6">
        <f>IF(AO382="1",BF382,0)</f>
        <v>0</v>
      </c>
      <c r="AA382" s="6">
        <f>IF(AO382="1",BG382,0)</f>
        <v>0</v>
      </c>
      <c r="AB382" s="6">
        <f>IF(AO382="7",BF382,0)</f>
        <v>0</v>
      </c>
      <c r="AC382" s="6">
        <f>IF(AO382="7",BG382,0)</f>
        <v>0</v>
      </c>
      <c r="AD382" s="6">
        <f>IF(AO382="2",BF382,0)</f>
        <v>0</v>
      </c>
      <c r="AE382" s="6">
        <f>IF(AO382="2",BG382,0)</f>
        <v>0</v>
      </c>
      <c r="AF382" s="6">
        <f>IF(AO382="0",BH382,0)</f>
        <v>0</v>
      </c>
      <c r="AG382" s="13" t="s">
        <v>42</v>
      </c>
      <c r="AH382" s="6">
        <f>IF(AL382=0,K382,0)</f>
        <v>0</v>
      </c>
      <c r="AI382" s="6">
        <f>IF(AL382=12,K382,0)</f>
        <v>0</v>
      </c>
      <c r="AJ382" s="6">
        <f>IF(AL382=21,K382,0)</f>
        <v>0</v>
      </c>
      <c r="AL382" s="6">
        <v>21</v>
      </c>
      <c r="AM382" s="6">
        <f>H382*0.234</f>
        <v>0</v>
      </c>
      <c r="AN382" s="6">
        <f>H382*(1-0.234)</f>
        <v>0</v>
      </c>
      <c r="AO382" s="23" t="s">
        <v>174</v>
      </c>
      <c r="AT382" s="6">
        <f>AU382+AV382</f>
        <v>0</v>
      </c>
      <c r="AU382" s="6">
        <f>G382*AM382</f>
        <v>0</v>
      </c>
      <c r="AV382" s="6">
        <f>G382*AN382</f>
        <v>0</v>
      </c>
      <c r="AW382" s="23" t="s">
        <v>224</v>
      </c>
      <c r="AX382" s="23" t="s">
        <v>677</v>
      </c>
      <c r="AY382" s="13" t="s">
        <v>475</v>
      </c>
      <c r="BA382" s="6">
        <f>AU382+AV382</f>
        <v>0</v>
      </c>
      <c r="BB382" s="6">
        <f>H382/(100-BC382)*100</f>
        <v>0</v>
      </c>
      <c r="BC382" s="6">
        <v>0</v>
      </c>
      <c r="BD382" s="6">
        <f>M382</f>
        <v>1.6E-2</v>
      </c>
      <c r="BF382" s="6">
        <f>G382*AM382</f>
        <v>0</v>
      </c>
      <c r="BG382" s="6">
        <f>G382*AN382</f>
        <v>0</v>
      </c>
      <c r="BH382" s="6">
        <f>G382*H382</f>
        <v>0</v>
      </c>
      <c r="BI382" s="6"/>
      <c r="BJ382" s="6">
        <v>764</v>
      </c>
      <c r="BU382" s="6" t="e">
        <f>#REF!</f>
        <v>#REF!</v>
      </c>
      <c r="BV382" s="3" t="s">
        <v>737</v>
      </c>
    </row>
    <row r="383" spans="1:74" ht="14.5" x14ac:dyDescent="0.35">
      <c r="A383" s="24"/>
      <c r="D383" s="25" t="s">
        <v>657</v>
      </c>
      <c r="E383" s="26" t="s">
        <v>729</v>
      </c>
      <c r="G383" s="27">
        <v>4</v>
      </c>
      <c r="N383" s="87"/>
    </row>
    <row r="384" spans="1:74" ht="14.5" x14ac:dyDescent="0.35">
      <c r="A384" s="1" t="s">
        <v>738</v>
      </c>
      <c r="B384" s="2" t="s">
        <v>42</v>
      </c>
      <c r="C384" s="2" t="s">
        <v>739</v>
      </c>
      <c r="D384" s="138" t="s">
        <v>740</v>
      </c>
      <c r="E384" s="107"/>
      <c r="F384" s="37" t="s">
        <v>259</v>
      </c>
      <c r="G384" s="6">
        <v>4</v>
      </c>
      <c r="H384" s="147">
        <v>0</v>
      </c>
      <c r="I384" s="6">
        <f>G384*AM384</f>
        <v>0</v>
      </c>
      <c r="J384" s="6">
        <f>G384*AN384</f>
        <v>0</v>
      </c>
      <c r="K384" s="6">
        <f>G384*H384</f>
        <v>0</v>
      </c>
      <c r="L384" s="6">
        <v>1.65E-3</v>
      </c>
      <c r="M384" s="6">
        <f>G384*L384</f>
        <v>6.6E-3</v>
      </c>
      <c r="N384" s="86" t="s">
        <v>129</v>
      </c>
      <c r="X384" s="6">
        <f>IF(AO384="5",BH384,0)</f>
        <v>0</v>
      </c>
      <c r="Z384" s="6">
        <f>IF(AO384="1",BF384,0)</f>
        <v>0</v>
      </c>
      <c r="AA384" s="6">
        <f>IF(AO384="1",BG384,0)</f>
        <v>0</v>
      </c>
      <c r="AB384" s="6">
        <f>IF(AO384="7",BF384,0)</f>
        <v>0</v>
      </c>
      <c r="AC384" s="6">
        <f>IF(AO384="7",BG384,0)</f>
        <v>0</v>
      </c>
      <c r="AD384" s="6">
        <f>IF(AO384="2",BF384,0)</f>
        <v>0</v>
      </c>
      <c r="AE384" s="6">
        <f>IF(AO384="2",BG384,0)</f>
        <v>0</v>
      </c>
      <c r="AF384" s="6">
        <f>IF(AO384="0",BH384,0)</f>
        <v>0</v>
      </c>
      <c r="AG384" s="13" t="s">
        <v>42</v>
      </c>
      <c r="AH384" s="6">
        <f>IF(AL384=0,K384,0)</f>
        <v>0</v>
      </c>
      <c r="AI384" s="6">
        <f>IF(AL384=12,K384,0)</f>
        <v>0</v>
      </c>
      <c r="AJ384" s="6">
        <f>IF(AL384=21,K384,0)</f>
        <v>0</v>
      </c>
      <c r="AL384" s="6">
        <v>21</v>
      </c>
      <c r="AM384" s="6">
        <f>H384*0.122065081</f>
        <v>0</v>
      </c>
      <c r="AN384" s="6">
        <f>H384*(1-0.122065081)</f>
        <v>0</v>
      </c>
      <c r="AO384" s="23" t="s">
        <v>174</v>
      </c>
      <c r="AT384" s="6">
        <f>AU384+AV384</f>
        <v>0</v>
      </c>
      <c r="AU384" s="6">
        <f>G384*AM384</f>
        <v>0</v>
      </c>
      <c r="AV384" s="6">
        <f>G384*AN384</f>
        <v>0</v>
      </c>
      <c r="AW384" s="23" t="s">
        <v>224</v>
      </c>
      <c r="AX384" s="23" t="s">
        <v>677</v>
      </c>
      <c r="AY384" s="13" t="s">
        <v>475</v>
      </c>
      <c r="BA384" s="6">
        <f>AU384+AV384</f>
        <v>0</v>
      </c>
      <c r="BB384" s="6">
        <f>H384/(100-BC384)*100</f>
        <v>0</v>
      </c>
      <c r="BC384" s="6">
        <v>0</v>
      </c>
      <c r="BD384" s="6">
        <f>M384</f>
        <v>6.6E-3</v>
      </c>
      <c r="BF384" s="6">
        <f>G384*AM384</f>
        <v>0</v>
      </c>
      <c r="BG384" s="6">
        <f>G384*AN384</f>
        <v>0</v>
      </c>
      <c r="BH384" s="6">
        <f>G384*H384</f>
        <v>0</v>
      </c>
      <c r="BI384" s="6"/>
      <c r="BJ384" s="6">
        <v>764</v>
      </c>
      <c r="BU384" s="6" t="e">
        <f>#REF!</f>
        <v>#REF!</v>
      </c>
      <c r="BV384" s="3" t="s">
        <v>740</v>
      </c>
    </row>
    <row r="385" spans="1:74" ht="14.5" x14ac:dyDescent="0.35">
      <c r="A385" s="24"/>
      <c r="D385" s="25" t="s">
        <v>657</v>
      </c>
      <c r="E385" s="26" t="s">
        <v>22</v>
      </c>
      <c r="G385" s="27">
        <v>4</v>
      </c>
      <c r="N385" s="87"/>
    </row>
    <row r="386" spans="1:74" ht="14.5" x14ac:dyDescent="0.35">
      <c r="A386" s="1" t="s">
        <v>741</v>
      </c>
      <c r="B386" s="2" t="s">
        <v>42</v>
      </c>
      <c r="C386" s="2" t="s">
        <v>742</v>
      </c>
      <c r="D386" s="138" t="s">
        <v>743</v>
      </c>
      <c r="E386" s="107"/>
      <c r="F386" s="37" t="s">
        <v>100</v>
      </c>
      <c r="G386" s="6">
        <v>61.6</v>
      </c>
      <c r="H386" s="147">
        <v>0</v>
      </c>
      <c r="I386" s="6">
        <f>G386*AM386</f>
        <v>0</v>
      </c>
      <c r="J386" s="6">
        <f>G386*AN386</f>
        <v>0</v>
      </c>
      <c r="K386" s="6">
        <f>G386*H386</f>
        <v>0</v>
      </c>
      <c r="L386" s="6">
        <v>3.0799999999999998E-3</v>
      </c>
      <c r="M386" s="6">
        <f>G386*L386</f>
        <v>0.18972800000000001</v>
      </c>
      <c r="N386" s="86" t="s">
        <v>129</v>
      </c>
      <c r="X386" s="6">
        <f>IF(AO386="5",BH386,0)</f>
        <v>0</v>
      </c>
      <c r="Z386" s="6">
        <f>IF(AO386="1",BF386,0)</f>
        <v>0</v>
      </c>
      <c r="AA386" s="6">
        <f>IF(AO386="1",BG386,0)</f>
        <v>0</v>
      </c>
      <c r="AB386" s="6">
        <f>IF(AO386="7",BF386,0)</f>
        <v>0</v>
      </c>
      <c r="AC386" s="6">
        <f>IF(AO386="7",BG386,0)</f>
        <v>0</v>
      </c>
      <c r="AD386" s="6">
        <f>IF(AO386="2",BF386,0)</f>
        <v>0</v>
      </c>
      <c r="AE386" s="6">
        <f>IF(AO386="2",BG386,0)</f>
        <v>0</v>
      </c>
      <c r="AF386" s="6">
        <f>IF(AO386="0",BH386,0)</f>
        <v>0</v>
      </c>
      <c r="AG386" s="13" t="s">
        <v>42</v>
      </c>
      <c r="AH386" s="6">
        <f>IF(AL386=0,K386,0)</f>
        <v>0</v>
      </c>
      <c r="AI386" s="6">
        <f>IF(AL386=12,K386,0)</f>
        <v>0</v>
      </c>
      <c r="AJ386" s="6">
        <f>IF(AL386=21,K386,0)</f>
        <v>0</v>
      </c>
      <c r="AL386" s="6">
        <v>21</v>
      </c>
      <c r="AM386" s="6">
        <f>H386*0.304996266</f>
        <v>0</v>
      </c>
      <c r="AN386" s="6">
        <f>H386*(1-0.304996266)</f>
        <v>0</v>
      </c>
      <c r="AO386" s="23" t="s">
        <v>174</v>
      </c>
      <c r="AT386" s="6">
        <f>AU386+AV386</f>
        <v>0</v>
      </c>
      <c r="AU386" s="6">
        <f>G386*AM386</f>
        <v>0</v>
      </c>
      <c r="AV386" s="6">
        <f>G386*AN386</f>
        <v>0</v>
      </c>
      <c r="AW386" s="23" t="s">
        <v>224</v>
      </c>
      <c r="AX386" s="23" t="s">
        <v>677</v>
      </c>
      <c r="AY386" s="13" t="s">
        <v>475</v>
      </c>
      <c r="BA386" s="6">
        <f>AU386+AV386</f>
        <v>0</v>
      </c>
      <c r="BB386" s="6">
        <f>H386/(100-BC386)*100</f>
        <v>0</v>
      </c>
      <c r="BC386" s="6">
        <v>0</v>
      </c>
      <c r="BD386" s="6">
        <f>M386</f>
        <v>0.18972800000000001</v>
      </c>
      <c r="BF386" s="6">
        <f>G386*AM386</f>
        <v>0</v>
      </c>
      <c r="BG386" s="6">
        <f>G386*AN386</f>
        <v>0</v>
      </c>
      <c r="BH386" s="6">
        <f>G386*H386</f>
        <v>0</v>
      </c>
      <c r="BI386" s="6"/>
      <c r="BJ386" s="6">
        <v>764</v>
      </c>
      <c r="BU386" s="6" t="e">
        <f>#REF!</f>
        <v>#REF!</v>
      </c>
      <c r="BV386" s="3" t="s">
        <v>743</v>
      </c>
    </row>
    <row r="387" spans="1:74" ht="14.5" x14ac:dyDescent="0.35">
      <c r="A387" s="24"/>
      <c r="D387" s="25" t="s">
        <v>664</v>
      </c>
      <c r="E387" s="26" t="s">
        <v>22</v>
      </c>
      <c r="G387" s="27">
        <v>61.6</v>
      </c>
      <c r="N387" s="87"/>
    </row>
    <row r="388" spans="1:74" ht="14.5" x14ac:dyDescent="0.35">
      <c r="A388" s="1" t="s">
        <v>744</v>
      </c>
      <c r="B388" s="2" t="s">
        <v>42</v>
      </c>
      <c r="C388" s="2" t="s">
        <v>254</v>
      </c>
      <c r="D388" s="138" t="s">
        <v>255</v>
      </c>
      <c r="E388" s="107"/>
      <c r="F388" s="37" t="s">
        <v>200</v>
      </c>
      <c r="G388" s="6">
        <v>0.45</v>
      </c>
      <c r="H388" s="147">
        <v>0</v>
      </c>
      <c r="I388" s="6">
        <f>G388*AM388</f>
        <v>0</v>
      </c>
      <c r="J388" s="6">
        <f>G388*AN388</f>
        <v>0</v>
      </c>
      <c r="K388" s="6">
        <f>G388*H388</f>
        <v>0</v>
      </c>
      <c r="L388" s="6">
        <v>0</v>
      </c>
      <c r="M388" s="6">
        <f>G388*L388</f>
        <v>0</v>
      </c>
      <c r="N388" s="86" t="s">
        <v>129</v>
      </c>
      <c r="X388" s="6">
        <f>IF(AO388="5",BH388,0)</f>
        <v>0</v>
      </c>
      <c r="Z388" s="6">
        <f>IF(AO388="1",BF388,0)</f>
        <v>0</v>
      </c>
      <c r="AA388" s="6">
        <f>IF(AO388="1",BG388,0)</f>
        <v>0</v>
      </c>
      <c r="AB388" s="6">
        <f>IF(AO388="7",BF388,0)</f>
        <v>0</v>
      </c>
      <c r="AC388" s="6">
        <f>IF(AO388="7",BG388,0)</f>
        <v>0</v>
      </c>
      <c r="AD388" s="6">
        <f>IF(AO388="2",BF388,0)</f>
        <v>0</v>
      </c>
      <c r="AE388" s="6">
        <f>IF(AO388="2",BG388,0)</f>
        <v>0</v>
      </c>
      <c r="AF388" s="6">
        <f>IF(AO388="0",BH388,0)</f>
        <v>0</v>
      </c>
      <c r="AG388" s="13" t="s">
        <v>42</v>
      </c>
      <c r="AH388" s="6">
        <f>IF(AL388=0,K388,0)</f>
        <v>0</v>
      </c>
      <c r="AI388" s="6">
        <f>IF(AL388=12,K388,0)</f>
        <v>0</v>
      </c>
      <c r="AJ388" s="6">
        <f>IF(AL388=21,K388,0)</f>
        <v>0</v>
      </c>
      <c r="AL388" s="6">
        <v>21</v>
      </c>
      <c r="AM388" s="6">
        <f>H388*0</f>
        <v>0</v>
      </c>
      <c r="AN388" s="6">
        <f>H388*(1-0)</f>
        <v>0</v>
      </c>
      <c r="AO388" s="23" t="s">
        <v>164</v>
      </c>
      <c r="AT388" s="6">
        <f>AU388+AV388</f>
        <v>0</v>
      </c>
      <c r="AU388" s="6">
        <f>G388*AM388</f>
        <v>0</v>
      </c>
      <c r="AV388" s="6">
        <f>G388*AN388</f>
        <v>0</v>
      </c>
      <c r="AW388" s="23" t="s">
        <v>224</v>
      </c>
      <c r="AX388" s="23" t="s">
        <v>677</v>
      </c>
      <c r="AY388" s="13" t="s">
        <v>475</v>
      </c>
      <c r="BA388" s="6">
        <f>AU388+AV388</f>
        <v>0</v>
      </c>
      <c r="BB388" s="6">
        <f>H388/(100-BC388)*100</f>
        <v>0</v>
      </c>
      <c r="BC388" s="6">
        <v>0</v>
      </c>
      <c r="BD388" s="6">
        <f>M388</f>
        <v>0</v>
      </c>
      <c r="BF388" s="6">
        <f>G388*AM388</f>
        <v>0</v>
      </c>
      <c r="BG388" s="6">
        <f>G388*AN388</f>
        <v>0</v>
      </c>
      <c r="BH388" s="6">
        <f>G388*H388</f>
        <v>0</v>
      </c>
      <c r="BI388" s="6"/>
      <c r="BJ388" s="6">
        <v>764</v>
      </c>
      <c r="BU388" s="6" t="e">
        <f>#REF!</f>
        <v>#REF!</v>
      </c>
      <c r="BV388" s="3" t="s">
        <v>255</v>
      </c>
    </row>
    <row r="389" spans="1:74" ht="14.5" x14ac:dyDescent="0.35">
      <c r="A389" s="20" t="s">
        <v>22</v>
      </c>
      <c r="B389" s="21" t="s">
        <v>42</v>
      </c>
      <c r="C389" s="21" t="s">
        <v>48</v>
      </c>
      <c r="D389" s="133" t="s">
        <v>49</v>
      </c>
      <c r="E389" s="134"/>
      <c r="F389" s="91" t="s">
        <v>12</v>
      </c>
      <c r="G389" s="22" t="s">
        <v>12</v>
      </c>
      <c r="H389" s="22" t="s">
        <v>12</v>
      </c>
      <c r="I389" s="12">
        <f>SUM(I390:I398)</f>
        <v>0</v>
      </c>
      <c r="J389" s="12">
        <f>SUM(J390:J398)</f>
        <v>0</v>
      </c>
      <c r="K389" s="12">
        <f>SUM(K390:K398)</f>
        <v>0</v>
      </c>
      <c r="L389" s="13" t="s">
        <v>22</v>
      </c>
      <c r="M389" s="12">
        <f>SUM(M390:M398)</f>
        <v>1.19</v>
      </c>
      <c r="N389" s="85" t="s">
        <v>22</v>
      </c>
      <c r="AG389" s="13" t="s">
        <v>42</v>
      </c>
      <c r="AQ389" s="12">
        <f>SUM(AH390:AH398)</f>
        <v>0</v>
      </c>
      <c r="AR389" s="12">
        <f>SUM(AI390:AI398)</f>
        <v>0</v>
      </c>
      <c r="AS389" s="12">
        <f>SUM(AJ390:AJ398)</f>
        <v>0</v>
      </c>
    </row>
    <row r="390" spans="1:74" ht="14.5" x14ac:dyDescent="0.35">
      <c r="A390" s="1" t="s">
        <v>745</v>
      </c>
      <c r="B390" s="2" t="s">
        <v>42</v>
      </c>
      <c r="C390" s="2" t="s">
        <v>746</v>
      </c>
      <c r="D390" s="138" t="s">
        <v>747</v>
      </c>
      <c r="E390" s="107"/>
      <c r="F390" s="37" t="s">
        <v>401</v>
      </c>
      <c r="G390" s="6">
        <v>1</v>
      </c>
      <c r="H390" s="147">
        <v>0</v>
      </c>
      <c r="I390" s="6">
        <f>G390*AM390</f>
        <v>0</v>
      </c>
      <c r="J390" s="6">
        <f>G390*AN390</f>
        <v>0</v>
      </c>
      <c r="K390" s="6">
        <f>G390*H390</f>
        <v>0</v>
      </c>
      <c r="L390" s="6">
        <v>0.38</v>
      </c>
      <c r="M390" s="6">
        <f>G390*L390</f>
        <v>0.38</v>
      </c>
      <c r="N390" s="86" t="s">
        <v>102</v>
      </c>
      <c r="X390" s="6">
        <f>IF(AO390="5",BH390,0)</f>
        <v>0</v>
      </c>
      <c r="Z390" s="6">
        <f>IF(AO390="1",BF390,0)</f>
        <v>0</v>
      </c>
      <c r="AA390" s="6">
        <f>IF(AO390="1",BG390,0)</f>
        <v>0</v>
      </c>
      <c r="AB390" s="6">
        <f>IF(AO390="7",BF390,0)</f>
        <v>0</v>
      </c>
      <c r="AC390" s="6">
        <f>IF(AO390="7",BG390,0)</f>
        <v>0</v>
      </c>
      <c r="AD390" s="6">
        <f>IF(AO390="2",BF390,0)</f>
        <v>0</v>
      </c>
      <c r="AE390" s="6">
        <f>IF(AO390="2",BG390,0)</f>
        <v>0</v>
      </c>
      <c r="AF390" s="6">
        <f>IF(AO390="0",BH390,0)</f>
        <v>0</v>
      </c>
      <c r="AG390" s="13" t="s">
        <v>42</v>
      </c>
      <c r="AH390" s="6">
        <f>IF(AL390=0,K390,0)</f>
        <v>0</v>
      </c>
      <c r="AI390" s="6">
        <f>IF(AL390=12,K390,0)</f>
        <v>0</v>
      </c>
      <c r="AJ390" s="6">
        <f>IF(AL390=21,K390,0)</f>
        <v>0</v>
      </c>
      <c r="AL390" s="6">
        <v>21</v>
      </c>
      <c r="AM390" s="6">
        <f>H390*0.123524167</f>
        <v>0</v>
      </c>
      <c r="AN390" s="6">
        <f>H390*(1-0.123524167)</f>
        <v>0</v>
      </c>
      <c r="AO390" s="23" t="s">
        <v>174</v>
      </c>
      <c r="AT390" s="6">
        <f>AU390+AV390</f>
        <v>0</v>
      </c>
      <c r="AU390" s="6">
        <f>G390*AM390</f>
        <v>0</v>
      </c>
      <c r="AV390" s="6">
        <f>G390*AN390</f>
        <v>0</v>
      </c>
      <c r="AW390" s="23" t="s">
        <v>748</v>
      </c>
      <c r="AX390" s="23" t="s">
        <v>677</v>
      </c>
      <c r="AY390" s="13" t="s">
        <v>475</v>
      </c>
      <c r="BA390" s="6">
        <f>AU390+AV390</f>
        <v>0</v>
      </c>
      <c r="BB390" s="6">
        <f>H390/(100-BC390)*100</f>
        <v>0</v>
      </c>
      <c r="BC390" s="6">
        <v>0</v>
      </c>
      <c r="BD390" s="6">
        <f>M390</f>
        <v>0.38</v>
      </c>
      <c r="BF390" s="6">
        <f>G390*AM390</f>
        <v>0</v>
      </c>
      <c r="BG390" s="6">
        <f>G390*AN390</f>
        <v>0</v>
      </c>
      <c r="BH390" s="6">
        <f>G390*H390</f>
        <v>0</v>
      </c>
      <c r="BI390" s="6"/>
      <c r="BJ390" s="6">
        <v>767</v>
      </c>
      <c r="BU390" s="6" t="e">
        <f>#REF!</f>
        <v>#REF!</v>
      </c>
      <c r="BV390" s="3" t="s">
        <v>747</v>
      </c>
    </row>
    <row r="391" spans="1:74" ht="67.5" customHeight="1" x14ac:dyDescent="0.35">
      <c r="A391" s="24"/>
      <c r="C391" s="28" t="s">
        <v>193</v>
      </c>
      <c r="D391" s="139" t="s">
        <v>749</v>
      </c>
      <c r="E391" s="140"/>
      <c r="F391" s="140"/>
      <c r="G391" s="140"/>
      <c r="H391" s="140"/>
      <c r="I391" s="140"/>
      <c r="J391" s="140"/>
      <c r="K391" s="140"/>
      <c r="L391" s="140"/>
      <c r="M391" s="140"/>
      <c r="N391" s="141"/>
    </row>
    <row r="392" spans="1:74" ht="14.5" x14ac:dyDescent="0.35">
      <c r="A392" s="1" t="s">
        <v>750</v>
      </c>
      <c r="B392" s="2" t="s">
        <v>42</v>
      </c>
      <c r="C392" s="2" t="s">
        <v>746</v>
      </c>
      <c r="D392" s="138" t="s">
        <v>751</v>
      </c>
      <c r="E392" s="107"/>
      <c r="F392" s="37" t="s">
        <v>401</v>
      </c>
      <c r="G392" s="6">
        <v>1</v>
      </c>
      <c r="H392" s="147">
        <v>0</v>
      </c>
      <c r="I392" s="6">
        <f>G392*AM392</f>
        <v>0</v>
      </c>
      <c r="J392" s="6">
        <f>G392*AN392</f>
        <v>0</v>
      </c>
      <c r="K392" s="6">
        <f>G392*H392</f>
        <v>0</v>
      </c>
      <c r="L392" s="6">
        <v>0.22</v>
      </c>
      <c r="M392" s="6">
        <f>G392*L392</f>
        <v>0.22</v>
      </c>
      <c r="N392" s="86" t="s">
        <v>102</v>
      </c>
      <c r="X392" s="6">
        <f>IF(AO392="5",BH392,0)</f>
        <v>0</v>
      </c>
      <c r="Z392" s="6">
        <f>IF(AO392="1",BF392,0)</f>
        <v>0</v>
      </c>
      <c r="AA392" s="6">
        <f>IF(AO392="1",BG392,0)</f>
        <v>0</v>
      </c>
      <c r="AB392" s="6">
        <f>IF(AO392="7",BF392,0)</f>
        <v>0</v>
      </c>
      <c r="AC392" s="6">
        <f>IF(AO392="7",BG392,0)</f>
        <v>0</v>
      </c>
      <c r="AD392" s="6">
        <f>IF(AO392="2",BF392,0)</f>
        <v>0</v>
      </c>
      <c r="AE392" s="6">
        <f>IF(AO392="2",BG392,0)</f>
        <v>0</v>
      </c>
      <c r="AF392" s="6">
        <f>IF(AO392="0",BH392,0)</f>
        <v>0</v>
      </c>
      <c r="AG392" s="13" t="s">
        <v>42</v>
      </c>
      <c r="AH392" s="6">
        <f>IF(AL392=0,K392,0)</f>
        <v>0</v>
      </c>
      <c r="AI392" s="6">
        <f>IF(AL392=12,K392,0)</f>
        <v>0</v>
      </c>
      <c r="AJ392" s="6">
        <f>IF(AL392=21,K392,0)</f>
        <v>0</v>
      </c>
      <c r="AL392" s="6">
        <v>21</v>
      </c>
      <c r="AM392" s="6">
        <f>H392*0.123524167</f>
        <v>0</v>
      </c>
      <c r="AN392" s="6">
        <f>H392*(1-0.123524167)</f>
        <v>0</v>
      </c>
      <c r="AO392" s="23" t="s">
        <v>174</v>
      </c>
      <c r="AT392" s="6">
        <f>AU392+AV392</f>
        <v>0</v>
      </c>
      <c r="AU392" s="6">
        <f>G392*AM392</f>
        <v>0</v>
      </c>
      <c r="AV392" s="6">
        <f>G392*AN392</f>
        <v>0</v>
      </c>
      <c r="AW392" s="23" t="s">
        <v>748</v>
      </c>
      <c r="AX392" s="23" t="s">
        <v>677</v>
      </c>
      <c r="AY392" s="13" t="s">
        <v>475</v>
      </c>
      <c r="BA392" s="6">
        <f>AU392+AV392</f>
        <v>0</v>
      </c>
      <c r="BB392" s="6">
        <f>H392/(100-BC392)*100</f>
        <v>0</v>
      </c>
      <c r="BC392" s="6">
        <v>0</v>
      </c>
      <c r="BD392" s="6">
        <f>M392</f>
        <v>0.22</v>
      </c>
      <c r="BF392" s="6">
        <f>G392*AM392</f>
        <v>0</v>
      </c>
      <c r="BG392" s="6">
        <f>G392*AN392</f>
        <v>0</v>
      </c>
      <c r="BH392" s="6">
        <f>G392*H392</f>
        <v>0</v>
      </c>
      <c r="BI392" s="6"/>
      <c r="BJ392" s="6">
        <v>767</v>
      </c>
      <c r="BU392" s="6" t="e">
        <f>#REF!</f>
        <v>#REF!</v>
      </c>
      <c r="BV392" s="3" t="s">
        <v>751</v>
      </c>
    </row>
    <row r="393" spans="1:74" ht="67.5" customHeight="1" x14ac:dyDescent="0.35">
      <c r="A393" s="24"/>
      <c r="C393" s="28" t="s">
        <v>193</v>
      </c>
      <c r="D393" s="139" t="s">
        <v>749</v>
      </c>
      <c r="E393" s="140"/>
      <c r="F393" s="140"/>
      <c r="G393" s="140"/>
      <c r="H393" s="140"/>
      <c r="I393" s="140"/>
      <c r="J393" s="140"/>
      <c r="K393" s="140"/>
      <c r="L393" s="140"/>
      <c r="M393" s="140"/>
      <c r="N393" s="141"/>
    </row>
    <row r="394" spans="1:74" ht="14.5" x14ac:dyDescent="0.35">
      <c r="A394" s="1" t="s">
        <v>752</v>
      </c>
      <c r="B394" s="2" t="s">
        <v>42</v>
      </c>
      <c r="C394" s="2" t="s">
        <v>746</v>
      </c>
      <c r="D394" s="138" t="s">
        <v>753</v>
      </c>
      <c r="E394" s="107"/>
      <c r="F394" s="37" t="s">
        <v>401</v>
      </c>
      <c r="G394" s="6">
        <v>1</v>
      </c>
      <c r="H394" s="147">
        <v>0</v>
      </c>
      <c r="I394" s="6">
        <f>G394*AM394</f>
        <v>0</v>
      </c>
      <c r="J394" s="6">
        <f>G394*AN394</f>
        <v>0</v>
      </c>
      <c r="K394" s="6">
        <f>G394*H394</f>
        <v>0</v>
      </c>
      <c r="L394" s="6">
        <v>0.45</v>
      </c>
      <c r="M394" s="6">
        <f>G394*L394</f>
        <v>0.45</v>
      </c>
      <c r="N394" s="86" t="s">
        <v>102</v>
      </c>
      <c r="X394" s="6">
        <f>IF(AO394="5",BH394,0)</f>
        <v>0</v>
      </c>
      <c r="Z394" s="6">
        <f>IF(AO394="1",BF394,0)</f>
        <v>0</v>
      </c>
      <c r="AA394" s="6">
        <f>IF(AO394="1",BG394,0)</f>
        <v>0</v>
      </c>
      <c r="AB394" s="6">
        <f>IF(AO394="7",BF394,0)</f>
        <v>0</v>
      </c>
      <c r="AC394" s="6">
        <f>IF(AO394="7",BG394,0)</f>
        <v>0</v>
      </c>
      <c r="AD394" s="6">
        <f>IF(AO394="2",BF394,0)</f>
        <v>0</v>
      </c>
      <c r="AE394" s="6">
        <f>IF(AO394="2",BG394,0)</f>
        <v>0</v>
      </c>
      <c r="AF394" s="6">
        <f>IF(AO394="0",BH394,0)</f>
        <v>0</v>
      </c>
      <c r="AG394" s="13" t="s">
        <v>42</v>
      </c>
      <c r="AH394" s="6">
        <f>IF(AL394=0,K394,0)</f>
        <v>0</v>
      </c>
      <c r="AI394" s="6">
        <f>IF(AL394=12,K394,0)</f>
        <v>0</v>
      </c>
      <c r="AJ394" s="6">
        <f>IF(AL394=21,K394,0)</f>
        <v>0</v>
      </c>
      <c r="AL394" s="6">
        <v>21</v>
      </c>
      <c r="AM394" s="6">
        <f>H394*0.123524186</f>
        <v>0</v>
      </c>
      <c r="AN394" s="6">
        <f>H394*(1-0.123524186)</f>
        <v>0</v>
      </c>
      <c r="AO394" s="23" t="s">
        <v>174</v>
      </c>
      <c r="AT394" s="6">
        <f>AU394+AV394</f>
        <v>0</v>
      </c>
      <c r="AU394" s="6">
        <f>G394*AM394</f>
        <v>0</v>
      </c>
      <c r="AV394" s="6">
        <f>G394*AN394</f>
        <v>0</v>
      </c>
      <c r="AW394" s="23" t="s">
        <v>748</v>
      </c>
      <c r="AX394" s="23" t="s">
        <v>677</v>
      </c>
      <c r="AY394" s="13" t="s">
        <v>475</v>
      </c>
      <c r="BA394" s="6">
        <f>AU394+AV394</f>
        <v>0</v>
      </c>
      <c r="BB394" s="6">
        <f>H394/(100-BC394)*100</f>
        <v>0</v>
      </c>
      <c r="BC394" s="6">
        <v>0</v>
      </c>
      <c r="BD394" s="6">
        <f>M394</f>
        <v>0.45</v>
      </c>
      <c r="BF394" s="6">
        <f>G394*AM394</f>
        <v>0</v>
      </c>
      <c r="BG394" s="6">
        <f>G394*AN394</f>
        <v>0</v>
      </c>
      <c r="BH394" s="6">
        <f>G394*H394</f>
        <v>0</v>
      </c>
      <c r="BI394" s="6"/>
      <c r="BJ394" s="6">
        <v>767</v>
      </c>
      <c r="BU394" s="6" t="e">
        <f>#REF!</f>
        <v>#REF!</v>
      </c>
      <c r="BV394" s="3" t="s">
        <v>753</v>
      </c>
    </row>
    <row r="395" spans="1:74" ht="81" customHeight="1" x14ac:dyDescent="0.35">
      <c r="A395" s="24"/>
      <c r="C395" s="28" t="s">
        <v>193</v>
      </c>
      <c r="D395" s="139" t="s">
        <v>754</v>
      </c>
      <c r="E395" s="140"/>
      <c r="F395" s="140"/>
      <c r="G395" s="140"/>
      <c r="H395" s="140"/>
      <c r="I395" s="140"/>
      <c r="J395" s="140"/>
      <c r="K395" s="140"/>
      <c r="L395" s="140"/>
      <c r="M395" s="140"/>
      <c r="N395" s="141"/>
    </row>
    <row r="396" spans="1:74" ht="14.5" x14ac:dyDescent="0.35">
      <c r="A396" s="1" t="s">
        <v>755</v>
      </c>
      <c r="B396" s="2" t="s">
        <v>42</v>
      </c>
      <c r="C396" s="2" t="s">
        <v>746</v>
      </c>
      <c r="D396" s="138" t="s">
        <v>756</v>
      </c>
      <c r="E396" s="107"/>
      <c r="F396" s="37" t="s">
        <v>401</v>
      </c>
      <c r="G396" s="6">
        <v>1</v>
      </c>
      <c r="H396" s="147">
        <v>0</v>
      </c>
      <c r="I396" s="6">
        <f>G396*AM396</f>
        <v>0</v>
      </c>
      <c r="J396" s="6">
        <f>G396*AN396</f>
        <v>0</v>
      </c>
      <c r="K396" s="6">
        <f>G396*H396</f>
        <v>0</v>
      </c>
      <c r="L396" s="6">
        <v>0.14000000000000001</v>
      </c>
      <c r="M396" s="6">
        <f>G396*L396</f>
        <v>0.14000000000000001</v>
      </c>
      <c r="N396" s="86" t="s">
        <v>102</v>
      </c>
      <c r="X396" s="6">
        <f>IF(AO396="5",BH396,0)</f>
        <v>0</v>
      </c>
      <c r="Z396" s="6">
        <f>IF(AO396="1",BF396,0)</f>
        <v>0</v>
      </c>
      <c r="AA396" s="6">
        <f>IF(AO396="1",BG396,0)</f>
        <v>0</v>
      </c>
      <c r="AB396" s="6">
        <f>IF(AO396="7",BF396,0)</f>
        <v>0</v>
      </c>
      <c r="AC396" s="6">
        <f>IF(AO396="7",BG396,0)</f>
        <v>0</v>
      </c>
      <c r="AD396" s="6">
        <f>IF(AO396="2",BF396,0)</f>
        <v>0</v>
      </c>
      <c r="AE396" s="6">
        <f>IF(AO396="2",BG396,0)</f>
        <v>0</v>
      </c>
      <c r="AF396" s="6">
        <f>IF(AO396="0",BH396,0)</f>
        <v>0</v>
      </c>
      <c r="AG396" s="13" t="s">
        <v>42</v>
      </c>
      <c r="AH396" s="6">
        <f>IF(AL396=0,K396,0)</f>
        <v>0</v>
      </c>
      <c r="AI396" s="6">
        <f>IF(AL396=12,K396,0)</f>
        <v>0</v>
      </c>
      <c r="AJ396" s="6">
        <f>IF(AL396=21,K396,0)</f>
        <v>0</v>
      </c>
      <c r="AL396" s="6">
        <v>21</v>
      </c>
      <c r="AM396" s="6">
        <f>H396*0.123524118</f>
        <v>0</v>
      </c>
      <c r="AN396" s="6">
        <f>H396*(1-0.123524118)</f>
        <v>0</v>
      </c>
      <c r="AO396" s="23" t="s">
        <v>174</v>
      </c>
      <c r="AT396" s="6">
        <f>AU396+AV396</f>
        <v>0</v>
      </c>
      <c r="AU396" s="6">
        <f>G396*AM396</f>
        <v>0</v>
      </c>
      <c r="AV396" s="6">
        <f>G396*AN396</f>
        <v>0</v>
      </c>
      <c r="AW396" s="23" t="s">
        <v>748</v>
      </c>
      <c r="AX396" s="23" t="s">
        <v>677</v>
      </c>
      <c r="AY396" s="13" t="s">
        <v>475</v>
      </c>
      <c r="BA396" s="6">
        <f>AU396+AV396</f>
        <v>0</v>
      </c>
      <c r="BB396" s="6">
        <f>H396/(100-BC396)*100</f>
        <v>0</v>
      </c>
      <c r="BC396" s="6">
        <v>0</v>
      </c>
      <c r="BD396" s="6">
        <f>M396</f>
        <v>0.14000000000000001</v>
      </c>
      <c r="BF396" s="6">
        <f>G396*AM396</f>
        <v>0</v>
      </c>
      <c r="BG396" s="6">
        <f>G396*AN396</f>
        <v>0</v>
      </c>
      <c r="BH396" s="6">
        <f>G396*H396</f>
        <v>0</v>
      </c>
      <c r="BI396" s="6"/>
      <c r="BJ396" s="6">
        <v>767</v>
      </c>
      <c r="BU396" s="6" t="e">
        <f>#REF!</f>
        <v>#REF!</v>
      </c>
      <c r="BV396" s="3" t="s">
        <v>756</v>
      </c>
    </row>
    <row r="397" spans="1:74" ht="54" customHeight="1" x14ac:dyDescent="0.35">
      <c r="A397" s="24"/>
      <c r="C397" s="28" t="s">
        <v>193</v>
      </c>
      <c r="D397" s="139" t="s">
        <v>757</v>
      </c>
      <c r="E397" s="140"/>
      <c r="F397" s="140"/>
      <c r="G397" s="140"/>
      <c r="H397" s="140"/>
      <c r="I397" s="140"/>
      <c r="J397" s="140"/>
      <c r="K397" s="140"/>
      <c r="L397" s="140"/>
      <c r="M397" s="140"/>
      <c r="N397" s="141"/>
    </row>
    <row r="398" spans="1:74" ht="14.5" x14ac:dyDescent="0.35">
      <c r="A398" s="1" t="s">
        <v>758</v>
      </c>
      <c r="B398" s="2" t="s">
        <v>42</v>
      </c>
      <c r="C398" s="2" t="s">
        <v>759</v>
      </c>
      <c r="D398" s="138" t="s">
        <v>760</v>
      </c>
      <c r="E398" s="107"/>
      <c r="F398" s="37" t="s">
        <v>200</v>
      </c>
      <c r="G398" s="6">
        <v>1.19</v>
      </c>
      <c r="H398" s="147">
        <v>0</v>
      </c>
      <c r="I398" s="6">
        <f>G398*AM398</f>
        <v>0</v>
      </c>
      <c r="J398" s="6">
        <f>G398*AN398</f>
        <v>0</v>
      </c>
      <c r="K398" s="6">
        <f>G398*H398</f>
        <v>0</v>
      </c>
      <c r="L398" s="6">
        <v>0</v>
      </c>
      <c r="M398" s="6">
        <f>G398*L398</f>
        <v>0</v>
      </c>
      <c r="N398" s="86" t="s">
        <v>129</v>
      </c>
      <c r="X398" s="6">
        <f>IF(AO398="5",BH398,0)</f>
        <v>0</v>
      </c>
      <c r="Z398" s="6">
        <f>IF(AO398="1",BF398,0)</f>
        <v>0</v>
      </c>
      <c r="AA398" s="6">
        <f>IF(AO398="1",BG398,0)</f>
        <v>0</v>
      </c>
      <c r="AB398" s="6">
        <f>IF(AO398="7",BF398,0)</f>
        <v>0</v>
      </c>
      <c r="AC398" s="6">
        <f>IF(AO398="7",BG398,0)</f>
        <v>0</v>
      </c>
      <c r="AD398" s="6">
        <f>IF(AO398="2",BF398,0)</f>
        <v>0</v>
      </c>
      <c r="AE398" s="6">
        <f>IF(AO398="2",BG398,0)</f>
        <v>0</v>
      </c>
      <c r="AF398" s="6">
        <f>IF(AO398="0",BH398,0)</f>
        <v>0</v>
      </c>
      <c r="AG398" s="13" t="s">
        <v>42</v>
      </c>
      <c r="AH398" s="6">
        <f>IF(AL398=0,K398,0)</f>
        <v>0</v>
      </c>
      <c r="AI398" s="6">
        <f>IF(AL398=12,K398,0)</f>
        <v>0</v>
      </c>
      <c r="AJ398" s="6">
        <f>IF(AL398=21,K398,0)</f>
        <v>0</v>
      </c>
      <c r="AL398" s="6">
        <v>21</v>
      </c>
      <c r="AM398" s="6">
        <f>H398*0</f>
        <v>0</v>
      </c>
      <c r="AN398" s="6">
        <f>H398*(1-0)</f>
        <v>0</v>
      </c>
      <c r="AO398" s="23" t="s">
        <v>164</v>
      </c>
      <c r="AT398" s="6">
        <f>AU398+AV398</f>
        <v>0</v>
      </c>
      <c r="AU398" s="6">
        <f>G398*AM398</f>
        <v>0</v>
      </c>
      <c r="AV398" s="6">
        <f>G398*AN398</f>
        <v>0</v>
      </c>
      <c r="AW398" s="23" t="s">
        <v>748</v>
      </c>
      <c r="AX398" s="23" t="s">
        <v>677</v>
      </c>
      <c r="AY398" s="13" t="s">
        <v>475</v>
      </c>
      <c r="BA398" s="6">
        <f>AU398+AV398</f>
        <v>0</v>
      </c>
      <c r="BB398" s="6">
        <f>H398/(100-BC398)*100</f>
        <v>0</v>
      </c>
      <c r="BC398" s="6">
        <v>0</v>
      </c>
      <c r="BD398" s="6">
        <f>M398</f>
        <v>0</v>
      </c>
      <c r="BF398" s="6">
        <f>G398*AM398</f>
        <v>0</v>
      </c>
      <c r="BG398" s="6">
        <f>G398*AN398</f>
        <v>0</v>
      </c>
      <c r="BH398" s="6">
        <f>G398*H398</f>
        <v>0</v>
      </c>
      <c r="BI398" s="6"/>
      <c r="BJ398" s="6">
        <v>767</v>
      </c>
      <c r="BU398" s="6" t="e">
        <f>#REF!</f>
        <v>#REF!</v>
      </c>
      <c r="BV398" s="3" t="s">
        <v>760</v>
      </c>
    </row>
    <row r="399" spans="1:74" ht="14.5" x14ac:dyDescent="0.35">
      <c r="A399" s="20" t="s">
        <v>22</v>
      </c>
      <c r="B399" s="21" t="s">
        <v>42</v>
      </c>
      <c r="C399" s="21" t="s">
        <v>50</v>
      </c>
      <c r="D399" s="133" t="s">
        <v>51</v>
      </c>
      <c r="E399" s="134"/>
      <c r="F399" s="91" t="s">
        <v>12</v>
      </c>
      <c r="G399" s="22" t="s">
        <v>12</v>
      </c>
      <c r="H399" s="22" t="s">
        <v>12</v>
      </c>
      <c r="I399" s="12">
        <f>SUM(I400:I419)</f>
        <v>0</v>
      </c>
      <c r="J399" s="12">
        <f>SUM(J400:J419)</f>
        <v>0</v>
      </c>
      <c r="K399" s="12">
        <f>SUM(K400:K419)</f>
        <v>0</v>
      </c>
      <c r="L399" s="13" t="s">
        <v>22</v>
      </c>
      <c r="M399" s="12">
        <f>SUM(M400:M419)</f>
        <v>16.388920000000002</v>
      </c>
      <c r="N399" s="85" t="s">
        <v>22</v>
      </c>
      <c r="AG399" s="13" t="s">
        <v>42</v>
      </c>
      <c r="AQ399" s="12">
        <f>SUM(AH400:AH419)</f>
        <v>0</v>
      </c>
      <c r="AR399" s="12">
        <f>SUM(AI400:AI419)</f>
        <v>0</v>
      </c>
      <c r="AS399" s="12">
        <f>SUM(AJ400:AJ419)</f>
        <v>0</v>
      </c>
    </row>
    <row r="400" spans="1:74" ht="14.5" x14ac:dyDescent="0.35">
      <c r="A400" s="1" t="s">
        <v>761</v>
      </c>
      <c r="B400" s="2" t="s">
        <v>42</v>
      </c>
      <c r="C400" s="2" t="s">
        <v>762</v>
      </c>
      <c r="D400" s="138" t="s">
        <v>763</v>
      </c>
      <c r="E400" s="107"/>
      <c r="F400" s="37" t="s">
        <v>145</v>
      </c>
      <c r="G400" s="6">
        <v>744</v>
      </c>
      <c r="H400" s="147">
        <v>0</v>
      </c>
      <c r="I400" s="6">
        <f>G400*AM400</f>
        <v>0</v>
      </c>
      <c r="J400" s="6">
        <f>G400*AN400</f>
        <v>0</v>
      </c>
      <c r="K400" s="6">
        <f>G400*H400</f>
        <v>0</v>
      </c>
      <c r="L400" s="6">
        <v>1.8380000000000001E-2</v>
      </c>
      <c r="M400" s="6">
        <f>G400*L400</f>
        <v>13.674720000000001</v>
      </c>
      <c r="N400" s="86" t="s">
        <v>129</v>
      </c>
      <c r="X400" s="6">
        <f>IF(AO400="5",BH400,0)</f>
        <v>0</v>
      </c>
      <c r="Z400" s="6">
        <f>IF(AO400="1",BF400,0)</f>
        <v>0</v>
      </c>
      <c r="AA400" s="6">
        <f>IF(AO400="1",BG400,0)</f>
        <v>0</v>
      </c>
      <c r="AB400" s="6">
        <f>IF(AO400="7",BF400,0)</f>
        <v>0</v>
      </c>
      <c r="AC400" s="6">
        <f>IF(AO400="7",BG400,0)</f>
        <v>0</v>
      </c>
      <c r="AD400" s="6">
        <f>IF(AO400="2",BF400,0)</f>
        <v>0</v>
      </c>
      <c r="AE400" s="6">
        <f>IF(AO400="2",BG400,0)</f>
        <v>0</v>
      </c>
      <c r="AF400" s="6">
        <f>IF(AO400="0",BH400,0)</f>
        <v>0</v>
      </c>
      <c r="AG400" s="13" t="s">
        <v>42</v>
      </c>
      <c r="AH400" s="6">
        <f>IF(AL400=0,K400,0)</f>
        <v>0</v>
      </c>
      <c r="AI400" s="6">
        <f>IF(AL400=12,K400,0)</f>
        <v>0</v>
      </c>
      <c r="AJ400" s="6">
        <f>IF(AL400=21,K400,0)</f>
        <v>0</v>
      </c>
      <c r="AL400" s="6">
        <v>21</v>
      </c>
      <c r="AM400" s="6">
        <f>H400*0.000123305</f>
        <v>0</v>
      </c>
      <c r="AN400" s="6">
        <f>H400*(1-0.000123305)</f>
        <v>0</v>
      </c>
      <c r="AO400" s="23" t="s">
        <v>97</v>
      </c>
      <c r="AT400" s="6">
        <f>AU400+AV400</f>
        <v>0</v>
      </c>
      <c r="AU400" s="6">
        <f>G400*AM400</f>
        <v>0</v>
      </c>
      <c r="AV400" s="6">
        <f>G400*AN400</f>
        <v>0</v>
      </c>
      <c r="AW400" s="23" t="s">
        <v>764</v>
      </c>
      <c r="AX400" s="23" t="s">
        <v>638</v>
      </c>
      <c r="AY400" s="13" t="s">
        <v>475</v>
      </c>
      <c r="BA400" s="6">
        <f>AU400+AV400</f>
        <v>0</v>
      </c>
      <c r="BB400" s="6">
        <f>H400/(100-BC400)*100</f>
        <v>0</v>
      </c>
      <c r="BC400" s="6">
        <v>0</v>
      </c>
      <c r="BD400" s="6">
        <f>M400</f>
        <v>13.674720000000001</v>
      </c>
      <c r="BF400" s="6">
        <f>G400*AM400</f>
        <v>0</v>
      </c>
      <c r="BG400" s="6">
        <f>G400*AN400</f>
        <v>0</v>
      </c>
      <c r="BH400" s="6">
        <f>G400*H400</f>
        <v>0</v>
      </c>
      <c r="BI400" s="6"/>
      <c r="BJ400" s="6">
        <v>94</v>
      </c>
      <c r="BU400" s="6" t="e">
        <f>#REF!</f>
        <v>#REF!</v>
      </c>
      <c r="BV400" s="3" t="s">
        <v>763</v>
      </c>
    </row>
    <row r="401" spans="1:74" ht="14.5" x14ac:dyDescent="0.35">
      <c r="A401" s="24"/>
      <c r="D401" s="25" t="s">
        <v>765</v>
      </c>
      <c r="E401" s="26" t="s">
        <v>22</v>
      </c>
      <c r="G401" s="27">
        <v>744</v>
      </c>
      <c r="N401" s="87"/>
    </row>
    <row r="402" spans="1:74" ht="14.5" x14ac:dyDescent="0.35">
      <c r="A402" s="1" t="s">
        <v>766</v>
      </c>
      <c r="B402" s="2" t="s">
        <v>42</v>
      </c>
      <c r="C402" s="2" t="s">
        <v>767</v>
      </c>
      <c r="D402" s="138" t="s">
        <v>768</v>
      </c>
      <c r="E402" s="107"/>
      <c r="F402" s="37" t="s">
        <v>145</v>
      </c>
      <c r="G402" s="6">
        <v>2232</v>
      </c>
      <c r="H402" s="147">
        <v>0</v>
      </c>
      <c r="I402" s="6">
        <f>G402*AM402</f>
        <v>0</v>
      </c>
      <c r="J402" s="6">
        <f>G402*AN402</f>
        <v>0</v>
      </c>
      <c r="K402" s="6">
        <f>G402*H402</f>
        <v>0</v>
      </c>
      <c r="L402" s="6">
        <v>8.9999999999999998E-4</v>
      </c>
      <c r="M402" s="6">
        <f>G402*L402</f>
        <v>2.0087999999999999</v>
      </c>
      <c r="N402" s="86" t="s">
        <v>129</v>
      </c>
      <c r="X402" s="6">
        <f>IF(AO402="5",BH402,0)</f>
        <v>0</v>
      </c>
      <c r="Z402" s="6">
        <f>IF(AO402="1",BF402,0)</f>
        <v>0</v>
      </c>
      <c r="AA402" s="6">
        <f>IF(AO402="1",BG402,0)</f>
        <v>0</v>
      </c>
      <c r="AB402" s="6">
        <f>IF(AO402="7",BF402,0)</f>
        <v>0</v>
      </c>
      <c r="AC402" s="6">
        <f>IF(AO402="7",BG402,0)</f>
        <v>0</v>
      </c>
      <c r="AD402" s="6">
        <f>IF(AO402="2",BF402,0)</f>
        <v>0</v>
      </c>
      <c r="AE402" s="6">
        <f>IF(AO402="2",BG402,0)</f>
        <v>0</v>
      </c>
      <c r="AF402" s="6">
        <f>IF(AO402="0",BH402,0)</f>
        <v>0</v>
      </c>
      <c r="AG402" s="13" t="s">
        <v>42</v>
      </c>
      <c r="AH402" s="6">
        <f>IF(AL402=0,K402,0)</f>
        <v>0</v>
      </c>
      <c r="AI402" s="6">
        <f>IF(AL402=12,K402,0)</f>
        <v>0</v>
      </c>
      <c r="AJ402" s="6">
        <f>IF(AL402=21,K402,0)</f>
        <v>0</v>
      </c>
      <c r="AL402" s="6">
        <v>21</v>
      </c>
      <c r="AM402" s="6">
        <f>H402*0</f>
        <v>0</v>
      </c>
      <c r="AN402" s="6">
        <f>H402*(1-0)</f>
        <v>0</v>
      </c>
      <c r="AO402" s="23" t="s">
        <v>97</v>
      </c>
      <c r="AT402" s="6">
        <f>AU402+AV402</f>
        <v>0</v>
      </c>
      <c r="AU402" s="6">
        <f>G402*AM402</f>
        <v>0</v>
      </c>
      <c r="AV402" s="6">
        <f>G402*AN402</f>
        <v>0</v>
      </c>
      <c r="AW402" s="23" t="s">
        <v>764</v>
      </c>
      <c r="AX402" s="23" t="s">
        <v>638</v>
      </c>
      <c r="AY402" s="13" t="s">
        <v>475</v>
      </c>
      <c r="BA402" s="6">
        <f>AU402+AV402</f>
        <v>0</v>
      </c>
      <c r="BB402" s="6">
        <f>H402/(100-BC402)*100</f>
        <v>0</v>
      </c>
      <c r="BC402" s="6">
        <v>0</v>
      </c>
      <c r="BD402" s="6">
        <f>M402</f>
        <v>2.0087999999999999</v>
      </c>
      <c r="BF402" s="6">
        <f>G402*AM402</f>
        <v>0</v>
      </c>
      <c r="BG402" s="6">
        <f>G402*AN402</f>
        <v>0</v>
      </c>
      <c r="BH402" s="6">
        <f>G402*H402</f>
        <v>0</v>
      </c>
      <c r="BI402" s="6"/>
      <c r="BJ402" s="6">
        <v>94</v>
      </c>
      <c r="BU402" s="6" t="e">
        <f>#REF!</f>
        <v>#REF!</v>
      </c>
      <c r="BV402" s="3" t="s">
        <v>768</v>
      </c>
    </row>
    <row r="403" spans="1:74" ht="14.5" x14ac:dyDescent="0.35">
      <c r="A403" s="24"/>
      <c r="D403" s="25" t="s">
        <v>769</v>
      </c>
      <c r="E403" s="26" t="s">
        <v>770</v>
      </c>
      <c r="G403" s="27">
        <v>2232</v>
      </c>
      <c r="N403" s="87"/>
    </row>
    <row r="404" spans="1:74" ht="14.5" x14ac:dyDescent="0.35">
      <c r="A404" s="1" t="s">
        <v>771</v>
      </c>
      <c r="B404" s="2" t="s">
        <v>42</v>
      </c>
      <c r="C404" s="2" t="s">
        <v>772</v>
      </c>
      <c r="D404" s="138" t="s">
        <v>773</v>
      </c>
      <c r="E404" s="107"/>
      <c r="F404" s="37" t="s">
        <v>145</v>
      </c>
      <c r="G404" s="6">
        <v>744</v>
      </c>
      <c r="H404" s="147">
        <v>0</v>
      </c>
      <c r="I404" s="6">
        <f>G404*AM404</f>
        <v>0</v>
      </c>
      <c r="J404" s="6">
        <f>G404*AN404</f>
        <v>0</v>
      </c>
      <c r="K404" s="6">
        <f>G404*H404</f>
        <v>0</v>
      </c>
      <c r="L404" s="6">
        <v>0</v>
      </c>
      <c r="M404" s="6">
        <f>G404*L404</f>
        <v>0</v>
      </c>
      <c r="N404" s="86" t="s">
        <v>129</v>
      </c>
      <c r="X404" s="6">
        <f>IF(AO404="5",BH404,0)</f>
        <v>0</v>
      </c>
      <c r="Z404" s="6">
        <f>IF(AO404="1",BF404,0)</f>
        <v>0</v>
      </c>
      <c r="AA404" s="6">
        <f>IF(AO404="1",BG404,0)</f>
        <v>0</v>
      </c>
      <c r="AB404" s="6">
        <f>IF(AO404="7",BF404,0)</f>
        <v>0</v>
      </c>
      <c r="AC404" s="6">
        <f>IF(AO404="7",BG404,0)</f>
        <v>0</v>
      </c>
      <c r="AD404" s="6">
        <f>IF(AO404="2",BF404,0)</f>
        <v>0</v>
      </c>
      <c r="AE404" s="6">
        <f>IF(AO404="2",BG404,0)</f>
        <v>0</v>
      </c>
      <c r="AF404" s="6">
        <f>IF(AO404="0",BH404,0)</f>
        <v>0</v>
      </c>
      <c r="AG404" s="13" t="s">
        <v>42</v>
      </c>
      <c r="AH404" s="6">
        <f>IF(AL404=0,K404,0)</f>
        <v>0</v>
      </c>
      <c r="AI404" s="6">
        <f>IF(AL404=12,K404,0)</f>
        <v>0</v>
      </c>
      <c r="AJ404" s="6">
        <f>IF(AL404=21,K404,0)</f>
        <v>0</v>
      </c>
      <c r="AL404" s="6">
        <v>21</v>
      </c>
      <c r="AM404" s="6">
        <f>H404*0</f>
        <v>0</v>
      </c>
      <c r="AN404" s="6">
        <f>H404*(1-0)</f>
        <v>0</v>
      </c>
      <c r="AO404" s="23" t="s">
        <v>97</v>
      </c>
      <c r="AT404" s="6">
        <f>AU404+AV404</f>
        <v>0</v>
      </c>
      <c r="AU404" s="6">
        <f>G404*AM404</f>
        <v>0</v>
      </c>
      <c r="AV404" s="6">
        <f>G404*AN404</f>
        <v>0</v>
      </c>
      <c r="AW404" s="23" t="s">
        <v>764</v>
      </c>
      <c r="AX404" s="23" t="s">
        <v>638</v>
      </c>
      <c r="AY404" s="13" t="s">
        <v>475</v>
      </c>
      <c r="BA404" s="6">
        <f>AU404+AV404</f>
        <v>0</v>
      </c>
      <c r="BB404" s="6">
        <f>H404/(100-BC404)*100</f>
        <v>0</v>
      </c>
      <c r="BC404" s="6">
        <v>0</v>
      </c>
      <c r="BD404" s="6">
        <f>M404</f>
        <v>0</v>
      </c>
      <c r="BF404" s="6">
        <f>G404*AM404</f>
        <v>0</v>
      </c>
      <c r="BG404" s="6">
        <f>G404*AN404</f>
        <v>0</v>
      </c>
      <c r="BH404" s="6">
        <f>G404*H404</f>
        <v>0</v>
      </c>
      <c r="BI404" s="6"/>
      <c r="BJ404" s="6">
        <v>94</v>
      </c>
      <c r="BU404" s="6" t="e">
        <f>#REF!</f>
        <v>#REF!</v>
      </c>
      <c r="BV404" s="3" t="s">
        <v>773</v>
      </c>
    </row>
    <row r="405" spans="1:74" ht="14.5" x14ac:dyDescent="0.35">
      <c r="A405" s="1" t="s">
        <v>774</v>
      </c>
      <c r="B405" s="2" t="s">
        <v>42</v>
      </c>
      <c r="C405" s="2" t="s">
        <v>775</v>
      </c>
      <c r="D405" s="138" t="s">
        <v>776</v>
      </c>
      <c r="E405" s="107"/>
      <c r="F405" s="37" t="s">
        <v>145</v>
      </c>
      <c r="G405" s="6">
        <v>744</v>
      </c>
      <c r="H405" s="147">
        <v>0</v>
      </c>
      <c r="I405" s="6">
        <f>G405*AM405</f>
        <v>0</v>
      </c>
      <c r="J405" s="6">
        <f>G405*AN405</f>
        <v>0</v>
      </c>
      <c r="K405" s="6">
        <f>G405*H405</f>
        <v>0</v>
      </c>
      <c r="L405" s="6">
        <v>0</v>
      </c>
      <c r="M405" s="6">
        <f>G405*L405</f>
        <v>0</v>
      </c>
      <c r="N405" s="86" t="s">
        <v>129</v>
      </c>
      <c r="X405" s="6">
        <f>IF(AO405="5",BH405,0)</f>
        <v>0</v>
      </c>
      <c r="Z405" s="6">
        <f>IF(AO405="1",BF405,0)</f>
        <v>0</v>
      </c>
      <c r="AA405" s="6">
        <f>IF(AO405="1",BG405,0)</f>
        <v>0</v>
      </c>
      <c r="AB405" s="6">
        <f>IF(AO405="7",BF405,0)</f>
        <v>0</v>
      </c>
      <c r="AC405" s="6">
        <f>IF(AO405="7",BG405,0)</f>
        <v>0</v>
      </c>
      <c r="AD405" s="6">
        <f>IF(AO405="2",BF405,0)</f>
        <v>0</v>
      </c>
      <c r="AE405" s="6">
        <f>IF(AO405="2",BG405,0)</f>
        <v>0</v>
      </c>
      <c r="AF405" s="6">
        <f>IF(AO405="0",BH405,0)</f>
        <v>0</v>
      </c>
      <c r="AG405" s="13" t="s">
        <v>42</v>
      </c>
      <c r="AH405" s="6">
        <f>IF(AL405=0,K405,0)</f>
        <v>0</v>
      </c>
      <c r="AI405" s="6">
        <f>IF(AL405=12,K405,0)</f>
        <v>0</v>
      </c>
      <c r="AJ405" s="6">
        <f>IF(AL405=21,K405,0)</f>
        <v>0</v>
      </c>
      <c r="AL405" s="6">
        <v>21</v>
      </c>
      <c r="AM405" s="6">
        <f>H405*0</f>
        <v>0</v>
      </c>
      <c r="AN405" s="6">
        <f>H405*(1-0)</f>
        <v>0</v>
      </c>
      <c r="AO405" s="23" t="s">
        <v>97</v>
      </c>
      <c r="AT405" s="6">
        <f>AU405+AV405</f>
        <v>0</v>
      </c>
      <c r="AU405" s="6">
        <f>G405*AM405</f>
        <v>0</v>
      </c>
      <c r="AV405" s="6">
        <f>G405*AN405</f>
        <v>0</v>
      </c>
      <c r="AW405" s="23" t="s">
        <v>764</v>
      </c>
      <c r="AX405" s="23" t="s">
        <v>638</v>
      </c>
      <c r="AY405" s="13" t="s">
        <v>475</v>
      </c>
      <c r="BA405" s="6">
        <f>AU405+AV405</f>
        <v>0</v>
      </c>
      <c r="BB405" s="6">
        <f>H405/(100-BC405)*100</f>
        <v>0</v>
      </c>
      <c r="BC405" s="6">
        <v>0</v>
      </c>
      <c r="BD405" s="6">
        <f>M405</f>
        <v>0</v>
      </c>
      <c r="BF405" s="6">
        <f>G405*AM405</f>
        <v>0</v>
      </c>
      <c r="BG405" s="6">
        <f>G405*AN405</f>
        <v>0</v>
      </c>
      <c r="BH405" s="6">
        <f>G405*H405</f>
        <v>0</v>
      </c>
      <c r="BI405" s="6"/>
      <c r="BJ405" s="6">
        <v>94</v>
      </c>
      <c r="BU405" s="6" t="e">
        <f>#REF!</f>
        <v>#REF!</v>
      </c>
      <c r="BV405" s="3" t="s">
        <v>776</v>
      </c>
    </row>
    <row r="406" spans="1:74" ht="14.5" x14ac:dyDescent="0.35">
      <c r="A406" s="1" t="s">
        <v>777</v>
      </c>
      <c r="B406" s="2" t="s">
        <v>42</v>
      </c>
      <c r="C406" s="2" t="s">
        <v>778</v>
      </c>
      <c r="D406" s="138" t="s">
        <v>779</v>
      </c>
      <c r="E406" s="107"/>
      <c r="F406" s="37" t="s">
        <v>145</v>
      </c>
      <c r="G406" s="6">
        <v>2232</v>
      </c>
      <c r="H406" s="147">
        <v>0</v>
      </c>
      <c r="I406" s="6">
        <f>G406*AM406</f>
        <v>0</v>
      </c>
      <c r="J406" s="6">
        <f>G406*AN406</f>
        <v>0</v>
      </c>
      <c r="K406" s="6">
        <f>G406*H406</f>
        <v>0</v>
      </c>
      <c r="L406" s="6">
        <v>1.4999999999999999E-4</v>
      </c>
      <c r="M406" s="6">
        <f>G406*L406</f>
        <v>0.33479999999999999</v>
      </c>
      <c r="N406" s="86" t="s">
        <v>129</v>
      </c>
      <c r="X406" s="6">
        <f>IF(AO406="5",BH406,0)</f>
        <v>0</v>
      </c>
      <c r="Z406" s="6">
        <f>IF(AO406="1",BF406,0)</f>
        <v>0</v>
      </c>
      <c r="AA406" s="6">
        <f>IF(AO406="1",BG406,0)</f>
        <v>0</v>
      </c>
      <c r="AB406" s="6">
        <f>IF(AO406="7",BF406,0)</f>
        <v>0</v>
      </c>
      <c r="AC406" s="6">
        <f>IF(AO406="7",BG406,0)</f>
        <v>0</v>
      </c>
      <c r="AD406" s="6">
        <f>IF(AO406="2",BF406,0)</f>
        <v>0</v>
      </c>
      <c r="AE406" s="6">
        <f>IF(AO406="2",BG406,0)</f>
        <v>0</v>
      </c>
      <c r="AF406" s="6">
        <f>IF(AO406="0",BH406,0)</f>
        <v>0</v>
      </c>
      <c r="AG406" s="13" t="s">
        <v>42</v>
      </c>
      <c r="AH406" s="6">
        <f>IF(AL406=0,K406,0)</f>
        <v>0</v>
      </c>
      <c r="AI406" s="6">
        <f>IF(AL406=12,K406,0)</f>
        <v>0</v>
      </c>
      <c r="AJ406" s="6">
        <f>IF(AL406=21,K406,0)</f>
        <v>0</v>
      </c>
      <c r="AL406" s="6">
        <v>21</v>
      </c>
      <c r="AM406" s="6">
        <f>H406*1</f>
        <v>0</v>
      </c>
      <c r="AN406" s="6">
        <f>H406*(1-1)</f>
        <v>0</v>
      </c>
      <c r="AO406" s="23" t="s">
        <v>97</v>
      </c>
      <c r="AT406" s="6">
        <f>AU406+AV406</f>
        <v>0</v>
      </c>
      <c r="AU406" s="6">
        <f>G406*AM406</f>
        <v>0</v>
      </c>
      <c r="AV406" s="6">
        <f>G406*AN406</f>
        <v>0</v>
      </c>
      <c r="AW406" s="23" t="s">
        <v>764</v>
      </c>
      <c r="AX406" s="23" t="s">
        <v>638</v>
      </c>
      <c r="AY406" s="13" t="s">
        <v>475</v>
      </c>
      <c r="BA406" s="6">
        <f>AU406+AV406</f>
        <v>0</v>
      </c>
      <c r="BB406" s="6">
        <f>H406/(100-BC406)*100</f>
        <v>0</v>
      </c>
      <c r="BC406" s="6">
        <v>0</v>
      </c>
      <c r="BD406" s="6">
        <f>M406</f>
        <v>0.33479999999999999</v>
      </c>
      <c r="BF406" s="6">
        <f>G406*AM406</f>
        <v>0</v>
      </c>
      <c r="BG406" s="6">
        <f>G406*AN406</f>
        <v>0</v>
      </c>
      <c r="BH406" s="6">
        <f>G406*H406</f>
        <v>0</v>
      </c>
      <c r="BI406" s="6"/>
      <c r="BJ406" s="6">
        <v>94</v>
      </c>
      <c r="BU406" s="6" t="e">
        <f>#REF!</f>
        <v>#REF!</v>
      </c>
      <c r="BV406" s="3" t="s">
        <v>779</v>
      </c>
    </row>
    <row r="407" spans="1:74" ht="14.5" x14ac:dyDescent="0.35">
      <c r="A407" s="24"/>
      <c r="D407" s="25" t="s">
        <v>769</v>
      </c>
      <c r="E407" s="26" t="s">
        <v>770</v>
      </c>
      <c r="G407" s="27">
        <v>2232</v>
      </c>
      <c r="N407" s="87"/>
    </row>
    <row r="408" spans="1:74" ht="14.5" x14ac:dyDescent="0.35">
      <c r="A408" s="1" t="s">
        <v>780</v>
      </c>
      <c r="B408" s="2" t="s">
        <v>42</v>
      </c>
      <c r="C408" s="2" t="s">
        <v>781</v>
      </c>
      <c r="D408" s="138" t="s">
        <v>782</v>
      </c>
      <c r="E408" s="107"/>
      <c r="F408" s="37" t="s">
        <v>145</v>
      </c>
      <c r="G408" s="6">
        <v>744</v>
      </c>
      <c r="H408" s="147">
        <v>0</v>
      </c>
      <c r="I408" s="6">
        <f>G408*AM408</f>
        <v>0</v>
      </c>
      <c r="J408" s="6">
        <f>G408*AN408</f>
        <v>0</v>
      </c>
      <c r="K408" s="6">
        <f>G408*H408</f>
        <v>0</v>
      </c>
      <c r="L408" s="6">
        <v>0</v>
      </c>
      <c r="M408" s="6">
        <f>G408*L408</f>
        <v>0</v>
      </c>
      <c r="N408" s="86" t="s">
        <v>129</v>
      </c>
      <c r="X408" s="6">
        <f>IF(AO408="5",BH408,0)</f>
        <v>0</v>
      </c>
      <c r="Z408" s="6">
        <f>IF(AO408="1",BF408,0)</f>
        <v>0</v>
      </c>
      <c r="AA408" s="6">
        <f>IF(AO408="1",BG408,0)</f>
        <v>0</v>
      </c>
      <c r="AB408" s="6">
        <f>IF(AO408="7",BF408,0)</f>
        <v>0</v>
      </c>
      <c r="AC408" s="6">
        <f>IF(AO408="7",BG408,0)</f>
        <v>0</v>
      </c>
      <c r="AD408" s="6">
        <f>IF(AO408="2",BF408,0)</f>
        <v>0</v>
      </c>
      <c r="AE408" s="6">
        <f>IF(AO408="2",BG408,0)</f>
        <v>0</v>
      </c>
      <c r="AF408" s="6">
        <f>IF(AO408="0",BH408,0)</f>
        <v>0</v>
      </c>
      <c r="AG408" s="13" t="s">
        <v>42</v>
      </c>
      <c r="AH408" s="6">
        <f>IF(AL408=0,K408,0)</f>
        <v>0</v>
      </c>
      <c r="AI408" s="6">
        <f>IF(AL408=12,K408,0)</f>
        <v>0</v>
      </c>
      <c r="AJ408" s="6">
        <f>IF(AL408=21,K408,0)</f>
        <v>0</v>
      </c>
      <c r="AL408" s="6">
        <v>21</v>
      </c>
      <c r="AM408" s="6">
        <f>H408*0</f>
        <v>0</v>
      </c>
      <c r="AN408" s="6">
        <f>H408*(1-0)</f>
        <v>0</v>
      </c>
      <c r="AO408" s="23" t="s">
        <v>97</v>
      </c>
      <c r="AT408" s="6">
        <f>AU408+AV408</f>
        <v>0</v>
      </c>
      <c r="AU408" s="6">
        <f>G408*AM408</f>
        <v>0</v>
      </c>
      <c r="AV408" s="6">
        <f>G408*AN408</f>
        <v>0</v>
      </c>
      <c r="AW408" s="23" t="s">
        <v>764</v>
      </c>
      <c r="AX408" s="23" t="s">
        <v>638</v>
      </c>
      <c r="AY408" s="13" t="s">
        <v>475</v>
      </c>
      <c r="BA408" s="6">
        <f>AU408+AV408</f>
        <v>0</v>
      </c>
      <c r="BB408" s="6">
        <f>H408/(100-BC408)*100</f>
        <v>0</v>
      </c>
      <c r="BC408" s="6">
        <v>0</v>
      </c>
      <c r="BD408" s="6">
        <f>M408</f>
        <v>0</v>
      </c>
      <c r="BF408" s="6">
        <f>G408*AM408</f>
        <v>0</v>
      </c>
      <c r="BG408" s="6">
        <f>G408*AN408</f>
        <v>0</v>
      </c>
      <c r="BH408" s="6">
        <f>G408*H408</f>
        <v>0</v>
      </c>
      <c r="BI408" s="6"/>
      <c r="BJ408" s="6">
        <v>94</v>
      </c>
      <c r="BU408" s="6" t="e">
        <f>#REF!</f>
        <v>#REF!</v>
      </c>
      <c r="BV408" s="3" t="s">
        <v>782</v>
      </c>
    </row>
    <row r="409" spans="1:74" ht="14.5" x14ac:dyDescent="0.35">
      <c r="A409" s="1" t="s">
        <v>783</v>
      </c>
      <c r="B409" s="2" t="s">
        <v>42</v>
      </c>
      <c r="C409" s="2" t="s">
        <v>784</v>
      </c>
      <c r="D409" s="138" t="s">
        <v>785</v>
      </c>
      <c r="E409" s="107"/>
      <c r="F409" s="37" t="s">
        <v>100</v>
      </c>
      <c r="G409" s="6">
        <v>3.6</v>
      </c>
      <c r="H409" s="147">
        <v>0</v>
      </c>
      <c r="I409" s="6">
        <f>G409*AM409</f>
        <v>0</v>
      </c>
      <c r="J409" s="6">
        <f>G409*AN409</f>
        <v>0</v>
      </c>
      <c r="K409" s="6">
        <f>G409*H409</f>
        <v>0</v>
      </c>
      <c r="L409" s="6">
        <v>2.3720000000000001E-2</v>
      </c>
      <c r="M409" s="6">
        <f>G409*L409</f>
        <v>8.539200000000001E-2</v>
      </c>
      <c r="N409" s="86" t="s">
        <v>129</v>
      </c>
      <c r="X409" s="6">
        <f>IF(AO409="5",BH409,0)</f>
        <v>0</v>
      </c>
      <c r="Z409" s="6">
        <f>IF(AO409="1",BF409,0)</f>
        <v>0</v>
      </c>
      <c r="AA409" s="6">
        <f>IF(AO409="1",BG409,0)</f>
        <v>0</v>
      </c>
      <c r="AB409" s="6">
        <f>IF(AO409="7",BF409,0)</f>
        <v>0</v>
      </c>
      <c r="AC409" s="6">
        <f>IF(AO409="7",BG409,0)</f>
        <v>0</v>
      </c>
      <c r="AD409" s="6">
        <f>IF(AO409="2",BF409,0)</f>
        <v>0</v>
      </c>
      <c r="AE409" s="6">
        <f>IF(AO409="2",BG409,0)</f>
        <v>0</v>
      </c>
      <c r="AF409" s="6">
        <f>IF(AO409="0",BH409,0)</f>
        <v>0</v>
      </c>
      <c r="AG409" s="13" t="s">
        <v>42</v>
      </c>
      <c r="AH409" s="6">
        <f>IF(AL409=0,K409,0)</f>
        <v>0</v>
      </c>
      <c r="AI409" s="6">
        <f>IF(AL409=12,K409,0)</f>
        <v>0</v>
      </c>
      <c r="AJ409" s="6">
        <f>IF(AL409=21,K409,0)</f>
        <v>0</v>
      </c>
      <c r="AL409" s="6">
        <v>21</v>
      </c>
      <c r="AM409" s="6">
        <f>H409*0.393675565</f>
        <v>0</v>
      </c>
      <c r="AN409" s="6">
        <f>H409*(1-0.393675565)</f>
        <v>0</v>
      </c>
      <c r="AO409" s="23" t="s">
        <v>97</v>
      </c>
      <c r="AT409" s="6">
        <f>AU409+AV409</f>
        <v>0</v>
      </c>
      <c r="AU409" s="6">
        <f>G409*AM409</f>
        <v>0</v>
      </c>
      <c r="AV409" s="6">
        <f>G409*AN409</f>
        <v>0</v>
      </c>
      <c r="AW409" s="23" t="s">
        <v>764</v>
      </c>
      <c r="AX409" s="23" t="s">
        <v>638</v>
      </c>
      <c r="AY409" s="13" t="s">
        <v>475</v>
      </c>
      <c r="BA409" s="6">
        <f>AU409+AV409</f>
        <v>0</v>
      </c>
      <c r="BB409" s="6">
        <f>H409/(100-BC409)*100</f>
        <v>0</v>
      </c>
      <c r="BC409" s="6">
        <v>0</v>
      </c>
      <c r="BD409" s="6">
        <f>M409</f>
        <v>8.539200000000001E-2</v>
      </c>
      <c r="BF409" s="6">
        <f>G409*AM409</f>
        <v>0</v>
      </c>
      <c r="BG409" s="6">
        <f>G409*AN409</f>
        <v>0</v>
      </c>
      <c r="BH409" s="6">
        <f>G409*H409</f>
        <v>0</v>
      </c>
      <c r="BI409" s="6"/>
      <c r="BJ409" s="6">
        <v>94</v>
      </c>
      <c r="BU409" s="6" t="e">
        <f>#REF!</f>
        <v>#REF!</v>
      </c>
      <c r="BV409" s="3" t="s">
        <v>785</v>
      </c>
    </row>
    <row r="410" spans="1:74" ht="14.5" x14ac:dyDescent="0.35">
      <c r="A410" s="24"/>
      <c r="D410" s="25" t="s">
        <v>786</v>
      </c>
      <c r="E410" s="26" t="s">
        <v>787</v>
      </c>
      <c r="G410" s="27">
        <v>3.6</v>
      </c>
      <c r="N410" s="87"/>
    </row>
    <row r="411" spans="1:74" ht="14.5" x14ac:dyDescent="0.35">
      <c r="A411" s="1" t="s">
        <v>788</v>
      </c>
      <c r="B411" s="2" t="s">
        <v>42</v>
      </c>
      <c r="C411" s="2" t="s">
        <v>789</v>
      </c>
      <c r="D411" s="138" t="s">
        <v>790</v>
      </c>
      <c r="E411" s="107"/>
      <c r="F411" s="37" t="s">
        <v>100</v>
      </c>
      <c r="G411" s="6">
        <v>10.8</v>
      </c>
      <c r="H411" s="147">
        <v>0</v>
      </c>
      <c r="I411" s="6">
        <f>G411*AM411</f>
        <v>0</v>
      </c>
      <c r="J411" s="6">
        <f>G411*AN411</f>
        <v>0</v>
      </c>
      <c r="K411" s="6">
        <f>G411*H411</f>
        <v>0</v>
      </c>
      <c r="L411" s="6">
        <v>1.7600000000000001E-3</v>
      </c>
      <c r="M411" s="6">
        <f>G411*L411</f>
        <v>1.9008000000000001E-2</v>
      </c>
      <c r="N411" s="86" t="s">
        <v>129</v>
      </c>
      <c r="X411" s="6">
        <f>IF(AO411="5",BH411,0)</f>
        <v>0</v>
      </c>
      <c r="Z411" s="6">
        <f>IF(AO411="1",BF411,0)</f>
        <v>0</v>
      </c>
      <c r="AA411" s="6">
        <f>IF(AO411="1",BG411,0)</f>
        <v>0</v>
      </c>
      <c r="AB411" s="6">
        <f>IF(AO411="7",BF411,0)</f>
        <v>0</v>
      </c>
      <c r="AC411" s="6">
        <f>IF(AO411="7",BG411,0)</f>
        <v>0</v>
      </c>
      <c r="AD411" s="6">
        <f>IF(AO411="2",BF411,0)</f>
        <v>0</v>
      </c>
      <c r="AE411" s="6">
        <f>IF(AO411="2",BG411,0)</f>
        <v>0</v>
      </c>
      <c r="AF411" s="6">
        <f>IF(AO411="0",BH411,0)</f>
        <v>0</v>
      </c>
      <c r="AG411" s="13" t="s">
        <v>42</v>
      </c>
      <c r="AH411" s="6">
        <f>IF(AL411=0,K411,0)</f>
        <v>0</v>
      </c>
      <c r="AI411" s="6">
        <f>IF(AL411=12,K411,0)</f>
        <v>0</v>
      </c>
      <c r="AJ411" s="6">
        <f>IF(AL411=21,K411,0)</f>
        <v>0</v>
      </c>
      <c r="AL411" s="6">
        <v>21</v>
      </c>
      <c r="AM411" s="6">
        <f>H411*0.912785782</f>
        <v>0</v>
      </c>
      <c r="AN411" s="6">
        <f>H411*(1-0.912785782)</f>
        <v>0</v>
      </c>
      <c r="AO411" s="23" t="s">
        <v>97</v>
      </c>
      <c r="AT411" s="6">
        <f>AU411+AV411</f>
        <v>0</v>
      </c>
      <c r="AU411" s="6">
        <f>G411*AM411</f>
        <v>0</v>
      </c>
      <c r="AV411" s="6">
        <f>G411*AN411</f>
        <v>0</v>
      </c>
      <c r="AW411" s="23" t="s">
        <v>764</v>
      </c>
      <c r="AX411" s="23" t="s">
        <v>638</v>
      </c>
      <c r="AY411" s="13" t="s">
        <v>475</v>
      </c>
      <c r="BA411" s="6">
        <f>AU411+AV411</f>
        <v>0</v>
      </c>
      <c r="BB411" s="6">
        <f>H411/(100-BC411)*100</f>
        <v>0</v>
      </c>
      <c r="BC411" s="6">
        <v>0</v>
      </c>
      <c r="BD411" s="6">
        <f>M411</f>
        <v>1.9008000000000001E-2</v>
      </c>
      <c r="BF411" s="6">
        <f>G411*AM411</f>
        <v>0</v>
      </c>
      <c r="BG411" s="6">
        <f>G411*AN411</f>
        <v>0</v>
      </c>
      <c r="BH411" s="6">
        <f>G411*H411</f>
        <v>0</v>
      </c>
      <c r="BI411" s="6"/>
      <c r="BJ411" s="6">
        <v>94</v>
      </c>
      <c r="BU411" s="6" t="e">
        <f>#REF!</f>
        <v>#REF!</v>
      </c>
      <c r="BV411" s="3" t="s">
        <v>790</v>
      </c>
    </row>
    <row r="412" spans="1:74" ht="14.5" x14ac:dyDescent="0.35">
      <c r="A412" s="24"/>
      <c r="D412" s="25" t="s">
        <v>791</v>
      </c>
      <c r="E412" s="26" t="s">
        <v>770</v>
      </c>
      <c r="G412" s="27">
        <v>10.8</v>
      </c>
      <c r="N412" s="87"/>
    </row>
    <row r="413" spans="1:74" ht="14.5" x14ac:dyDescent="0.35">
      <c r="A413" s="1" t="s">
        <v>792</v>
      </c>
      <c r="B413" s="2" t="s">
        <v>42</v>
      </c>
      <c r="C413" s="2" t="s">
        <v>793</v>
      </c>
      <c r="D413" s="138" t="s">
        <v>794</v>
      </c>
      <c r="E413" s="107"/>
      <c r="F413" s="37" t="s">
        <v>100</v>
      </c>
      <c r="G413" s="6">
        <v>3.6</v>
      </c>
      <c r="H413" s="147">
        <v>0</v>
      </c>
      <c r="I413" s="6">
        <f>G413*AM413</f>
        <v>0</v>
      </c>
      <c r="J413" s="6">
        <f>G413*AN413</f>
        <v>0</v>
      </c>
      <c r="K413" s="6">
        <f>G413*H413</f>
        <v>0</v>
      </c>
      <c r="L413" s="6">
        <v>0</v>
      </c>
      <c r="M413" s="6">
        <f>G413*L413</f>
        <v>0</v>
      </c>
      <c r="N413" s="86" t="s">
        <v>129</v>
      </c>
      <c r="X413" s="6">
        <f>IF(AO413="5",BH413,0)</f>
        <v>0</v>
      </c>
      <c r="Z413" s="6">
        <f>IF(AO413="1",BF413,0)</f>
        <v>0</v>
      </c>
      <c r="AA413" s="6">
        <f>IF(AO413="1",BG413,0)</f>
        <v>0</v>
      </c>
      <c r="AB413" s="6">
        <f>IF(AO413="7",BF413,0)</f>
        <v>0</v>
      </c>
      <c r="AC413" s="6">
        <f>IF(AO413="7",BG413,0)</f>
        <v>0</v>
      </c>
      <c r="AD413" s="6">
        <f>IF(AO413="2",BF413,0)</f>
        <v>0</v>
      </c>
      <c r="AE413" s="6">
        <f>IF(AO413="2",BG413,0)</f>
        <v>0</v>
      </c>
      <c r="AF413" s="6">
        <f>IF(AO413="0",BH413,0)</f>
        <v>0</v>
      </c>
      <c r="AG413" s="13" t="s">
        <v>42</v>
      </c>
      <c r="AH413" s="6">
        <f>IF(AL413=0,K413,0)</f>
        <v>0</v>
      </c>
      <c r="AI413" s="6">
        <f>IF(AL413=12,K413,0)</f>
        <v>0</v>
      </c>
      <c r="AJ413" s="6">
        <f>IF(AL413=21,K413,0)</f>
        <v>0</v>
      </c>
      <c r="AL413" s="6">
        <v>21</v>
      </c>
      <c r="AM413" s="6">
        <f>H413*0</f>
        <v>0</v>
      </c>
      <c r="AN413" s="6">
        <f>H413*(1-0)</f>
        <v>0</v>
      </c>
      <c r="AO413" s="23" t="s">
        <v>97</v>
      </c>
      <c r="AT413" s="6">
        <f>AU413+AV413</f>
        <v>0</v>
      </c>
      <c r="AU413" s="6">
        <f>G413*AM413</f>
        <v>0</v>
      </c>
      <c r="AV413" s="6">
        <f>G413*AN413</f>
        <v>0</v>
      </c>
      <c r="AW413" s="23" t="s">
        <v>764</v>
      </c>
      <c r="AX413" s="23" t="s">
        <v>638</v>
      </c>
      <c r="AY413" s="13" t="s">
        <v>475</v>
      </c>
      <c r="BA413" s="6">
        <f>AU413+AV413</f>
        <v>0</v>
      </c>
      <c r="BB413" s="6">
        <f>H413/(100-BC413)*100</f>
        <v>0</v>
      </c>
      <c r="BC413" s="6">
        <v>0</v>
      </c>
      <c r="BD413" s="6">
        <f>M413</f>
        <v>0</v>
      </c>
      <c r="BF413" s="6">
        <f>G413*AM413</f>
        <v>0</v>
      </c>
      <c r="BG413" s="6">
        <f>G413*AN413</f>
        <v>0</v>
      </c>
      <c r="BH413" s="6">
        <f>G413*H413</f>
        <v>0</v>
      </c>
      <c r="BI413" s="6"/>
      <c r="BJ413" s="6">
        <v>94</v>
      </c>
      <c r="BU413" s="6" t="e">
        <f>#REF!</f>
        <v>#REF!</v>
      </c>
      <c r="BV413" s="3" t="s">
        <v>794</v>
      </c>
    </row>
    <row r="414" spans="1:74" ht="14.5" x14ac:dyDescent="0.35">
      <c r="A414" s="24"/>
      <c r="D414" s="25" t="s">
        <v>786</v>
      </c>
      <c r="E414" s="26" t="s">
        <v>22</v>
      </c>
      <c r="G414" s="27">
        <v>3.6</v>
      </c>
      <c r="N414" s="87"/>
    </row>
    <row r="415" spans="1:74" ht="14.5" x14ac:dyDescent="0.35">
      <c r="A415" s="1" t="s">
        <v>795</v>
      </c>
      <c r="B415" s="2" t="s">
        <v>42</v>
      </c>
      <c r="C415" s="2" t="s">
        <v>796</v>
      </c>
      <c r="D415" s="138" t="s">
        <v>797</v>
      </c>
      <c r="E415" s="107"/>
      <c r="F415" s="37" t="s">
        <v>259</v>
      </c>
      <c r="G415" s="6">
        <v>1</v>
      </c>
      <c r="H415" s="147">
        <v>0</v>
      </c>
      <c r="I415" s="6">
        <f>G415*AM415</f>
        <v>0</v>
      </c>
      <c r="J415" s="6">
        <f>G415*AN415</f>
        <v>0</v>
      </c>
      <c r="K415" s="6">
        <f>G415*H415</f>
        <v>0</v>
      </c>
      <c r="L415" s="6">
        <v>0</v>
      </c>
      <c r="M415" s="6">
        <f>G415*L415</f>
        <v>0</v>
      </c>
      <c r="N415" s="86" t="s">
        <v>129</v>
      </c>
      <c r="X415" s="6">
        <f>IF(AO415="5",BH415,0)</f>
        <v>0</v>
      </c>
      <c r="Z415" s="6">
        <f>IF(AO415="1",BF415,0)</f>
        <v>0</v>
      </c>
      <c r="AA415" s="6">
        <f>IF(AO415="1",BG415,0)</f>
        <v>0</v>
      </c>
      <c r="AB415" s="6">
        <f>IF(AO415="7",BF415,0)</f>
        <v>0</v>
      </c>
      <c r="AC415" s="6">
        <f>IF(AO415="7",BG415,0)</f>
        <v>0</v>
      </c>
      <c r="AD415" s="6">
        <f>IF(AO415="2",BF415,0)</f>
        <v>0</v>
      </c>
      <c r="AE415" s="6">
        <f>IF(AO415="2",BG415,0)</f>
        <v>0</v>
      </c>
      <c r="AF415" s="6">
        <f>IF(AO415="0",BH415,0)</f>
        <v>0</v>
      </c>
      <c r="AG415" s="13" t="s">
        <v>42</v>
      </c>
      <c r="AH415" s="6">
        <f>IF(AL415=0,K415,0)</f>
        <v>0</v>
      </c>
      <c r="AI415" s="6">
        <f>IF(AL415=12,K415,0)</f>
        <v>0</v>
      </c>
      <c r="AJ415" s="6">
        <f>IF(AL415=21,K415,0)</f>
        <v>0</v>
      </c>
      <c r="AL415" s="6">
        <v>21</v>
      </c>
      <c r="AM415" s="6">
        <f>H415*0</f>
        <v>0</v>
      </c>
      <c r="AN415" s="6">
        <f>H415*(1-0)</f>
        <v>0</v>
      </c>
      <c r="AO415" s="23" t="s">
        <v>97</v>
      </c>
      <c r="AT415" s="6">
        <f>AU415+AV415</f>
        <v>0</v>
      </c>
      <c r="AU415" s="6">
        <f>G415*AM415</f>
        <v>0</v>
      </c>
      <c r="AV415" s="6">
        <f>G415*AN415</f>
        <v>0</v>
      </c>
      <c r="AW415" s="23" t="s">
        <v>764</v>
      </c>
      <c r="AX415" s="23" t="s">
        <v>638</v>
      </c>
      <c r="AY415" s="13" t="s">
        <v>475</v>
      </c>
      <c r="BA415" s="6">
        <f>AU415+AV415</f>
        <v>0</v>
      </c>
      <c r="BB415" s="6">
        <f>H415/(100-BC415)*100</f>
        <v>0</v>
      </c>
      <c r="BC415" s="6">
        <v>0</v>
      </c>
      <c r="BD415" s="6">
        <f>M415</f>
        <v>0</v>
      </c>
      <c r="BF415" s="6">
        <f>G415*AM415</f>
        <v>0</v>
      </c>
      <c r="BG415" s="6">
        <f>G415*AN415</f>
        <v>0</v>
      </c>
      <c r="BH415" s="6">
        <f>G415*H415</f>
        <v>0</v>
      </c>
      <c r="BI415" s="6"/>
      <c r="BJ415" s="6">
        <v>94</v>
      </c>
      <c r="BU415" s="6" t="e">
        <f>#REF!</f>
        <v>#REF!</v>
      </c>
      <c r="BV415" s="3" t="s">
        <v>797</v>
      </c>
    </row>
    <row r="416" spans="1:74" ht="14.5" x14ac:dyDescent="0.35">
      <c r="A416" s="1" t="s">
        <v>798</v>
      </c>
      <c r="B416" s="2" t="s">
        <v>42</v>
      </c>
      <c r="C416" s="2" t="s">
        <v>799</v>
      </c>
      <c r="D416" s="138" t="s">
        <v>800</v>
      </c>
      <c r="E416" s="107"/>
      <c r="F416" s="37" t="s">
        <v>801</v>
      </c>
      <c r="G416" s="6">
        <v>90</v>
      </c>
      <c r="H416" s="147">
        <v>0</v>
      </c>
      <c r="I416" s="6">
        <f>G416*AM416</f>
        <v>0</v>
      </c>
      <c r="J416" s="6">
        <f>G416*AN416</f>
        <v>0</v>
      </c>
      <c r="K416" s="6">
        <f>G416*H416</f>
        <v>0</v>
      </c>
      <c r="L416" s="6">
        <v>0</v>
      </c>
      <c r="M416" s="6">
        <f>G416*L416</f>
        <v>0</v>
      </c>
      <c r="N416" s="86" t="s">
        <v>129</v>
      </c>
      <c r="X416" s="6">
        <f>IF(AO416="5",BH416,0)</f>
        <v>0</v>
      </c>
      <c r="Z416" s="6">
        <f>IF(AO416="1",BF416,0)</f>
        <v>0</v>
      </c>
      <c r="AA416" s="6">
        <f>IF(AO416="1",BG416,0)</f>
        <v>0</v>
      </c>
      <c r="AB416" s="6">
        <f>IF(AO416="7",BF416,0)</f>
        <v>0</v>
      </c>
      <c r="AC416" s="6">
        <f>IF(AO416="7",BG416,0)</f>
        <v>0</v>
      </c>
      <c r="AD416" s="6">
        <f>IF(AO416="2",BF416,0)</f>
        <v>0</v>
      </c>
      <c r="AE416" s="6">
        <f>IF(AO416="2",BG416,0)</f>
        <v>0</v>
      </c>
      <c r="AF416" s="6">
        <f>IF(AO416="0",BH416,0)</f>
        <v>0</v>
      </c>
      <c r="AG416" s="13" t="s">
        <v>42</v>
      </c>
      <c r="AH416" s="6">
        <f>IF(AL416=0,K416,0)</f>
        <v>0</v>
      </c>
      <c r="AI416" s="6">
        <f>IF(AL416=12,K416,0)</f>
        <v>0</v>
      </c>
      <c r="AJ416" s="6">
        <f>IF(AL416=21,K416,0)</f>
        <v>0</v>
      </c>
      <c r="AL416" s="6">
        <v>21</v>
      </c>
      <c r="AM416" s="6">
        <f>H416*0</f>
        <v>0</v>
      </c>
      <c r="AN416" s="6">
        <f>H416*(1-0)</f>
        <v>0</v>
      </c>
      <c r="AO416" s="23" t="s">
        <v>97</v>
      </c>
      <c r="AT416" s="6">
        <f>AU416+AV416</f>
        <v>0</v>
      </c>
      <c r="AU416" s="6">
        <f>G416*AM416</f>
        <v>0</v>
      </c>
      <c r="AV416" s="6">
        <f>G416*AN416</f>
        <v>0</v>
      </c>
      <c r="AW416" s="23" t="s">
        <v>764</v>
      </c>
      <c r="AX416" s="23" t="s">
        <v>638</v>
      </c>
      <c r="AY416" s="13" t="s">
        <v>475</v>
      </c>
      <c r="BA416" s="6">
        <f>AU416+AV416</f>
        <v>0</v>
      </c>
      <c r="BB416" s="6">
        <f>H416/(100-BC416)*100</f>
        <v>0</v>
      </c>
      <c r="BC416" s="6">
        <v>0</v>
      </c>
      <c r="BD416" s="6">
        <f>M416</f>
        <v>0</v>
      </c>
      <c r="BF416" s="6">
        <f>G416*AM416</f>
        <v>0</v>
      </c>
      <c r="BG416" s="6">
        <f>G416*AN416</f>
        <v>0</v>
      </c>
      <c r="BH416" s="6">
        <f>G416*H416</f>
        <v>0</v>
      </c>
      <c r="BI416" s="6"/>
      <c r="BJ416" s="6">
        <v>94</v>
      </c>
      <c r="BU416" s="6" t="e">
        <f>#REF!</f>
        <v>#REF!</v>
      </c>
      <c r="BV416" s="3" t="s">
        <v>800</v>
      </c>
    </row>
    <row r="417" spans="1:74" ht="14.5" x14ac:dyDescent="0.35">
      <c r="A417" s="24"/>
      <c r="D417" s="25" t="s">
        <v>592</v>
      </c>
      <c r="E417" s="26" t="s">
        <v>770</v>
      </c>
      <c r="G417" s="27">
        <v>90</v>
      </c>
      <c r="N417" s="87"/>
    </row>
    <row r="418" spans="1:74" ht="14.5" x14ac:dyDescent="0.35">
      <c r="A418" s="1" t="s">
        <v>802</v>
      </c>
      <c r="B418" s="2" t="s">
        <v>42</v>
      </c>
      <c r="C418" s="2" t="s">
        <v>803</v>
      </c>
      <c r="D418" s="138" t="s">
        <v>804</v>
      </c>
      <c r="E418" s="107"/>
      <c r="F418" s="37" t="s">
        <v>259</v>
      </c>
      <c r="G418" s="6">
        <v>1</v>
      </c>
      <c r="H418" s="147">
        <v>0</v>
      </c>
      <c r="I418" s="6">
        <f>G418*AM418</f>
        <v>0</v>
      </c>
      <c r="J418" s="6">
        <f>G418*AN418</f>
        <v>0</v>
      </c>
      <c r="K418" s="6">
        <f>G418*H418</f>
        <v>0</v>
      </c>
      <c r="L418" s="6">
        <v>0</v>
      </c>
      <c r="M418" s="6">
        <f>G418*L418</f>
        <v>0</v>
      </c>
      <c r="N418" s="86" t="s">
        <v>129</v>
      </c>
      <c r="X418" s="6">
        <f>IF(AO418="5",BH418,0)</f>
        <v>0</v>
      </c>
      <c r="Z418" s="6">
        <f>IF(AO418="1",BF418,0)</f>
        <v>0</v>
      </c>
      <c r="AA418" s="6">
        <f>IF(AO418="1",BG418,0)</f>
        <v>0</v>
      </c>
      <c r="AB418" s="6">
        <f>IF(AO418="7",BF418,0)</f>
        <v>0</v>
      </c>
      <c r="AC418" s="6">
        <f>IF(AO418="7",BG418,0)</f>
        <v>0</v>
      </c>
      <c r="AD418" s="6">
        <f>IF(AO418="2",BF418,0)</f>
        <v>0</v>
      </c>
      <c r="AE418" s="6">
        <f>IF(AO418="2",BG418,0)</f>
        <v>0</v>
      </c>
      <c r="AF418" s="6">
        <f>IF(AO418="0",BH418,0)</f>
        <v>0</v>
      </c>
      <c r="AG418" s="13" t="s">
        <v>42</v>
      </c>
      <c r="AH418" s="6">
        <f>IF(AL418=0,K418,0)</f>
        <v>0</v>
      </c>
      <c r="AI418" s="6">
        <f>IF(AL418=12,K418,0)</f>
        <v>0</v>
      </c>
      <c r="AJ418" s="6">
        <f>IF(AL418=21,K418,0)</f>
        <v>0</v>
      </c>
      <c r="AL418" s="6">
        <v>21</v>
      </c>
      <c r="AM418" s="6">
        <f>H418*0</f>
        <v>0</v>
      </c>
      <c r="AN418" s="6">
        <f>H418*(1-0)</f>
        <v>0</v>
      </c>
      <c r="AO418" s="23" t="s">
        <v>97</v>
      </c>
      <c r="AT418" s="6">
        <f>AU418+AV418</f>
        <v>0</v>
      </c>
      <c r="AU418" s="6">
        <f>G418*AM418</f>
        <v>0</v>
      </c>
      <c r="AV418" s="6">
        <f>G418*AN418</f>
        <v>0</v>
      </c>
      <c r="AW418" s="23" t="s">
        <v>764</v>
      </c>
      <c r="AX418" s="23" t="s">
        <v>638</v>
      </c>
      <c r="AY418" s="13" t="s">
        <v>475</v>
      </c>
      <c r="BA418" s="6">
        <f>AU418+AV418</f>
        <v>0</v>
      </c>
      <c r="BB418" s="6">
        <f>H418/(100-BC418)*100</f>
        <v>0</v>
      </c>
      <c r="BC418" s="6">
        <v>0</v>
      </c>
      <c r="BD418" s="6">
        <f>M418</f>
        <v>0</v>
      </c>
      <c r="BF418" s="6">
        <f>G418*AM418</f>
        <v>0</v>
      </c>
      <c r="BG418" s="6">
        <f>G418*AN418</f>
        <v>0</v>
      </c>
      <c r="BH418" s="6">
        <f>G418*H418</f>
        <v>0</v>
      </c>
      <c r="BI418" s="6"/>
      <c r="BJ418" s="6">
        <v>94</v>
      </c>
      <c r="BU418" s="6" t="e">
        <f>#REF!</f>
        <v>#REF!</v>
      </c>
      <c r="BV418" s="3" t="s">
        <v>804</v>
      </c>
    </row>
    <row r="419" spans="1:74" ht="14.5" x14ac:dyDescent="0.35">
      <c r="A419" s="1" t="s">
        <v>805</v>
      </c>
      <c r="B419" s="2" t="s">
        <v>42</v>
      </c>
      <c r="C419" s="2" t="s">
        <v>806</v>
      </c>
      <c r="D419" s="138" t="s">
        <v>807</v>
      </c>
      <c r="E419" s="107"/>
      <c r="F419" s="37" t="s">
        <v>145</v>
      </c>
      <c r="G419" s="6">
        <v>220</v>
      </c>
      <c r="H419" s="147">
        <v>0</v>
      </c>
      <c r="I419" s="6">
        <f>G419*AM419</f>
        <v>0</v>
      </c>
      <c r="J419" s="6">
        <f>G419*AN419</f>
        <v>0</v>
      </c>
      <c r="K419" s="6">
        <f>G419*H419</f>
        <v>0</v>
      </c>
      <c r="L419" s="6">
        <v>1.2099999999999999E-3</v>
      </c>
      <c r="M419" s="6">
        <f>G419*L419</f>
        <v>0.26619999999999999</v>
      </c>
      <c r="N419" s="86" t="s">
        <v>129</v>
      </c>
      <c r="X419" s="6">
        <f>IF(AO419="5",BH419,0)</f>
        <v>0</v>
      </c>
      <c r="Z419" s="6">
        <f>IF(AO419="1",BF419,0)</f>
        <v>0</v>
      </c>
      <c r="AA419" s="6">
        <f>IF(AO419="1",BG419,0)</f>
        <v>0</v>
      </c>
      <c r="AB419" s="6">
        <f>IF(AO419="7",BF419,0)</f>
        <v>0</v>
      </c>
      <c r="AC419" s="6">
        <f>IF(AO419="7",BG419,0)</f>
        <v>0</v>
      </c>
      <c r="AD419" s="6">
        <f>IF(AO419="2",BF419,0)</f>
        <v>0</v>
      </c>
      <c r="AE419" s="6">
        <f>IF(AO419="2",BG419,0)</f>
        <v>0</v>
      </c>
      <c r="AF419" s="6">
        <f>IF(AO419="0",BH419,0)</f>
        <v>0</v>
      </c>
      <c r="AG419" s="13" t="s">
        <v>42</v>
      </c>
      <c r="AH419" s="6">
        <f>IF(AL419=0,K419,0)</f>
        <v>0</v>
      </c>
      <c r="AI419" s="6">
        <f>IF(AL419=12,K419,0)</f>
        <v>0</v>
      </c>
      <c r="AJ419" s="6">
        <f>IF(AL419=21,K419,0)</f>
        <v>0</v>
      </c>
      <c r="AL419" s="6">
        <v>21</v>
      </c>
      <c r="AM419" s="6">
        <f>H419*0.36869258</f>
        <v>0</v>
      </c>
      <c r="AN419" s="6">
        <f>H419*(1-0.36869258)</f>
        <v>0</v>
      </c>
      <c r="AO419" s="23" t="s">
        <v>97</v>
      </c>
      <c r="AT419" s="6">
        <f>AU419+AV419</f>
        <v>0</v>
      </c>
      <c r="AU419" s="6">
        <f>G419*AM419</f>
        <v>0</v>
      </c>
      <c r="AV419" s="6">
        <f>G419*AN419</f>
        <v>0</v>
      </c>
      <c r="AW419" s="23" t="s">
        <v>764</v>
      </c>
      <c r="AX419" s="23" t="s">
        <v>638</v>
      </c>
      <c r="AY419" s="13" t="s">
        <v>475</v>
      </c>
      <c r="BA419" s="6">
        <f>AU419+AV419</f>
        <v>0</v>
      </c>
      <c r="BB419" s="6">
        <f>H419/(100-BC419)*100</f>
        <v>0</v>
      </c>
      <c r="BC419" s="6">
        <v>0</v>
      </c>
      <c r="BD419" s="6">
        <f>M419</f>
        <v>0.26619999999999999</v>
      </c>
      <c r="BF419" s="6">
        <f>G419*AM419</f>
        <v>0</v>
      </c>
      <c r="BG419" s="6">
        <f>G419*AN419</f>
        <v>0</v>
      </c>
      <c r="BH419" s="6">
        <f>G419*H419</f>
        <v>0</v>
      </c>
      <c r="BI419" s="6"/>
      <c r="BJ419" s="6">
        <v>94</v>
      </c>
      <c r="BU419" s="6" t="e">
        <f>#REF!</f>
        <v>#REF!</v>
      </c>
      <c r="BV419" s="3" t="s">
        <v>807</v>
      </c>
    </row>
    <row r="420" spans="1:74" ht="14.5" x14ac:dyDescent="0.35">
      <c r="A420" s="24"/>
      <c r="D420" s="25" t="s">
        <v>808</v>
      </c>
      <c r="E420" s="26" t="s">
        <v>809</v>
      </c>
      <c r="G420" s="27">
        <v>220</v>
      </c>
      <c r="N420" s="87"/>
    </row>
    <row r="421" spans="1:74" ht="14.5" x14ac:dyDescent="0.35">
      <c r="A421" s="20" t="s">
        <v>22</v>
      </c>
      <c r="B421" s="21" t="s">
        <v>42</v>
      </c>
      <c r="C421" s="21" t="s">
        <v>40</v>
      </c>
      <c r="D421" s="133" t="s">
        <v>41</v>
      </c>
      <c r="E421" s="134"/>
      <c r="F421" s="91" t="s">
        <v>12</v>
      </c>
      <c r="G421" s="22" t="s">
        <v>12</v>
      </c>
      <c r="H421" s="22" t="s">
        <v>12</v>
      </c>
      <c r="I421" s="12">
        <f>SUM(I422:I434)</f>
        <v>0</v>
      </c>
      <c r="J421" s="12">
        <f>SUM(J422:J434)</f>
        <v>0</v>
      </c>
      <c r="K421" s="12">
        <f>SUM(K422:K434)</f>
        <v>0</v>
      </c>
      <c r="L421" s="13" t="s">
        <v>22</v>
      </c>
      <c r="M421" s="12">
        <f>SUM(M422:M434)</f>
        <v>1.2150000000000001</v>
      </c>
      <c r="N421" s="85" t="s">
        <v>22</v>
      </c>
      <c r="AG421" s="13" t="s">
        <v>42</v>
      </c>
      <c r="AQ421" s="12">
        <f>SUM(AH422:AH434)</f>
        <v>0</v>
      </c>
      <c r="AR421" s="12">
        <f>SUM(AI422:AI434)</f>
        <v>0</v>
      </c>
      <c r="AS421" s="12">
        <f>SUM(AJ422:AJ434)</f>
        <v>0</v>
      </c>
    </row>
    <row r="422" spans="1:74" ht="25" x14ac:dyDescent="0.35">
      <c r="A422" s="1" t="s">
        <v>810</v>
      </c>
      <c r="B422" s="2" t="s">
        <v>42</v>
      </c>
      <c r="C422" s="2" t="s">
        <v>811</v>
      </c>
      <c r="D422" s="138" t="s">
        <v>812</v>
      </c>
      <c r="E422" s="107"/>
      <c r="F422" s="37" t="s">
        <v>259</v>
      </c>
      <c r="G422" s="6">
        <v>1</v>
      </c>
      <c r="H422" s="147">
        <v>0</v>
      </c>
      <c r="I422" s="6">
        <f>G422*AM422</f>
        <v>0</v>
      </c>
      <c r="J422" s="6">
        <f>G422*AN422</f>
        <v>0</v>
      </c>
      <c r="K422" s="6">
        <f>G422*H422</f>
        <v>0</v>
      </c>
      <c r="L422" s="6">
        <v>1.4999999999999999E-2</v>
      </c>
      <c r="M422" s="6">
        <f>G422*L422</f>
        <v>1.4999999999999999E-2</v>
      </c>
      <c r="N422" s="86" t="s">
        <v>102</v>
      </c>
      <c r="X422" s="6">
        <f>IF(AO422="5",BH422,0)</f>
        <v>0</v>
      </c>
      <c r="Z422" s="6">
        <f>IF(AO422="1",BF422,0)</f>
        <v>0</v>
      </c>
      <c r="AA422" s="6">
        <f>IF(AO422="1",BG422,0)</f>
        <v>0</v>
      </c>
      <c r="AB422" s="6">
        <f>IF(AO422="7",BF422,0)</f>
        <v>0</v>
      </c>
      <c r="AC422" s="6">
        <f>IF(AO422="7",BG422,0)</f>
        <v>0</v>
      </c>
      <c r="AD422" s="6">
        <f>IF(AO422="2",BF422,0)</f>
        <v>0</v>
      </c>
      <c r="AE422" s="6">
        <f>IF(AO422="2",BG422,0)</f>
        <v>0</v>
      </c>
      <c r="AF422" s="6">
        <f>IF(AO422="0",BH422,0)</f>
        <v>0</v>
      </c>
      <c r="AG422" s="13" t="s">
        <v>42</v>
      </c>
      <c r="AH422" s="6">
        <f>IF(AL422=0,K422,0)</f>
        <v>0</v>
      </c>
      <c r="AI422" s="6">
        <f>IF(AL422=12,K422,0)</f>
        <v>0</v>
      </c>
      <c r="AJ422" s="6">
        <f>IF(AL422=21,K422,0)</f>
        <v>0</v>
      </c>
      <c r="AL422" s="6">
        <v>21</v>
      </c>
      <c r="AM422" s="6">
        <f>H422*0.768588</f>
        <v>0</v>
      </c>
      <c r="AN422" s="6">
        <f>H422*(1-0.768588)</f>
        <v>0</v>
      </c>
      <c r="AO422" s="23" t="s">
        <v>97</v>
      </c>
      <c r="AT422" s="6">
        <f>AU422+AV422</f>
        <v>0</v>
      </c>
      <c r="AU422" s="6">
        <f>G422*AM422</f>
        <v>0</v>
      </c>
      <c r="AV422" s="6">
        <f>G422*AN422</f>
        <v>0</v>
      </c>
      <c r="AW422" s="23" t="s">
        <v>443</v>
      </c>
      <c r="AX422" s="23" t="s">
        <v>638</v>
      </c>
      <c r="AY422" s="13" t="s">
        <v>475</v>
      </c>
      <c r="BA422" s="6">
        <f>AU422+AV422</f>
        <v>0</v>
      </c>
      <c r="BB422" s="6">
        <f>H422/(100-BC422)*100</f>
        <v>0</v>
      </c>
      <c r="BC422" s="6">
        <v>0</v>
      </c>
      <c r="BD422" s="6">
        <f>M422</f>
        <v>1.4999999999999999E-2</v>
      </c>
      <c r="BF422" s="6">
        <f>G422*AM422</f>
        <v>0</v>
      </c>
      <c r="BG422" s="6">
        <f>G422*AN422</f>
        <v>0</v>
      </c>
      <c r="BH422" s="6">
        <f>G422*H422</f>
        <v>0</v>
      </c>
      <c r="BI422" s="6"/>
      <c r="BJ422" s="6">
        <v>95</v>
      </c>
      <c r="BU422" s="6" t="e">
        <f>#REF!</f>
        <v>#REF!</v>
      </c>
      <c r="BV422" s="3" t="s">
        <v>812</v>
      </c>
    </row>
    <row r="423" spans="1:74" ht="14.5" x14ac:dyDescent="0.35">
      <c r="A423" s="1" t="s">
        <v>813</v>
      </c>
      <c r="B423" s="2" t="s">
        <v>42</v>
      </c>
      <c r="C423" s="2" t="s">
        <v>814</v>
      </c>
      <c r="D423" s="138" t="s">
        <v>815</v>
      </c>
      <c r="E423" s="107"/>
      <c r="F423" s="37" t="s">
        <v>259</v>
      </c>
      <c r="G423" s="6">
        <v>3</v>
      </c>
      <c r="H423" s="147">
        <v>0</v>
      </c>
      <c r="I423" s="6">
        <f>G423*AM423</f>
        <v>0</v>
      </c>
      <c r="J423" s="6">
        <f>G423*AN423</f>
        <v>0</v>
      </c>
      <c r="K423" s="6">
        <f>G423*H423</f>
        <v>0</v>
      </c>
      <c r="L423" s="6">
        <v>0.18</v>
      </c>
      <c r="M423" s="6">
        <f>G423*L423</f>
        <v>0.54</v>
      </c>
      <c r="N423" s="86" t="s">
        <v>102</v>
      </c>
      <c r="X423" s="6">
        <f>IF(AO423="5",BH423,0)</f>
        <v>0</v>
      </c>
      <c r="Z423" s="6">
        <f>IF(AO423="1",BF423,0)</f>
        <v>0</v>
      </c>
      <c r="AA423" s="6">
        <f>IF(AO423="1",BG423,0)</f>
        <v>0</v>
      </c>
      <c r="AB423" s="6">
        <f>IF(AO423="7",BF423,0)</f>
        <v>0</v>
      </c>
      <c r="AC423" s="6">
        <f>IF(AO423="7",BG423,0)</f>
        <v>0</v>
      </c>
      <c r="AD423" s="6">
        <f>IF(AO423="2",BF423,0)</f>
        <v>0</v>
      </c>
      <c r="AE423" s="6">
        <f>IF(AO423="2",BG423,0)</f>
        <v>0</v>
      </c>
      <c r="AF423" s="6">
        <f>IF(AO423="0",BH423,0)</f>
        <v>0</v>
      </c>
      <c r="AG423" s="13" t="s">
        <v>42</v>
      </c>
      <c r="AH423" s="6">
        <f>IF(AL423=0,K423,0)</f>
        <v>0</v>
      </c>
      <c r="AI423" s="6">
        <f>IF(AL423=12,K423,0)</f>
        <v>0</v>
      </c>
      <c r="AJ423" s="6">
        <f>IF(AL423=21,K423,0)</f>
        <v>0</v>
      </c>
      <c r="AL423" s="6">
        <v>21</v>
      </c>
      <c r="AM423" s="6">
        <f>H423*0</f>
        <v>0</v>
      </c>
      <c r="AN423" s="6">
        <f>H423*(1-0)</f>
        <v>0</v>
      </c>
      <c r="AO423" s="23" t="s">
        <v>97</v>
      </c>
      <c r="AT423" s="6">
        <f>AU423+AV423</f>
        <v>0</v>
      </c>
      <c r="AU423" s="6">
        <f>G423*AM423</f>
        <v>0</v>
      </c>
      <c r="AV423" s="6">
        <f>G423*AN423</f>
        <v>0</v>
      </c>
      <c r="AW423" s="23" t="s">
        <v>443</v>
      </c>
      <c r="AX423" s="23" t="s">
        <v>638</v>
      </c>
      <c r="AY423" s="13" t="s">
        <v>475</v>
      </c>
      <c r="BA423" s="6">
        <f>AU423+AV423</f>
        <v>0</v>
      </c>
      <c r="BB423" s="6">
        <f>H423/(100-BC423)*100</f>
        <v>0</v>
      </c>
      <c r="BC423" s="6">
        <v>0</v>
      </c>
      <c r="BD423" s="6">
        <f>M423</f>
        <v>0.54</v>
      </c>
      <c r="BF423" s="6">
        <f>G423*AM423</f>
        <v>0</v>
      </c>
      <c r="BG423" s="6">
        <f>G423*AN423</f>
        <v>0</v>
      </c>
      <c r="BH423" s="6">
        <f>G423*H423</f>
        <v>0</v>
      </c>
      <c r="BI423" s="6"/>
      <c r="BJ423" s="6">
        <v>95</v>
      </c>
      <c r="BU423" s="6" t="e">
        <f>#REF!</f>
        <v>#REF!</v>
      </c>
      <c r="BV423" s="3" t="s">
        <v>815</v>
      </c>
    </row>
    <row r="424" spans="1:74" ht="13.5" customHeight="1" x14ac:dyDescent="0.35">
      <c r="A424" s="24"/>
      <c r="C424" s="28" t="s">
        <v>193</v>
      </c>
      <c r="D424" s="139" t="s">
        <v>816</v>
      </c>
      <c r="E424" s="140"/>
      <c r="F424" s="140"/>
      <c r="G424" s="140"/>
      <c r="H424" s="140"/>
      <c r="I424" s="140"/>
      <c r="J424" s="140"/>
      <c r="K424" s="140"/>
      <c r="L424" s="140"/>
      <c r="M424" s="140"/>
      <c r="N424" s="141"/>
    </row>
    <row r="425" spans="1:74" ht="14.5" x14ac:dyDescent="0.35">
      <c r="A425" s="1" t="s">
        <v>817</v>
      </c>
      <c r="B425" s="2" t="s">
        <v>42</v>
      </c>
      <c r="C425" s="2" t="s">
        <v>818</v>
      </c>
      <c r="D425" s="138" t="s">
        <v>819</v>
      </c>
      <c r="E425" s="107"/>
      <c r="F425" s="37" t="s">
        <v>259</v>
      </c>
      <c r="G425" s="6">
        <v>2</v>
      </c>
      <c r="H425" s="147">
        <v>0</v>
      </c>
      <c r="I425" s="6">
        <f>G425*AM425</f>
        <v>0</v>
      </c>
      <c r="J425" s="6">
        <f>G425*AN425</f>
        <v>0</v>
      </c>
      <c r="K425" s="6">
        <f>G425*H425</f>
        <v>0</v>
      </c>
      <c r="L425" s="6">
        <v>0.06</v>
      </c>
      <c r="M425" s="6">
        <f>G425*L425</f>
        <v>0.12</v>
      </c>
      <c r="N425" s="86" t="s">
        <v>102</v>
      </c>
      <c r="X425" s="6">
        <f>IF(AO425="5",BH425,0)</f>
        <v>0</v>
      </c>
      <c r="Z425" s="6">
        <f>IF(AO425="1",BF425,0)</f>
        <v>0</v>
      </c>
      <c r="AA425" s="6">
        <f>IF(AO425="1",BG425,0)</f>
        <v>0</v>
      </c>
      <c r="AB425" s="6">
        <f>IF(AO425="7",BF425,0)</f>
        <v>0</v>
      </c>
      <c r="AC425" s="6">
        <f>IF(AO425="7",BG425,0)</f>
        <v>0</v>
      </c>
      <c r="AD425" s="6">
        <f>IF(AO425="2",BF425,0)</f>
        <v>0</v>
      </c>
      <c r="AE425" s="6">
        <f>IF(AO425="2",BG425,0)</f>
        <v>0</v>
      </c>
      <c r="AF425" s="6">
        <f>IF(AO425="0",BH425,0)</f>
        <v>0</v>
      </c>
      <c r="AG425" s="13" t="s">
        <v>42</v>
      </c>
      <c r="AH425" s="6">
        <f>IF(AL425=0,K425,0)</f>
        <v>0</v>
      </c>
      <c r="AI425" s="6">
        <f>IF(AL425=12,K425,0)</f>
        <v>0</v>
      </c>
      <c r="AJ425" s="6">
        <f>IF(AL425=21,K425,0)</f>
        <v>0</v>
      </c>
      <c r="AL425" s="6">
        <v>21</v>
      </c>
      <c r="AM425" s="6">
        <f>H425*0.768585833</f>
        <v>0</v>
      </c>
      <c r="AN425" s="6">
        <f>H425*(1-0.768585833)</f>
        <v>0</v>
      </c>
      <c r="AO425" s="23" t="s">
        <v>97</v>
      </c>
      <c r="AT425" s="6">
        <f>AU425+AV425</f>
        <v>0</v>
      </c>
      <c r="AU425" s="6">
        <f>G425*AM425</f>
        <v>0</v>
      </c>
      <c r="AV425" s="6">
        <f>G425*AN425</f>
        <v>0</v>
      </c>
      <c r="AW425" s="23" t="s">
        <v>443</v>
      </c>
      <c r="AX425" s="23" t="s">
        <v>638</v>
      </c>
      <c r="AY425" s="13" t="s">
        <v>475</v>
      </c>
      <c r="BA425" s="6">
        <f>AU425+AV425</f>
        <v>0</v>
      </c>
      <c r="BB425" s="6">
        <f>H425/(100-BC425)*100</f>
        <v>0</v>
      </c>
      <c r="BC425" s="6">
        <v>0</v>
      </c>
      <c r="BD425" s="6">
        <f>M425</f>
        <v>0.12</v>
      </c>
      <c r="BF425" s="6">
        <f>G425*AM425</f>
        <v>0</v>
      </c>
      <c r="BG425" s="6">
        <f>G425*AN425</f>
        <v>0</v>
      </c>
      <c r="BH425" s="6">
        <f>G425*H425</f>
        <v>0</v>
      </c>
      <c r="BI425" s="6"/>
      <c r="BJ425" s="6">
        <v>95</v>
      </c>
      <c r="BU425" s="6" t="e">
        <f>#REF!</f>
        <v>#REF!</v>
      </c>
      <c r="BV425" s="3" t="s">
        <v>819</v>
      </c>
    </row>
    <row r="426" spans="1:74" ht="13.5" customHeight="1" x14ac:dyDescent="0.35">
      <c r="A426" s="24"/>
      <c r="C426" s="28" t="s">
        <v>193</v>
      </c>
      <c r="D426" s="139" t="s">
        <v>820</v>
      </c>
      <c r="E426" s="140"/>
      <c r="F426" s="140"/>
      <c r="G426" s="140"/>
      <c r="H426" s="140"/>
      <c r="I426" s="140"/>
      <c r="J426" s="140"/>
      <c r="K426" s="140"/>
      <c r="L426" s="140"/>
      <c r="M426" s="140"/>
      <c r="N426" s="141"/>
    </row>
    <row r="427" spans="1:74" ht="14.5" x14ac:dyDescent="0.35">
      <c r="A427" s="1" t="s">
        <v>821</v>
      </c>
      <c r="B427" s="2" t="s">
        <v>42</v>
      </c>
      <c r="C427" s="2" t="s">
        <v>822</v>
      </c>
      <c r="D427" s="138" t="s">
        <v>823</v>
      </c>
      <c r="E427" s="107"/>
      <c r="F427" s="37" t="s">
        <v>259</v>
      </c>
      <c r="G427" s="6">
        <v>4</v>
      </c>
      <c r="H427" s="147">
        <v>0</v>
      </c>
      <c r="I427" s="6">
        <f>G427*AM427</f>
        <v>0</v>
      </c>
      <c r="J427" s="6">
        <f>G427*AN427</f>
        <v>0</v>
      </c>
      <c r="K427" s="6">
        <f>G427*H427</f>
        <v>0</v>
      </c>
      <c r="L427" s="6">
        <v>0.06</v>
      </c>
      <c r="M427" s="6">
        <f>G427*L427</f>
        <v>0.24</v>
      </c>
      <c r="N427" s="86" t="s">
        <v>102</v>
      </c>
      <c r="X427" s="6">
        <f>IF(AO427="5",BH427,0)</f>
        <v>0</v>
      </c>
      <c r="Z427" s="6">
        <f>IF(AO427="1",BF427,0)</f>
        <v>0</v>
      </c>
      <c r="AA427" s="6">
        <f>IF(AO427="1",BG427,0)</f>
        <v>0</v>
      </c>
      <c r="AB427" s="6">
        <f>IF(AO427="7",BF427,0)</f>
        <v>0</v>
      </c>
      <c r="AC427" s="6">
        <f>IF(AO427="7",BG427,0)</f>
        <v>0</v>
      </c>
      <c r="AD427" s="6">
        <f>IF(AO427="2",BF427,0)</f>
        <v>0</v>
      </c>
      <c r="AE427" s="6">
        <f>IF(AO427="2",BG427,0)</f>
        <v>0</v>
      </c>
      <c r="AF427" s="6">
        <f>IF(AO427="0",BH427,0)</f>
        <v>0</v>
      </c>
      <c r="AG427" s="13" t="s">
        <v>42</v>
      </c>
      <c r="AH427" s="6">
        <f>IF(AL427=0,K427,0)</f>
        <v>0</v>
      </c>
      <c r="AI427" s="6">
        <f>IF(AL427=12,K427,0)</f>
        <v>0</v>
      </c>
      <c r="AJ427" s="6">
        <f>IF(AL427=21,K427,0)</f>
        <v>0</v>
      </c>
      <c r="AL427" s="6">
        <v>21</v>
      </c>
      <c r="AM427" s="6">
        <f>H427*0.768585</f>
        <v>0</v>
      </c>
      <c r="AN427" s="6">
        <f>H427*(1-0.768585)</f>
        <v>0</v>
      </c>
      <c r="AO427" s="23" t="s">
        <v>97</v>
      </c>
      <c r="AT427" s="6">
        <f>AU427+AV427</f>
        <v>0</v>
      </c>
      <c r="AU427" s="6">
        <f>G427*AM427</f>
        <v>0</v>
      </c>
      <c r="AV427" s="6">
        <f>G427*AN427</f>
        <v>0</v>
      </c>
      <c r="AW427" s="23" t="s">
        <v>443</v>
      </c>
      <c r="AX427" s="23" t="s">
        <v>638</v>
      </c>
      <c r="AY427" s="13" t="s">
        <v>475</v>
      </c>
      <c r="BA427" s="6">
        <f>AU427+AV427</f>
        <v>0</v>
      </c>
      <c r="BB427" s="6">
        <f>H427/(100-BC427)*100</f>
        <v>0</v>
      </c>
      <c r="BC427" s="6">
        <v>0</v>
      </c>
      <c r="BD427" s="6">
        <f>M427</f>
        <v>0.24</v>
      </c>
      <c r="BF427" s="6">
        <f>G427*AM427</f>
        <v>0</v>
      </c>
      <c r="BG427" s="6">
        <f>G427*AN427</f>
        <v>0</v>
      </c>
      <c r="BH427" s="6">
        <f>G427*H427</f>
        <v>0</v>
      </c>
      <c r="BI427" s="6"/>
      <c r="BJ427" s="6">
        <v>95</v>
      </c>
      <c r="BU427" s="6" t="e">
        <f>#REF!</f>
        <v>#REF!</v>
      </c>
      <c r="BV427" s="3" t="s">
        <v>823</v>
      </c>
    </row>
    <row r="428" spans="1:74" ht="13.5" customHeight="1" x14ac:dyDescent="0.35">
      <c r="A428" s="24"/>
      <c r="C428" s="28" t="s">
        <v>193</v>
      </c>
      <c r="D428" s="139" t="s">
        <v>820</v>
      </c>
      <c r="E428" s="140"/>
      <c r="F428" s="140"/>
      <c r="G428" s="140"/>
      <c r="H428" s="140"/>
      <c r="I428" s="140"/>
      <c r="J428" s="140"/>
      <c r="K428" s="140"/>
      <c r="L428" s="140"/>
      <c r="M428" s="140"/>
      <c r="N428" s="141"/>
    </row>
    <row r="429" spans="1:74" ht="25" x14ac:dyDescent="0.35">
      <c r="A429" s="1" t="s">
        <v>824</v>
      </c>
      <c r="B429" s="2" t="s">
        <v>42</v>
      </c>
      <c r="C429" s="2" t="s">
        <v>825</v>
      </c>
      <c r="D429" s="138" t="s">
        <v>826</v>
      </c>
      <c r="E429" s="107"/>
      <c r="F429" s="37" t="s">
        <v>827</v>
      </c>
      <c r="G429" s="6">
        <v>1</v>
      </c>
      <c r="H429" s="147">
        <v>0</v>
      </c>
      <c r="I429" s="6">
        <f>G429*AM429</f>
        <v>0</v>
      </c>
      <c r="J429" s="6">
        <f>G429*AN429</f>
        <v>0</v>
      </c>
      <c r="K429" s="6">
        <f>G429*H429</f>
        <v>0</v>
      </c>
      <c r="L429" s="6">
        <v>0.01</v>
      </c>
      <c r="M429" s="6">
        <f>G429*L429</f>
        <v>0.01</v>
      </c>
      <c r="N429" s="86" t="s">
        <v>102</v>
      </c>
      <c r="X429" s="6">
        <f>IF(AO429="5",BH429,0)</f>
        <v>0</v>
      </c>
      <c r="Z429" s="6">
        <f>IF(AO429="1",BF429,0)</f>
        <v>0</v>
      </c>
      <c r="AA429" s="6">
        <f>IF(AO429="1",BG429,0)</f>
        <v>0</v>
      </c>
      <c r="AB429" s="6">
        <f>IF(AO429="7",BF429,0)</f>
        <v>0</v>
      </c>
      <c r="AC429" s="6">
        <f>IF(AO429="7",BG429,0)</f>
        <v>0</v>
      </c>
      <c r="AD429" s="6">
        <f>IF(AO429="2",BF429,0)</f>
        <v>0</v>
      </c>
      <c r="AE429" s="6">
        <f>IF(AO429="2",BG429,0)</f>
        <v>0</v>
      </c>
      <c r="AF429" s="6">
        <f>IF(AO429="0",BH429,0)</f>
        <v>0</v>
      </c>
      <c r="AG429" s="13" t="s">
        <v>42</v>
      </c>
      <c r="AH429" s="6">
        <f>IF(AL429=0,K429,0)</f>
        <v>0</v>
      </c>
      <c r="AI429" s="6">
        <f>IF(AL429=12,K429,0)</f>
        <v>0</v>
      </c>
      <c r="AJ429" s="6">
        <f>IF(AL429=21,K429,0)</f>
        <v>0</v>
      </c>
      <c r="AL429" s="6">
        <v>21</v>
      </c>
      <c r="AM429" s="6">
        <f>H429*0</f>
        <v>0</v>
      </c>
      <c r="AN429" s="6">
        <f>H429*(1-0)</f>
        <v>0</v>
      </c>
      <c r="AO429" s="23" t="s">
        <v>97</v>
      </c>
      <c r="AT429" s="6">
        <f>AU429+AV429</f>
        <v>0</v>
      </c>
      <c r="AU429" s="6">
        <f>G429*AM429</f>
        <v>0</v>
      </c>
      <c r="AV429" s="6">
        <f>G429*AN429</f>
        <v>0</v>
      </c>
      <c r="AW429" s="23" t="s">
        <v>443</v>
      </c>
      <c r="AX429" s="23" t="s">
        <v>638</v>
      </c>
      <c r="AY429" s="13" t="s">
        <v>475</v>
      </c>
      <c r="BA429" s="6">
        <f>AU429+AV429</f>
        <v>0</v>
      </c>
      <c r="BB429" s="6">
        <f>H429/(100-BC429)*100</f>
        <v>0</v>
      </c>
      <c r="BC429" s="6">
        <v>0</v>
      </c>
      <c r="BD429" s="6">
        <f>M429</f>
        <v>0.01</v>
      </c>
      <c r="BF429" s="6">
        <f>G429*AM429</f>
        <v>0</v>
      </c>
      <c r="BG429" s="6">
        <f>G429*AN429</f>
        <v>0</v>
      </c>
      <c r="BH429" s="6">
        <f>G429*H429</f>
        <v>0</v>
      </c>
      <c r="BI429" s="6"/>
      <c r="BJ429" s="6">
        <v>95</v>
      </c>
      <c r="BU429" s="6" t="e">
        <f>#REF!</f>
        <v>#REF!</v>
      </c>
      <c r="BV429" s="3" t="s">
        <v>826</v>
      </c>
    </row>
    <row r="430" spans="1:74" ht="13.5" customHeight="1" x14ac:dyDescent="0.35">
      <c r="A430" s="24"/>
      <c r="C430" s="28" t="s">
        <v>193</v>
      </c>
      <c r="D430" s="139" t="s">
        <v>820</v>
      </c>
      <c r="E430" s="140"/>
      <c r="F430" s="140"/>
      <c r="G430" s="140"/>
      <c r="H430" s="140"/>
      <c r="I430" s="140"/>
      <c r="J430" s="140"/>
      <c r="K430" s="140"/>
      <c r="L430" s="140"/>
      <c r="M430" s="140"/>
      <c r="N430" s="141"/>
    </row>
    <row r="431" spans="1:74" ht="25" x14ac:dyDescent="0.35">
      <c r="A431" s="1" t="s">
        <v>828</v>
      </c>
      <c r="B431" s="2" t="s">
        <v>42</v>
      </c>
      <c r="C431" s="2" t="s">
        <v>829</v>
      </c>
      <c r="D431" s="138" t="s">
        <v>830</v>
      </c>
      <c r="E431" s="107"/>
      <c r="F431" s="37" t="s">
        <v>827</v>
      </c>
      <c r="G431" s="6">
        <v>1</v>
      </c>
      <c r="H431" s="147">
        <v>0</v>
      </c>
      <c r="I431" s="6">
        <f>G431*AM431</f>
        <v>0</v>
      </c>
      <c r="J431" s="6">
        <f>G431*AN431</f>
        <v>0</v>
      </c>
      <c r="K431" s="6">
        <f>G431*H431</f>
        <v>0</v>
      </c>
      <c r="L431" s="6">
        <v>0.01</v>
      </c>
      <c r="M431" s="6">
        <f>G431*L431</f>
        <v>0.01</v>
      </c>
      <c r="N431" s="86" t="s">
        <v>102</v>
      </c>
      <c r="X431" s="6">
        <f>IF(AO431="5",BH431,0)</f>
        <v>0</v>
      </c>
      <c r="Z431" s="6">
        <f>IF(AO431="1",BF431,0)</f>
        <v>0</v>
      </c>
      <c r="AA431" s="6">
        <f>IF(AO431="1",BG431,0)</f>
        <v>0</v>
      </c>
      <c r="AB431" s="6">
        <f>IF(AO431="7",BF431,0)</f>
        <v>0</v>
      </c>
      <c r="AC431" s="6">
        <f>IF(AO431="7",BG431,0)</f>
        <v>0</v>
      </c>
      <c r="AD431" s="6">
        <f>IF(AO431="2",BF431,0)</f>
        <v>0</v>
      </c>
      <c r="AE431" s="6">
        <f>IF(AO431="2",BG431,0)</f>
        <v>0</v>
      </c>
      <c r="AF431" s="6">
        <f>IF(AO431="0",BH431,0)</f>
        <v>0</v>
      </c>
      <c r="AG431" s="13" t="s">
        <v>42</v>
      </c>
      <c r="AH431" s="6">
        <f>IF(AL431=0,K431,0)</f>
        <v>0</v>
      </c>
      <c r="AI431" s="6">
        <f>IF(AL431=12,K431,0)</f>
        <v>0</v>
      </c>
      <c r="AJ431" s="6">
        <f>IF(AL431=21,K431,0)</f>
        <v>0</v>
      </c>
      <c r="AL431" s="6">
        <v>21</v>
      </c>
      <c r="AM431" s="6">
        <f>H431*0.768586</f>
        <v>0</v>
      </c>
      <c r="AN431" s="6">
        <f>H431*(1-0.768586)</f>
        <v>0</v>
      </c>
      <c r="AO431" s="23" t="s">
        <v>97</v>
      </c>
      <c r="AT431" s="6">
        <f>AU431+AV431</f>
        <v>0</v>
      </c>
      <c r="AU431" s="6">
        <f>G431*AM431</f>
        <v>0</v>
      </c>
      <c r="AV431" s="6">
        <f>G431*AN431</f>
        <v>0</v>
      </c>
      <c r="AW431" s="23" t="s">
        <v>443</v>
      </c>
      <c r="AX431" s="23" t="s">
        <v>638</v>
      </c>
      <c r="AY431" s="13" t="s">
        <v>475</v>
      </c>
      <c r="BA431" s="6">
        <f>AU431+AV431</f>
        <v>0</v>
      </c>
      <c r="BB431" s="6">
        <f>H431/(100-BC431)*100</f>
        <v>0</v>
      </c>
      <c r="BC431" s="6">
        <v>0</v>
      </c>
      <c r="BD431" s="6">
        <f>M431</f>
        <v>0.01</v>
      </c>
      <c r="BF431" s="6">
        <f>G431*AM431</f>
        <v>0</v>
      </c>
      <c r="BG431" s="6">
        <f>G431*AN431</f>
        <v>0</v>
      </c>
      <c r="BH431" s="6">
        <f>G431*H431</f>
        <v>0</v>
      </c>
      <c r="BI431" s="6"/>
      <c r="BJ431" s="6">
        <v>95</v>
      </c>
      <c r="BU431" s="6" t="e">
        <f>#REF!</f>
        <v>#REF!</v>
      </c>
      <c r="BV431" s="3" t="s">
        <v>830</v>
      </c>
    </row>
    <row r="432" spans="1:74" ht="14.5" x14ac:dyDescent="0.35">
      <c r="A432" s="1" t="s">
        <v>831</v>
      </c>
      <c r="B432" s="2" t="s">
        <v>42</v>
      </c>
      <c r="C432" s="2" t="s">
        <v>832</v>
      </c>
      <c r="D432" s="138" t="s">
        <v>833</v>
      </c>
      <c r="E432" s="107"/>
      <c r="F432" s="37" t="s">
        <v>827</v>
      </c>
      <c r="G432" s="6">
        <v>1</v>
      </c>
      <c r="H432" s="147">
        <v>0</v>
      </c>
      <c r="I432" s="6">
        <f>G432*AM432</f>
        <v>0</v>
      </c>
      <c r="J432" s="6">
        <f>G432*AN432</f>
        <v>0</v>
      </c>
      <c r="K432" s="6">
        <f>G432*H432</f>
        <v>0</v>
      </c>
      <c r="L432" s="6">
        <v>0.28000000000000003</v>
      </c>
      <c r="M432" s="6">
        <f>G432*L432</f>
        <v>0.28000000000000003</v>
      </c>
      <c r="N432" s="86" t="s">
        <v>102</v>
      </c>
      <c r="X432" s="6">
        <f>IF(AO432="5",BH432,0)</f>
        <v>0</v>
      </c>
      <c r="Z432" s="6">
        <f>IF(AO432="1",BF432,0)</f>
        <v>0</v>
      </c>
      <c r="AA432" s="6">
        <f>IF(AO432="1",BG432,0)</f>
        <v>0</v>
      </c>
      <c r="AB432" s="6">
        <f>IF(AO432="7",BF432,0)</f>
        <v>0</v>
      </c>
      <c r="AC432" s="6">
        <f>IF(AO432="7",BG432,0)</f>
        <v>0</v>
      </c>
      <c r="AD432" s="6">
        <f>IF(AO432="2",BF432,0)</f>
        <v>0</v>
      </c>
      <c r="AE432" s="6">
        <f>IF(AO432="2",BG432,0)</f>
        <v>0</v>
      </c>
      <c r="AF432" s="6">
        <f>IF(AO432="0",BH432,0)</f>
        <v>0</v>
      </c>
      <c r="AG432" s="13" t="s">
        <v>42</v>
      </c>
      <c r="AH432" s="6">
        <f>IF(AL432=0,K432,0)</f>
        <v>0</v>
      </c>
      <c r="AI432" s="6">
        <f>IF(AL432=12,K432,0)</f>
        <v>0</v>
      </c>
      <c r="AJ432" s="6">
        <f>IF(AL432=21,K432,0)</f>
        <v>0</v>
      </c>
      <c r="AL432" s="6">
        <v>21</v>
      </c>
      <c r="AM432" s="6">
        <f>H432*0</f>
        <v>0</v>
      </c>
      <c r="AN432" s="6">
        <f>H432*(1-0)</f>
        <v>0</v>
      </c>
      <c r="AO432" s="23" t="s">
        <v>97</v>
      </c>
      <c r="AT432" s="6">
        <f>AU432+AV432</f>
        <v>0</v>
      </c>
      <c r="AU432" s="6">
        <f>G432*AM432</f>
        <v>0</v>
      </c>
      <c r="AV432" s="6">
        <f>G432*AN432</f>
        <v>0</v>
      </c>
      <c r="AW432" s="23" t="s">
        <v>443</v>
      </c>
      <c r="AX432" s="23" t="s">
        <v>638</v>
      </c>
      <c r="AY432" s="13" t="s">
        <v>475</v>
      </c>
      <c r="BA432" s="6">
        <f>AU432+AV432</f>
        <v>0</v>
      </c>
      <c r="BB432" s="6">
        <f>H432/(100-BC432)*100</f>
        <v>0</v>
      </c>
      <c r="BC432" s="6">
        <v>0</v>
      </c>
      <c r="BD432" s="6">
        <f>M432</f>
        <v>0.28000000000000003</v>
      </c>
      <c r="BF432" s="6">
        <f>G432*AM432</f>
        <v>0</v>
      </c>
      <c r="BG432" s="6">
        <f>G432*AN432</f>
        <v>0</v>
      </c>
      <c r="BH432" s="6">
        <f>G432*H432</f>
        <v>0</v>
      </c>
      <c r="BI432" s="6"/>
      <c r="BJ432" s="6">
        <v>95</v>
      </c>
      <c r="BU432" s="6" t="e">
        <f>#REF!</f>
        <v>#REF!</v>
      </c>
      <c r="BV432" s="3" t="s">
        <v>833</v>
      </c>
    </row>
    <row r="433" spans="1:74" ht="13.5" customHeight="1" x14ac:dyDescent="0.35">
      <c r="A433" s="24"/>
      <c r="C433" s="28" t="s">
        <v>193</v>
      </c>
      <c r="D433" s="139" t="s">
        <v>820</v>
      </c>
      <c r="E433" s="140"/>
      <c r="F433" s="140"/>
      <c r="G433" s="140"/>
      <c r="H433" s="140"/>
      <c r="I433" s="140"/>
      <c r="J433" s="140"/>
      <c r="K433" s="140"/>
      <c r="L433" s="140"/>
      <c r="M433" s="140"/>
      <c r="N433" s="141"/>
    </row>
    <row r="434" spans="1:74" ht="14.5" x14ac:dyDescent="0.35">
      <c r="A434" s="1" t="s">
        <v>834</v>
      </c>
      <c r="B434" s="2" t="s">
        <v>42</v>
      </c>
      <c r="C434" s="2" t="s">
        <v>835</v>
      </c>
      <c r="D434" s="138" t="s">
        <v>836</v>
      </c>
      <c r="E434" s="107"/>
      <c r="F434" s="37" t="s">
        <v>200</v>
      </c>
      <c r="G434" s="6">
        <v>0.98</v>
      </c>
      <c r="H434" s="147">
        <v>0</v>
      </c>
      <c r="I434" s="6">
        <f>G434*AM434</f>
        <v>0</v>
      </c>
      <c r="J434" s="6">
        <f>G434*AN434</f>
        <v>0</v>
      </c>
      <c r="K434" s="6">
        <f>G434*H434</f>
        <v>0</v>
      </c>
      <c r="L434" s="6">
        <v>0</v>
      </c>
      <c r="M434" s="6">
        <f>G434*L434</f>
        <v>0</v>
      </c>
      <c r="N434" s="86" t="s">
        <v>129</v>
      </c>
      <c r="X434" s="6">
        <f>IF(AO434="5",BH434,0)</f>
        <v>0</v>
      </c>
      <c r="Z434" s="6">
        <f>IF(AO434="1",BF434,0)</f>
        <v>0</v>
      </c>
      <c r="AA434" s="6">
        <f>IF(AO434="1",BG434,0)</f>
        <v>0</v>
      </c>
      <c r="AB434" s="6">
        <f>IF(AO434="7",BF434,0)</f>
        <v>0</v>
      </c>
      <c r="AC434" s="6">
        <f>IF(AO434="7",BG434,0)</f>
        <v>0</v>
      </c>
      <c r="AD434" s="6">
        <f>IF(AO434="2",BF434,0)</f>
        <v>0</v>
      </c>
      <c r="AE434" s="6">
        <f>IF(AO434="2",BG434,0)</f>
        <v>0</v>
      </c>
      <c r="AF434" s="6">
        <f>IF(AO434="0",BH434,0)</f>
        <v>0</v>
      </c>
      <c r="AG434" s="13" t="s">
        <v>42</v>
      </c>
      <c r="AH434" s="6">
        <f>IF(AL434=0,K434,0)</f>
        <v>0</v>
      </c>
      <c r="AI434" s="6">
        <f>IF(AL434=12,K434,0)</f>
        <v>0</v>
      </c>
      <c r="AJ434" s="6">
        <f>IF(AL434=21,K434,0)</f>
        <v>0</v>
      </c>
      <c r="AL434" s="6">
        <v>21</v>
      </c>
      <c r="AM434" s="6">
        <f>H434*0</f>
        <v>0</v>
      </c>
      <c r="AN434" s="6">
        <f>H434*(1-0)</f>
        <v>0</v>
      </c>
      <c r="AO434" s="23" t="s">
        <v>164</v>
      </c>
      <c r="AT434" s="6">
        <f>AU434+AV434</f>
        <v>0</v>
      </c>
      <c r="AU434" s="6">
        <f>G434*AM434</f>
        <v>0</v>
      </c>
      <c r="AV434" s="6">
        <f>G434*AN434</f>
        <v>0</v>
      </c>
      <c r="AW434" s="23" t="s">
        <v>443</v>
      </c>
      <c r="AX434" s="23" t="s">
        <v>638</v>
      </c>
      <c r="AY434" s="13" t="s">
        <v>475</v>
      </c>
      <c r="BA434" s="6">
        <f>AU434+AV434</f>
        <v>0</v>
      </c>
      <c r="BB434" s="6">
        <f>H434/(100-BC434)*100</f>
        <v>0</v>
      </c>
      <c r="BC434" s="6">
        <v>0</v>
      </c>
      <c r="BD434" s="6">
        <f>M434</f>
        <v>0</v>
      </c>
      <c r="BF434" s="6">
        <f>G434*AM434</f>
        <v>0</v>
      </c>
      <c r="BG434" s="6">
        <f>G434*AN434</f>
        <v>0</v>
      </c>
      <c r="BH434" s="6">
        <f>G434*H434</f>
        <v>0</v>
      </c>
      <c r="BI434" s="6"/>
      <c r="BJ434" s="6">
        <v>95</v>
      </c>
      <c r="BU434" s="6" t="e">
        <f>#REF!</f>
        <v>#REF!</v>
      </c>
      <c r="BV434" s="3" t="s">
        <v>836</v>
      </c>
    </row>
    <row r="435" spans="1:74" ht="14.5" x14ac:dyDescent="0.35">
      <c r="A435" s="29" t="s">
        <v>22</v>
      </c>
      <c r="B435" s="30" t="s">
        <v>52</v>
      </c>
      <c r="C435" s="30" t="s">
        <v>22</v>
      </c>
      <c r="D435" s="142" t="s">
        <v>53</v>
      </c>
      <c r="E435" s="143"/>
      <c r="F435" s="92" t="s">
        <v>12</v>
      </c>
      <c r="G435" s="31" t="s">
        <v>12</v>
      </c>
      <c r="H435" s="31" t="s">
        <v>12</v>
      </c>
      <c r="I435" s="32">
        <f>I436+I454+I463+I473+I493+I499</f>
        <v>0</v>
      </c>
      <c r="J435" s="32">
        <f>J436+J454+J463+J473+J493+J499</f>
        <v>0</v>
      </c>
      <c r="K435" s="32">
        <f>K436+K454+K463+K473+K493+K499</f>
        <v>0</v>
      </c>
      <c r="L435" s="33" t="s">
        <v>22</v>
      </c>
      <c r="M435" s="32">
        <f>M436+M454+M463+M473+M493+M499</f>
        <v>2.6438766</v>
      </c>
      <c r="N435" s="88" t="s">
        <v>22</v>
      </c>
    </row>
    <row r="436" spans="1:74" ht="14.5" x14ac:dyDescent="0.35">
      <c r="A436" s="20" t="s">
        <v>22</v>
      </c>
      <c r="B436" s="21" t="s">
        <v>52</v>
      </c>
      <c r="C436" s="21" t="s">
        <v>28</v>
      </c>
      <c r="D436" s="133" t="s">
        <v>29</v>
      </c>
      <c r="E436" s="134"/>
      <c r="F436" s="91" t="s">
        <v>12</v>
      </c>
      <c r="G436" s="22" t="s">
        <v>12</v>
      </c>
      <c r="H436" s="22" t="s">
        <v>12</v>
      </c>
      <c r="I436" s="12">
        <f>SUM(I437:I453)</f>
        <v>0</v>
      </c>
      <c r="J436" s="12">
        <f>SUM(J437:J453)</f>
        <v>0</v>
      </c>
      <c r="K436" s="12">
        <f>SUM(K437:K453)</f>
        <v>0</v>
      </c>
      <c r="L436" s="13" t="s">
        <v>22</v>
      </c>
      <c r="M436" s="12">
        <f>SUM(M437:M453)</f>
        <v>1.5455097</v>
      </c>
      <c r="N436" s="85" t="s">
        <v>22</v>
      </c>
      <c r="AG436" s="13" t="s">
        <v>52</v>
      </c>
      <c r="AQ436" s="12">
        <f>SUM(AH437:AH453)</f>
        <v>0</v>
      </c>
      <c r="AR436" s="12">
        <f>SUM(AI437:AI453)</f>
        <v>0</v>
      </c>
      <c r="AS436" s="12">
        <f>SUM(AJ437:AJ453)</f>
        <v>0</v>
      </c>
    </row>
    <row r="437" spans="1:74" ht="14.5" x14ac:dyDescent="0.35">
      <c r="A437" s="1" t="s">
        <v>837</v>
      </c>
      <c r="B437" s="2" t="s">
        <v>52</v>
      </c>
      <c r="C437" s="2" t="s">
        <v>838</v>
      </c>
      <c r="D437" s="138" t="s">
        <v>839</v>
      </c>
      <c r="E437" s="107"/>
      <c r="F437" s="37" t="s">
        <v>145</v>
      </c>
      <c r="G437" s="6">
        <v>7.09</v>
      </c>
      <c r="H437" s="147">
        <v>0</v>
      </c>
      <c r="I437" s="6">
        <f>G437*AM437</f>
        <v>0</v>
      </c>
      <c r="J437" s="6">
        <f>G437*AN437</f>
        <v>0</v>
      </c>
      <c r="K437" s="6">
        <f>G437*H437</f>
        <v>0</v>
      </c>
      <c r="L437" s="6">
        <v>0.02</v>
      </c>
      <c r="M437" s="6">
        <f>G437*L437</f>
        <v>0.14180000000000001</v>
      </c>
      <c r="N437" s="86" t="s">
        <v>129</v>
      </c>
      <c r="X437" s="6">
        <f>IF(AO437="5",BH437,0)</f>
        <v>0</v>
      </c>
      <c r="Z437" s="6">
        <f>IF(AO437="1",BF437,0)</f>
        <v>0</v>
      </c>
      <c r="AA437" s="6">
        <f>IF(AO437="1",BG437,0)</f>
        <v>0</v>
      </c>
      <c r="AB437" s="6">
        <f>IF(AO437="7",BF437,0)</f>
        <v>0</v>
      </c>
      <c r="AC437" s="6">
        <f>IF(AO437="7",BG437,0)</f>
        <v>0</v>
      </c>
      <c r="AD437" s="6">
        <f>IF(AO437="2",BF437,0)</f>
        <v>0</v>
      </c>
      <c r="AE437" s="6">
        <f>IF(AO437="2",BG437,0)</f>
        <v>0</v>
      </c>
      <c r="AF437" s="6">
        <f>IF(AO437="0",BH437,0)</f>
        <v>0</v>
      </c>
      <c r="AG437" s="13" t="s">
        <v>52</v>
      </c>
      <c r="AH437" s="6">
        <f>IF(AL437=0,K437,0)</f>
        <v>0</v>
      </c>
      <c r="AI437" s="6">
        <f>IF(AL437=12,K437,0)</f>
        <v>0</v>
      </c>
      <c r="AJ437" s="6">
        <f>IF(AL437=21,K437,0)</f>
        <v>0</v>
      </c>
      <c r="AL437" s="6">
        <v>21</v>
      </c>
      <c r="AM437" s="6">
        <f>H437*0</f>
        <v>0</v>
      </c>
      <c r="AN437" s="6">
        <f>H437*(1-0)</f>
        <v>0</v>
      </c>
      <c r="AO437" s="23" t="s">
        <v>97</v>
      </c>
      <c r="AT437" s="6">
        <f>AU437+AV437</f>
        <v>0</v>
      </c>
      <c r="AU437" s="6">
        <f>G437*AM437</f>
        <v>0</v>
      </c>
      <c r="AV437" s="6">
        <f>G437*AN437</f>
        <v>0</v>
      </c>
      <c r="AW437" s="23" t="s">
        <v>146</v>
      </c>
      <c r="AX437" s="23" t="s">
        <v>840</v>
      </c>
      <c r="AY437" s="13" t="s">
        <v>841</v>
      </c>
      <c r="BA437" s="6">
        <f>AU437+AV437</f>
        <v>0</v>
      </c>
      <c r="BB437" s="6">
        <f>H437/(100-BC437)*100</f>
        <v>0</v>
      </c>
      <c r="BC437" s="6">
        <v>0</v>
      </c>
      <c r="BD437" s="6">
        <f>M437</f>
        <v>0.14180000000000001</v>
      </c>
      <c r="BF437" s="6">
        <f>G437*AM437</f>
        <v>0</v>
      </c>
      <c r="BG437" s="6">
        <f>G437*AN437</f>
        <v>0</v>
      </c>
      <c r="BH437" s="6">
        <f>G437*H437</f>
        <v>0</v>
      </c>
      <c r="BI437" s="6"/>
      <c r="BJ437" s="6">
        <v>96</v>
      </c>
      <c r="BU437" s="6" t="e">
        <f>#REF!</f>
        <v>#REF!</v>
      </c>
      <c r="BV437" s="3" t="s">
        <v>839</v>
      </c>
    </row>
    <row r="438" spans="1:74" ht="13.5" customHeight="1" x14ac:dyDescent="0.35">
      <c r="A438" s="24"/>
      <c r="C438" s="28" t="s">
        <v>193</v>
      </c>
      <c r="D438" s="139" t="s">
        <v>842</v>
      </c>
      <c r="E438" s="140"/>
      <c r="F438" s="140"/>
      <c r="G438" s="140"/>
      <c r="H438" s="140"/>
      <c r="I438" s="140"/>
      <c r="J438" s="140"/>
      <c r="K438" s="140"/>
      <c r="L438" s="140"/>
      <c r="M438" s="140"/>
      <c r="N438" s="141"/>
    </row>
    <row r="439" spans="1:74" ht="14.5" x14ac:dyDescent="0.35">
      <c r="A439" s="24"/>
      <c r="D439" s="25" t="s">
        <v>843</v>
      </c>
      <c r="E439" s="26" t="s">
        <v>844</v>
      </c>
      <c r="G439" s="27">
        <v>7.09</v>
      </c>
      <c r="N439" s="87"/>
    </row>
    <row r="440" spans="1:74" ht="14.5" x14ac:dyDescent="0.35">
      <c r="A440" s="1" t="s">
        <v>845</v>
      </c>
      <c r="B440" s="2" t="s">
        <v>52</v>
      </c>
      <c r="C440" s="2" t="s">
        <v>846</v>
      </c>
      <c r="D440" s="138" t="s">
        <v>847</v>
      </c>
      <c r="E440" s="107"/>
      <c r="F440" s="37" t="s">
        <v>100</v>
      </c>
      <c r="G440" s="6">
        <v>6.75</v>
      </c>
      <c r="H440" s="147">
        <v>0</v>
      </c>
      <c r="I440" s="6">
        <f>G440*AM440</f>
        <v>0</v>
      </c>
      <c r="J440" s="6">
        <f>G440*AN440</f>
        <v>0</v>
      </c>
      <c r="K440" s="6">
        <f>G440*H440</f>
        <v>0</v>
      </c>
      <c r="L440" s="6">
        <v>4.0000000000000002E-4</v>
      </c>
      <c r="M440" s="6">
        <f>G440*L440</f>
        <v>2.7000000000000001E-3</v>
      </c>
      <c r="N440" s="86" t="s">
        <v>129</v>
      </c>
      <c r="X440" s="6">
        <f>IF(AO440="5",BH440,0)</f>
        <v>0</v>
      </c>
      <c r="Z440" s="6">
        <f>IF(AO440="1",BF440,0)</f>
        <v>0</v>
      </c>
      <c r="AA440" s="6">
        <f>IF(AO440="1",BG440,0)</f>
        <v>0</v>
      </c>
      <c r="AB440" s="6">
        <f>IF(AO440="7",BF440,0)</f>
        <v>0</v>
      </c>
      <c r="AC440" s="6">
        <f>IF(AO440="7",BG440,0)</f>
        <v>0</v>
      </c>
      <c r="AD440" s="6">
        <f>IF(AO440="2",BF440,0)</f>
        <v>0</v>
      </c>
      <c r="AE440" s="6">
        <f>IF(AO440="2",BG440,0)</f>
        <v>0</v>
      </c>
      <c r="AF440" s="6">
        <f>IF(AO440="0",BH440,0)</f>
        <v>0</v>
      </c>
      <c r="AG440" s="13" t="s">
        <v>52</v>
      </c>
      <c r="AH440" s="6">
        <f>IF(AL440=0,K440,0)</f>
        <v>0</v>
      </c>
      <c r="AI440" s="6">
        <f>IF(AL440=12,K440,0)</f>
        <v>0</v>
      </c>
      <c r="AJ440" s="6">
        <f>IF(AL440=21,K440,0)</f>
        <v>0</v>
      </c>
      <c r="AL440" s="6">
        <v>21</v>
      </c>
      <c r="AM440" s="6">
        <f>H440*0</f>
        <v>0</v>
      </c>
      <c r="AN440" s="6">
        <f>H440*(1-0)</f>
        <v>0</v>
      </c>
      <c r="AO440" s="23" t="s">
        <v>97</v>
      </c>
      <c r="AT440" s="6">
        <f>AU440+AV440</f>
        <v>0</v>
      </c>
      <c r="AU440" s="6">
        <f>G440*AM440</f>
        <v>0</v>
      </c>
      <c r="AV440" s="6">
        <f>G440*AN440</f>
        <v>0</v>
      </c>
      <c r="AW440" s="23" t="s">
        <v>146</v>
      </c>
      <c r="AX440" s="23" t="s">
        <v>840</v>
      </c>
      <c r="AY440" s="13" t="s">
        <v>841</v>
      </c>
      <c r="BA440" s="6">
        <f>AU440+AV440</f>
        <v>0</v>
      </c>
      <c r="BB440" s="6">
        <f>H440/(100-BC440)*100</f>
        <v>0</v>
      </c>
      <c r="BC440" s="6">
        <v>0</v>
      </c>
      <c r="BD440" s="6">
        <f>M440</f>
        <v>2.7000000000000001E-3</v>
      </c>
      <c r="BF440" s="6">
        <f>G440*AM440</f>
        <v>0</v>
      </c>
      <c r="BG440" s="6">
        <f>G440*AN440</f>
        <v>0</v>
      </c>
      <c r="BH440" s="6">
        <f>G440*H440</f>
        <v>0</v>
      </c>
      <c r="BI440" s="6"/>
      <c r="BJ440" s="6">
        <v>96</v>
      </c>
      <c r="BU440" s="6" t="e">
        <f>#REF!</f>
        <v>#REF!</v>
      </c>
      <c r="BV440" s="3" t="s">
        <v>847</v>
      </c>
    </row>
    <row r="441" spans="1:74" ht="14.5" x14ac:dyDescent="0.35">
      <c r="A441" s="24"/>
      <c r="D441" s="25" t="s">
        <v>848</v>
      </c>
      <c r="E441" s="26" t="s">
        <v>844</v>
      </c>
      <c r="G441" s="27">
        <v>6.75</v>
      </c>
      <c r="N441" s="87"/>
    </row>
    <row r="442" spans="1:74" ht="14.5" x14ac:dyDescent="0.35">
      <c r="A442" s="1" t="s">
        <v>849</v>
      </c>
      <c r="B442" s="2" t="s">
        <v>52</v>
      </c>
      <c r="C442" s="2" t="s">
        <v>850</v>
      </c>
      <c r="D442" s="138" t="s">
        <v>851</v>
      </c>
      <c r="E442" s="107"/>
      <c r="F442" s="37" t="s">
        <v>494</v>
      </c>
      <c r="G442" s="6">
        <v>0.56999999999999995</v>
      </c>
      <c r="H442" s="147">
        <v>0</v>
      </c>
      <c r="I442" s="6">
        <f>G442*AM442</f>
        <v>0</v>
      </c>
      <c r="J442" s="6">
        <f>G442*AN442</f>
        <v>0</v>
      </c>
      <c r="K442" s="6">
        <f>G442*H442</f>
        <v>0</v>
      </c>
      <c r="L442" s="6">
        <v>2.2000000000000002</v>
      </c>
      <c r="M442" s="6">
        <f>G442*L442</f>
        <v>1.254</v>
      </c>
      <c r="N442" s="86" t="s">
        <v>129</v>
      </c>
      <c r="X442" s="6">
        <f>IF(AO442="5",BH442,0)</f>
        <v>0</v>
      </c>
      <c r="Z442" s="6">
        <f>IF(AO442="1",BF442,0)</f>
        <v>0</v>
      </c>
      <c r="AA442" s="6">
        <f>IF(AO442="1",BG442,0)</f>
        <v>0</v>
      </c>
      <c r="AB442" s="6">
        <f>IF(AO442="7",BF442,0)</f>
        <v>0</v>
      </c>
      <c r="AC442" s="6">
        <f>IF(AO442="7",BG442,0)</f>
        <v>0</v>
      </c>
      <c r="AD442" s="6">
        <f>IF(AO442="2",BF442,0)</f>
        <v>0</v>
      </c>
      <c r="AE442" s="6">
        <f>IF(AO442="2",BG442,0)</f>
        <v>0</v>
      </c>
      <c r="AF442" s="6">
        <f>IF(AO442="0",BH442,0)</f>
        <v>0</v>
      </c>
      <c r="AG442" s="13" t="s">
        <v>52</v>
      </c>
      <c r="AH442" s="6">
        <f>IF(AL442=0,K442,0)</f>
        <v>0</v>
      </c>
      <c r="AI442" s="6">
        <f>IF(AL442=12,K442,0)</f>
        <v>0</v>
      </c>
      <c r="AJ442" s="6">
        <f>IF(AL442=21,K442,0)</f>
        <v>0</v>
      </c>
      <c r="AL442" s="6">
        <v>21</v>
      </c>
      <c r="AM442" s="6">
        <f>H442*0</f>
        <v>0</v>
      </c>
      <c r="AN442" s="6">
        <f>H442*(1-0)</f>
        <v>0</v>
      </c>
      <c r="AO442" s="23" t="s">
        <v>97</v>
      </c>
      <c r="AT442" s="6">
        <f>AU442+AV442</f>
        <v>0</v>
      </c>
      <c r="AU442" s="6">
        <f>G442*AM442</f>
        <v>0</v>
      </c>
      <c r="AV442" s="6">
        <f>G442*AN442</f>
        <v>0</v>
      </c>
      <c r="AW442" s="23" t="s">
        <v>146</v>
      </c>
      <c r="AX442" s="23" t="s">
        <v>840</v>
      </c>
      <c r="AY442" s="13" t="s">
        <v>841</v>
      </c>
      <c r="BA442" s="6">
        <f>AU442+AV442</f>
        <v>0</v>
      </c>
      <c r="BB442" s="6">
        <f>H442/(100-BC442)*100</f>
        <v>0</v>
      </c>
      <c r="BC442" s="6">
        <v>0</v>
      </c>
      <c r="BD442" s="6">
        <f>M442</f>
        <v>1.254</v>
      </c>
      <c r="BF442" s="6">
        <f>G442*AM442</f>
        <v>0</v>
      </c>
      <c r="BG442" s="6">
        <f>G442*AN442</f>
        <v>0</v>
      </c>
      <c r="BH442" s="6">
        <f>G442*H442</f>
        <v>0</v>
      </c>
      <c r="BI442" s="6"/>
      <c r="BJ442" s="6">
        <v>96</v>
      </c>
      <c r="BU442" s="6" t="e">
        <f>#REF!</f>
        <v>#REF!</v>
      </c>
      <c r="BV442" s="3" t="s">
        <v>851</v>
      </c>
    </row>
    <row r="443" spans="1:74" ht="13.5" customHeight="1" x14ac:dyDescent="0.35">
      <c r="A443" s="24"/>
      <c r="C443" s="28" t="s">
        <v>193</v>
      </c>
      <c r="D443" s="139" t="s">
        <v>852</v>
      </c>
      <c r="E443" s="140"/>
      <c r="F443" s="140"/>
      <c r="G443" s="140"/>
      <c r="H443" s="140"/>
      <c r="I443" s="140"/>
      <c r="J443" s="140"/>
      <c r="K443" s="140"/>
      <c r="L443" s="140"/>
      <c r="M443" s="140"/>
      <c r="N443" s="141"/>
    </row>
    <row r="444" spans="1:74" ht="14.5" x14ac:dyDescent="0.35">
      <c r="A444" s="24"/>
      <c r="D444" s="25" t="s">
        <v>853</v>
      </c>
      <c r="E444" s="26" t="s">
        <v>844</v>
      </c>
      <c r="G444" s="27">
        <v>0.56999999999999995</v>
      </c>
      <c r="N444" s="87"/>
    </row>
    <row r="445" spans="1:74" ht="14.5" x14ac:dyDescent="0.35">
      <c r="A445" s="1" t="s">
        <v>854</v>
      </c>
      <c r="B445" s="2" t="s">
        <v>52</v>
      </c>
      <c r="C445" s="2" t="s">
        <v>855</v>
      </c>
      <c r="D445" s="138" t="s">
        <v>856</v>
      </c>
      <c r="E445" s="107"/>
      <c r="F445" s="37" t="s">
        <v>145</v>
      </c>
      <c r="G445" s="6">
        <v>7.09</v>
      </c>
      <c r="H445" s="147">
        <v>0</v>
      </c>
      <c r="I445" s="6">
        <f>G445*AM445</f>
        <v>0</v>
      </c>
      <c r="J445" s="6">
        <f>G445*AN445</f>
        <v>0</v>
      </c>
      <c r="K445" s="6">
        <f>G445*H445</f>
        <v>0</v>
      </c>
      <c r="L445" s="6">
        <v>0.01</v>
      </c>
      <c r="M445" s="6">
        <f>G445*L445</f>
        <v>7.0900000000000005E-2</v>
      </c>
      <c r="N445" s="86" t="s">
        <v>129</v>
      </c>
      <c r="X445" s="6">
        <f>IF(AO445="5",BH445,0)</f>
        <v>0</v>
      </c>
      <c r="Z445" s="6">
        <f>IF(AO445="1",BF445,0)</f>
        <v>0</v>
      </c>
      <c r="AA445" s="6">
        <f>IF(AO445="1",BG445,0)</f>
        <v>0</v>
      </c>
      <c r="AB445" s="6">
        <f>IF(AO445="7",BF445,0)</f>
        <v>0</v>
      </c>
      <c r="AC445" s="6">
        <f>IF(AO445="7",BG445,0)</f>
        <v>0</v>
      </c>
      <c r="AD445" s="6">
        <f>IF(AO445="2",BF445,0)</f>
        <v>0</v>
      </c>
      <c r="AE445" s="6">
        <f>IF(AO445="2",BG445,0)</f>
        <v>0</v>
      </c>
      <c r="AF445" s="6">
        <f>IF(AO445="0",BH445,0)</f>
        <v>0</v>
      </c>
      <c r="AG445" s="13" t="s">
        <v>52</v>
      </c>
      <c r="AH445" s="6">
        <f>IF(AL445=0,K445,0)</f>
        <v>0</v>
      </c>
      <c r="AI445" s="6">
        <f>IF(AL445=12,K445,0)</f>
        <v>0</v>
      </c>
      <c r="AJ445" s="6">
        <f>IF(AL445=21,K445,0)</f>
        <v>0</v>
      </c>
      <c r="AL445" s="6">
        <v>21</v>
      </c>
      <c r="AM445" s="6">
        <f>H445*0</f>
        <v>0</v>
      </c>
      <c r="AN445" s="6">
        <f>H445*(1-0)</f>
        <v>0</v>
      </c>
      <c r="AO445" s="23" t="s">
        <v>97</v>
      </c>
      <c r="AT445" s="6">
        <f>AU445+AV445</f>
        <v>0</v>
      </c>
      <c r="AU445" s="6">
        <f>G445*AM445</f>
        <v>0</v>
      </c>
      <c r="AV445" s="6">
        <f>G445*AN445</f>
        <v>0</v>
      </c>
      <c r="AW445" s="23" t="s">
        <v>146</v>
      </c>
      <c r="AX445" s="23" t="s">
        <v>840</v>
      </c>
      <c r="AY445" s="13" t="s">
        <v>841</v>
      </c>
      <c r="BA445" s="6">
        <f>AU445+AV445</f>
        <v>0</v>
      </c>
      <c r="BB445" s="6">
        <f>H445/(100-BC445)*100</f>
        <v>0</v>
      </c>
      <c r="BC445" s="6">
        <v>0</v>
      </c>
      <c r="BD445" s="6">
        <f>M445</f>
        <v>7.0900000000000005E-2</v>
      </c>
      <c r="BF445" s="6">
        <f>G445*AM445</f>
        <v>0</v>
      </c>
      <c r="BG445" s="6">
        <f>G445*AN445</f>
        <v>0</v>
      </c>
      <c r="BH445" s="6">
        <f>G445*H445</f>
        <v>0</v>
      </c>
      <c r="BI445" s="6"/>
      <c r="BJ445" s="6">
        <v>96</v>
      </c>
      <c r="BU445" s="6" t="e">
        <f>#REF!</f>
        <v>#REF!</v>
      </c>
      <c r="BV445" s="3" t="s">
        <v>856</v>
      </c>
    </row>
    <row r="446" spans="1:74" ht="13.5" customHeight="1" x14ac:dyDescent="0.35">
      <c r="A446" s="24"/>
      <c r="C446" s="28" t="s">
        <v>193</v>
      </c>
      <c r="D446" s="139" t="s">
        <v>857</v>
      </c>
      <c r="E446" s="140"/>
      <c r="F446" s="140"/>
      <c r="G446" s="140"/>
      <c r="H446" s="140"/>
      <c r="I446" s="140"/>
      <c r="J446" s="140"/>
      <c r="K446" s="140"/>
      <c r="L446" s="140"/>
      <c r="M446" s="140"/>
      <c r="N446" s="141"/>
    </row>
    <row r="447" spans="1:74" ht="14.5" x14ac:dyDescent="0.35">
      <c r="A447" s="24"/>
      <c r="D447" s="25" t="s">
        <v>843</v>
      </c>
      <c r="E447" s="26" t="s">
        <v>844</v>
      </c>
      <c r="G447" s="27">
        <v>7.09</v>
      </c>
      <c r="N447" s="87"/>
    </row>
    <row r="448" spans="1:74" ht="14.5" x14ac:dyDescent="0.35">
      <c r="A448" s="1" t="s">
        <v>858</v>
      </c>
      <c r="B448" s="2" t="s">
        <v>52</v>
      </c>
      <c r="C448" s="2" t="s">
        <v>859</v>
      </c>
      <c r="D448" s="138" t="s">
        <v>860</v>
      </c>
      <c r="E448" s="107"/>
      <c r="F448" s="37" t="s">
        <v>145</v>
      </c>
      <c r="G448" s="6">
        <v>7.09</v>
      </c>
      <c r="H448" s="147">
        <v>0</v>
      </c>
      <c r="I448" s="6">
        <f>G448*AM448</f>
        <v>0</v>
      </c>
      <c r="J448" s="6">
        <f>G448*AN448</f>
        <v>0</v>
      </c>
      <c r="K448" s="6">
        <f>G448*H448</f>
        <v>0</v>
      </c>
      <c r="L448" s="6">
        <v>2.33E-3</v>
      </c>
      <c r="M448" s="6">
        <f>G448*L448</f>
        <v>1.6519699999999998E-2</v>
      </c>
      <c r="N448" s="86" t="s">
        <v>129</v>
      </c>
      <c r="X448" s="6">
        <f>IF(AO448="5",BH448,0)</f>
        <v>0</v>
      </c>
      <c r="Z448" s="6">
        <f>IF(AO448="1",BF448,0)</f>
        <v>0</v>
      </c>
      <c r="AA448" s="6">
        <f>IF(AO448="1",BG448,0)</f>
        <v>0</v>
      </c>
      <c r="AB448" s="6">
        <f>IF(AO448="7",BF448,0)</f>
        <v>0</v>
      </c>
      <c r="AC448" s="6">
        <f>IF(AO448="7",BG448,0)</f>
        <v>0</v>
      </c>
      <c r="AD448" s="6">
        <f>IF(AO448="2",BF448,0)</f>
        <v>0</v>
      </c>
      <c r="AE448" s="6">
        <f>IF(AO448="2",BG448,0)</f>
        <v>0</v>
      </c>
      <c r="AF448" s="6">
        <f>IF(AO448="0",BH448,0)</f>
        <v>0</v>
      </c>
      <c r="AG448" s="13" t="s">
        <v>52</v>
      </c>
      <c r="AH448" s="6">
        <f>IF(AL448=0,K448,0)</f>
        <v>0</v>
      </c>
      <c r="AI448" s="6">
        <f>IF(AL448=12,K448,0)</f>
        <v>0</v>
      </c>
      <c r="AJ448" s="6">
        <f>IF(AL448=21,K448,0)</f>
        <v>0</v>
      </c>
      <c r="AL448" s="6">
        <v>21</v>
      </c>
      <c r="AM448" s="6">
        <f>H448*0</f>
        <v>0</v>
      </c>
      <c r="AN448" s="6">
        <f>H448*(1-0)</f>
        <v>0</v>
      </c>
      <c r="AO448" s="23" t="s">
        <v>97</v>
      </c>
      <c r="AT448" s="6">
        <f>AU448+AV448</f>
        <v>0</v>
      </c>
      <c r="AU448" s="6">
        <f>G448*AM448</f>
        <v>0</v>
      </c>
      <c r="AV448" s="6">
        <f>G448*AN448</f>
        <v>0</v>
      </c>
      <c r="AW448" s="23" t="s">
        <v>146</v>
      </c>
      <c r="AX448" s="23" t="s">
        <v>840</v>
      </c>
      <c r="AY448" s="13" t="s">
        <v>841</v>
      </c>
      <c r="BA448" s="6">
        <f>AU448+AV448</f>
        <v>0</v>
      </c>
      <c r="BB448" s="6">
        <f>H448/(100-BC448)*100</f>
        <v>0</v>
      </c>
      <c r="BC448" s="6">
        <v>0</v>
      </c>
      <c r="BD448" s="6">
        <f>M448</f>
        <v>1.6519699999999998E-2</v>
      </c>
      <c r="BF448" s="6">
        <f>G448*AM448</f>
        <v>0</v>
      </c>
      <c r="BG448" s="6">
        <f>G448*AN448</f>
        <v>0</v>
      </c>
      <c r="BH448" s="6">
        <f>G448*H448</f>
        <v>0</v>
      </c>
      <c r="BI448" s="6"/>
      <c r="BJ448" s="6">
        <v>96</v>
      </c>
      <c r="BU448" s="6" t="e">
        <f>#REF!</f>
        <v>#REF!</v>
      </c>
      <c r="BV448" s="3" t="s">
        <v>860</v>
      </c>
    </row>
    <row r="449" spans="1:74" ht="14.5" x14ac:dyDescent="0.35">
      <c r="A449" s="24"/>
      <c r="D449" s="25" t="s">
        <v>843</v>
      </c>
      <c r="E449" s="26" t="s">
        <v>844</v>
      </c>
      <c r="G449" s="27">
        <v>7.09</v>
      </c>
      <c r="N449" s="87"/>
    </row>
    <row r="450" spans="1:74" ht="14.5" x14ac:dyDescent="0.35">
      <c r="A450" s="1" t="s">
        <v>861</v>
      </c>
      <c r="B450" s="2" t="s">
        <v>52</v>
      </c>
      <c r="C450" s="2" t="s">
        <v>862</v>
      </c>
      <c r="D450" s="138" t="s">
        <v>863</v>
      </c>
      <c r="E450" s="107"/>
      <c r="F450" s="37" t="s">
        <v>145</v>
      </c>
      <c r="G450" s="6">
        <v>7.09</v>
      </c>
      <c r="H450" s="147">
        <v>0</v>
      </c>
      <c r="I450" s="6">
        <f>G450*AM450</f>
        <v>0</v>
      </c>
      <c r="J450" s="6">
        <f>G450*AN450</f>
        <v>0</v>
      </c>
      <c r="K450" s="6">
        <f>G450*H450</f>
        <v>0</v>
      </c>
      <c r="L450" s="6">
        <v>6.0000000000000001E-3</v>
      </c>
      <c r="M450" s="6">
        <f>G450*L450</f>
        <v>4.2540000000000001E-2</v>
      </c>
      <c r="N450" s="86" t="s">
        <v>129</v>
      </c>
      <c r="X450" s="6">
        <f>IF(AO450="5",BH450,0)</f>
        <v>0</v>
      </c>
      <c r="Z450" s="6">
        <f>IF(AO450="1",BF450,0)</f>
        <v>0</v>
      </c>
      <c r="AA450" s="6">
        <f>IF(AO450="1",BG450,0)</f>
        <v>0</v>
      </c>
      <c r="AB450" s="6">
        <f>IF(AO450="7",BF450,0)</f>
        <v>0</v>
      </c>
      <c r="AC450" s="6">
        <f>IF(AO450="7",BG450,0)</f>
        <v>0</v>
      </c>
      <c r="AD450" s="6">
        <f>IF(AO450="2",BF450,0)</f>
        <v>0</v>
      </c>
      <c r="AE450" s="6">
        <f>IF(AO450="2",BG450,0)</f>
        <v>0</v>
      </c>
      <c r="AF450" s="6">
        <f>IF(AO450="0",BH450,0)</f>
        <v>0</v>
      </c>
      <c r="AG450" s="13" t="s">
        <v>52</v>
      </c>
      <c r="AH450" s="6">
        <f>IF(AL450=0,K450,0)</f>
        <v>0</v>
      </c>
      <c r="AI450" s="6">
        <f>IF(AL450=12,K450,0)</f>
        <v>0</v>
      </c>
      <c r="AJ450" s="6">
        <f>IF(AL450=21,K450,0)</f>
        <v>0</v>
      </c>
      <c r="AL450" s="6">
        <v>21</v>
      </c>
      <c r="AM450" s="6">
        <f>H450*0</f>
        <v>0</v>
      </c>
      <c r="AN450" s="6">
        <f>H450*(1-0)</f>
        <v>0</v>
      </c>
      <c r="AO450" s="23" t="s">
        <v>97</v>
      </c>
      <c r="AT450" s="6">
        <f>AU450+AV450</f>
        <v>0</v>
      </c>
      <c r="AU450" s="6">
        <f>G450*AM450</f>
        <v>0</v>
      </c>
      <c r="AV450" s="6">
        <f>G450*AN450</f>
        <v>0</v>
      </c>
      <c r="AW450" s="23" t="s">
        <v>146</v>
      </c>
      <c r="AX450" s="23" t="s">
        <v>840</v>
      </c>
      <c r="AY450" s="13" t="s">
        <v>841</v>
      </c>
      <c r="BA450" s="6">
        <f>AU450+AV450</f>
        <v>0</v>
      </c>
      <c r="BB450" s="6">
        <f>H450/(100-BC450)*100</f>
        <v>0</v>
      </c>
      <c r="BC450" s="6">
        <v>0</v>
      </c>
      <c r="BD450" s="6">
        <f>M450</f>
        <v>4.2540000000000001E-2</v>
      </c>
      <c r="BF450" s="6">
        <f>G450*AM450</f>
        <v>0</v>
      </c>
      <c r="BG450" s="6">
        <f>G450*AN450</f>
        <v>0</v>
      </c>
      <c r="BH450" s="6">
        <f>G450*H450</f>
        <v>0</v>
      </c>
      <c r="BI450" s="6"/>
      <c r="BJ450" s="6">
        <v>96</v>
      </c>
      <c r="BU450" s="6" t="e">
        <f>#REF!</f>
        <v>#REF!</v>
      </c>
      <c r="BV450" s="3" t="s">
        <v>863</v>
      </c>
    </row>
    <row r="451" spans="1:74" ht="13.5" customHeight="1" x14ac:dyDescent="0.35">
      <c r="A451" s="24"/>
      <c r="C451" s="28" t="s">
        <v>193</v>
      </c>
      <c r="D451" s="139" t="s">
        <v>857</v>
      </c>
      <c r="E451" s="140"/>
      <c r="F451" s="140"/>
      <c r="G451" s="140"/>
      <c r="H451" s="140"/>
      <c r="I451" s="140"/>
      <c r="J451" s="140"/>
      <c r="K451" s="140"/>
      <c r="L451" s="140"/>
      <c r="M451" s="140"/>
      <c r="N451" s="141"/>
    </row>
    <row r="452" spans="1:74" ht="14.5" x14ac:dyDescent="0.35">
      <c r="A452" s="24"/>
      <c r="D452" s="25" t="s">
        <v>843</v>
      </c>
      <c r="E452" s="26" t="s">
        <v>844</v>
      </c>
      <c r="G452" s="27">
        <v>7.09</v>
      </c>
      <c r="N452" s="87"/>
    </row>
    <row r="453" spans="1:74" ht="14.5" x14ac:dyDescent="0.35">
      <c r="A453" s="1" t="s">
        <v>864</v>
      </c>
      <c r="B453" s="2" t="s">
        <v>52</v>
      </c>
      <c r="C453" s="2" t="s">
        <v>865</v>
      </c>
      <c r="D453" s="138" t="s">
        <v>866</v>
      </c>
      <c r="E453" s="107"/>
      <c r="F453" s="37" t="s">
        <v>259</v>
      </c>
      <c r="G453" s="6">
        <v>1</v>
      </c>
      <c r="H453" s="147">
        <v>0</v>
      </c>
      <c r="I453" s="6">
        <f>G453*AM453</f>
        <v>0</v>
      </c>
      <c r="J453" s="6">
        <f>G453*AN453</f>
        <v>0</v>
      </c>
      <c r="K453" s="6">
        <f>G453*H453</f>
        <v>0</v>
      </c>
      <c r="L453" s="6">
        <v>1.7049999999999999E-2</v>
      </c>
      <c r="M453" s="6">
        <f>G453*L453</f>
        <v>1.7049999999999999E-2</v>
      </c>
      <c r="N453" s="86" t="s">
        <v>129</v>
      </c>
      <c r="X453" s="6">
        <f>IF(AO453="5",BH453,0)</f>
        <v>0</v>
      </c>
      <c r="Z453" s="6">
        <f>IF(AO453="1",BF453,0)</f>
        <v>0</v>
      </c>
      <c r="AA453" s="6">
        <f>IF(AO453="1",BG453,0)</f>
        <v>0</v>
      </c>
      <c r="AB453" s="6">
        <f>IF(AO453="7",BF453,0)</f>
        <v>0</v>
      </c>
      <c r="AC453" s="6">
        <f>IF(AO453="7",BG453,0)</f>
        <v>0</v>
      </c>
      <c r="AD453" s="6">
        <f>IF(AO453="2",BF453,0)</f>
        <v>0</v>
      </c>
      <c r="AE453" s="6">
        <f>IF(AO453="2",BG453,0)</f>
        <v>0</v>
      </c>
      <c r="AF453" s="6">
        <f>IF(AO453="0",BH453,0)</f>
        <v>0</v>
      </c>
      <c r="AG453" s="13" t="s">
        <v>52</v>
      </c>
      <c r="AH453" s="6">
        <f>IF(AL453=0,K453,0)</f>
        <v>0</v>
      </c>
      <c r="AI453" s="6">
        <f>IF(AL453=12,K453,0)</f>
        <v>0</v>
      </c>
      <c r="AJ453" s="6">
        <f>IF(AL453=21,K453,0)</f>
        <v>0</v>
      </c>
      <c r="AL453" s="6">
        <v>21</v>
      </c>
      <c r="AM453" s="6">
        <f>H453*0</f>
        <v>0</v>
      </c>
      <c r="AN453" s="6">
        <f>H453*(1-0)</f>
        <v>0</v>
      </c>
      <c r="AO453" s="23" t="s">
        <v>97</v>
      </c>
      <c r="AT453" s="6">
        <f>AU453+AV453</f>
        <v>0</v>
      </c>
      <c r="AU453" s="6">
        <f>G453*AM453</f>
        <v>0</v>
      </c>
      <c r="AV453" s="6">
        <f>G453*AN453</f>
        <v>0</v>
      </c>
      <c r="AW453" s="23" t="s">
        <v>146</v>
      </c>
      <c r="AX453" s="23" t="s">
        <v>840</v>
      </c>
      <c r="AY453" s="13" t="s">
        <v>841</v>
      </c>
      <c r="BA453" s="6">
        <f>AU453+AV453</f>
        <v>0</v>
      </c>
      <c r="BB453" s="6">
        <f>H453/(100-BC453)*100</f>
        <v>0</v>
      </c>
      <c r="BC453" s="6">
        <v>0</v>
      </c>
      <c r="BD453" s="6">
        <f>M453</f>
        <v>1.7049999999999999E-2</v>
      </c>
      <c r="BF453" s="6">
        <f>G453*AM453</f>
        <v>0</v>
      </c>
      <c r="BG453" s="6">
        <f>G453*AN453</f>
        <v>0</v>
      </c>
      <c r="BH453" s="6">
        <f>G453*H453</f>
        <v>0</v>
      </c>
      <c r="BI453" s="6"/>
      <c r="BJ453" s="6">
        <v>96</v>
      </c>
      <c r="BU453" s="6" t="e">
        <f>#REF!</f>
        <v>#REF!</v>
      </c>
      <c r="BV453" s="3" t="s">
        <v>866</v>
      </c>
    </row>
    <row r="454" spans="1:74" ht="14.5" x14ac:dyDescent="0.35">
      <c r="A454" s="20" t="s">
        <v>22</v>
      </c>
      <c r="B454" s="21" t="s">
        <v>52</v>
      </c>
      <c r="C454" s="21" t="s">
        <v>30</v>
      </c>
      <c r="D454" s="133" t="s">
        <v>31</v>
      </c>
      <c r="E454" s="134"/>
      <c r="F454" s="91" t="s">
        <v>12</v>
      </c>
      <c r="G454" s="22" t="s">
        <v>12</v>
      </c>
      <c r="H454" s="22" t="s">
        <v>12</v>
      </c>
      <c r="I454" s="12">
        <f>SUM(I455:I462)</f>
        <v>0</v>
      </c>
      <c r="J454" s="12">
        <f>SUM(J455:J462)</f>
        <v>0</v>
      </c>
      <c r="K454" s="12">
        <f>SUM(K455:K462)</f>
        <v>0</v>
      </c>
      <c r="L454" s="13" t="s">
        <v>22</v>
      </c>
      <c r="M454" s="12">
        <f>SUM(M455:M462)</f>
        <v>0</v>
      </c>
      <c r="N454" s="85" t="s">
        <v>22</v>
      </c>
      <c r="AG454" s="13" t="s">
        <v>52</v>
      </c>
      <c r="AQ454" s="12">
        <f>SUM(AH455:AH462)</f>
        <v>0</v>
      </c>
      <c r="AR454" s="12">
        <f>SUM(AI455:AI462)</f>
        <v>0</v>
      </c>
      <c r="AS454" s="12">
        <f>SUM(AJ455:AJ462)</f>
        <v>0</v>
      </c>
    </row>
    <row r="455" spans="1:74" ht="14.5" x14ac:dyDescent="0.35">
      <c r="A455" s="1" t="s">
        <v>867</v>
      </c>
      <c r="B455" s="2" t="s">
        <v>52</v>
      </c>
      <c r="C455" s="2" t="s">
        <v>203</v>
      </c>
      <c r="D455" s="138" t="s">
        <v>204</v>
      </c>
      <c r="E455" s="107"/>
      <c r="F455" s="37" t="s">
        <v>200</v>
      </c>
      <c r="G455" s="6">
        <v>1.55</v>
      </c>
      <c r="H455" s="147">
        <v>0</v>
      </c>
      <c r="I455" s="6">
        <f>G455*AM455</f>
        <v>0</v>
      </c>
      <c r="J455" s="6">
        <f>G455*AN455</f>
        <v>0</v>
      </c>
      <c r="K455" s="6">
        <f>G455*H455</f>
        <v>0</v>
      </c>
      <c r="L455" s="6">
        <v>0</v>
      </c>
      <c r="M455" s="6">
        <f>G455*L455</f>
        <v>0</v>
      </c>
      <c r="N455" s="86" t="s">
        <v>129</v>
      </c>
      <c r="X455" s="6">
        <f>IF(AO455="5",BH455,0)</f>
        <v>0</v>
      </c>
      <c r="Z455" s="6">
        <f>IF(AO455="1",BF455,0)</f>
        <v>0</v>
      </c>
      <c r="AA455" s="6">
        <f>IF(AO455="1",BG455,0)</f>
        <v>0</v>
      </c>
      <c r="AB455" s="6">
        <f>IF(AO455="7",BF455,0)</f>
        <v>0</v>
      </c>
      <c r="AC455" s="6">
        <f>IF(AO455="7",BG455,0)</f>
        <v>0</v>
      </c>
      <c r="AD455" s="6">
        <f>IF(AO455="2",BF455,0)</f>
        <v>0</v>
      </c>
      <c r="AE455" s="6">
        <f>IF(AO455="2",BG455,0)</f>
        <v>0</v>
      </c>
      <c r="AF455" s="6">
        <f>IF(AO455="0",BH455,0)</f>
        <v>0</v>
      </c>
      <c r="AG455" s="13" t="s">
        <v>52</v>
      </c>
      <c r="AH455" s="6">
        <f>IF(AL455=0,K455,0)</f>
        <v>0</v>
      </c>
      <c r="AI455" s="6">
        <f>IF(AL455=12,K455,0)</f>
        <v>0</v>
      </c>
      <c r="AJ455" s="6">
        <f>IF(AL455=21,K455,0)</f>
        <v>0</v>
      </c>
      <c r="AL455" s="6">
        <v>21</v>
      </c>
      <c r="AM455" s="6">
        <f>H455*0</f>
        <v>0</v>
      </c>
      <c r="AN455" s="6">
        <f>H455*(1-0)</f>
        <v>0</v>
      </c>
      <c r="AO455" s="23" t="s">
        <v>164</v>
      </c>
      <c r="AT455" s="6">
        <f>AU455+AV455</f>
        <v>0</v>
      </c>
      <c r="AU455" s="6">
        <f>G455*AM455</f>
        <v>0</v>
      </c>
      <c r="AV455" s="6">
        <f>G455*AN455</f>
        <v>0</v>
      </c>
      <c r="AW455" s="23" t="s">
        <v>201</v>
      </c>
      <c r="AX455" s="23" t="s">
        <v>868</v>
      </c>
      <c r="AY455" s="13" t="s">
        <v>841</v>
      </c>
      <c r="BA455" s="6">
        <f>AU455+AV455</f>
        <v>0</v>
      </c>
      <c r="BB455" s="6">
        <f>H455/(100-BC455)*100</f>
        <v>0</v>
      </c>
      <c r="BC455" s="6">
        <v>0</v>
      </c>
      <c r="BD455" s="6">
        <f>M455</f>
        <v>0</v>
      </c>
      <c r="BF455" s="6">
        <f>G455*AM455</f>
        <v>0</v>
      </c>
      <c r="BG455" s="6">
        <f>G455*AN455</f>
        <v>0</v>
      </c>
      <c r="BH455" s="6">
        <f>G455*H455</f>
        <v>0</v>
      </c>
      <c r="BI455" s="6"/>
      <c r="BJ455" s="6">
        <v>99</v>
      </c>
      <c r="BU455" s="6" t="e">
        <f>#REF!</f>
        <v>#REF!</v>
      </c>
      <c r="BV455" s="3" t="s">
        <v>204</v>
      </c>
    </row>
    <row r="456" spans="1:74" ht="14.5" x14ac:dyDescent="0.35">
      <c r="A456" s="1" t="s">
        <v>869</v>
      </c>
      <c r="B456" s="2" t="s">
        <v>52</v>
      </c>
      <c r="C456" s="2" t="s">
        <v>206</v>
      </c>
      <c r="D456" s="138" t="s">
        <v>207</v>
      </c>
      <c r="E456" s="107"/>
      <c r="F456" s="37" t="s">
        <v>200</v>
      </c>
      <c r="G456" s="6">
        <v>3.1</v>
      </c>
      <c r="H456" s="147">
        <v>0</v>
      </c>
      <c r="I456" s="6">
        <f>G456*AM456</f>
        <v>0</v>
      </c>
      <c r="J456" s="6">
        <f>G456*AN456</f>
        <v>0</v>
      </c>
      <c r="K456" s="6">
        <f>G456*H456</f>
        <v>0</v>
      </c>
      <c r="L456" s="6">
        <v>0</v>
      </c>
      <c r="M456" s="6">
        <f>G456*L456</f>
        <v>0</v>
      </c>
      <c r="N456" s="86" t="s">
        <v>129</v>
      </c>
      <c r="X456" s="6">
        <f>IF(AO456="5",BH456,0)</f>
        <v>0</v>
      </c>
      <c r="Z456" s="6">
        <f>IF(AO456="1",BF456,0)</f>
        <v>0</v>
      </c>
      <c r="AA456" s="6">
        <f>IF(AO456="1",BG456,0)</f>
        <v>0</v>
      </c>
      <c r="AB456" s="6">
        <f>IF(AO456="7",BF456,0)</f>
        <v>0</v>
      </c>
      <c r="AC456" s="6">
        <f>IF(AO456="7",BG456,0)</f>
        <v>0</v>
      </c>
      <c r="AD456" s="6">
        <f>IF(AO456="2",BF456,0)</f>
        <v>0</v>
      </c>
      <c r="AE456" s="6">
        <f>IF(AO456="2",BG456,0)</f>
        <v>0</v>
      </c>
      <c r="AF456" s="6">
        <f>IF(AO456="0",BH456,0)</f>
        <v>0</v>
      </c>
      <c r="AG456" s="13" t="s">
        <v>52</v>
      </c>
      <c r="AH456" s="6">
        <f>IF(AL456=0,K456,0)</f>
        <v>0</v>
      </c>
      <c r="AI456" s="6">
        <f>IF(AL456=12,K456,0)</f>
        <v>0</v>
      </c>
      <c r="AJ456" s="6">
        <f>IF(AL456=21,K456,0)</f>
        <v>0</v>
      </c>
      <c r="AL456" s="6">
        <v>21</v>
      </c>
      <c r="AM456" s="6">
        <f>H456*0</f>
        <v>0</v>
      </c>
      <c r="AN456" s="6">
        <f>H456*(1-0)</f>
        <v>0</v>
      </c>
      <c r="AO456" s="23" t="s">
        <v>164</v>
      </c>
      <c r="AT456" s="6">
        <f>AU456+AV456</f>
        <v>0</v>
      </c>
      <c r="AU456" s="6">
        <f>G456*AM456</f>
        <v>0</v>
      </c>
      <c r="AV456" s="6">
        <f>G456*AN456</f>
        <v>0</v>
      </c>
      <c r="AW456" s="23" t="s">
        <v>201</v>
      </c>
      <c r="AX456" s="23" t="s">
        <v>868</v>
      </c>
      <c r="AY456" s="13" t="s">
        <v>841</v>
      </c>
      <c r="BA456" s="6">
        <f>AU456+AV456</f>
        <v>0</v>
      </c>
      <c r="BB456" s="6">
        <f>H456/(100-BC456)*100</f>
        <v>0</v>
      </c>
      <c r="BC456" s="6">
        <v>0</v>
      </c>
      <c r="BD456" s="6">
        <f>M456</f>
        <v>0</v>
      </c>
      <c r="BF456" s="6">
        <f>G456*AM456</f>
        <v>0</v>
      </c>
      <c r="BG456" s="6">
        <f>G456*AN456</f>
        <v>0</v>
      </c>
      <c r="BH456" s="6">
        <f>G456*H456</f>
        <v>0</v>
      </c>
      <c r="BI456" s="6"/>
      <c r="BJ456" s="6">
        <v>99</v>
      </c>
      <c r="BU456" s="6" t="e">
        <f>#REF!</f>
        <v>#REF!</v>
      </c>
      <c r="BV456" s="3" t="s">
        <v>207</v>
      </c>
    </row>
    <row r="457" spans="1:74" ht="14.5" x14ac:dyDescent="0.35">
      <c r="A457" s="24"/>
      <c r="D457" s="25" t="s">
        <v>870</v>
      </c>
      <c r="E457" s="26" t="s">
        <v>22</v>
      </c>
      <c r="G457" s="27">
        <v>3.1</v>
      </c>
      <c r="N457" s="87"/>
    </row>
    <row r="458" spans="1:74" ht="14.5" x14ac:dyDescent="0.35">
      <c r="A458" s="1" t="s">
        <v>871</v>
      </c>
      <c r="B458" s="2" t="s">
        <v>52</v>
      </c>
      <c r="C458" s="2" t="s">
        <v>210</v>
      </c>
      <c r="D458" s="138" t="s">
        <v>211</v>
      </c>
      <c r="E458" s="107"/>
      <c r="F458" s="37" t="s">
        <v>200</v>
      </c>
      <c r="G458" s="6">
        <v>1.55</v>
      </c>
      <c r="H458" s="147">
        <v>0</v>
      </c>
      <c r="I458" s="6">
        <f>G458*AM458</f>
        <v>0</v>
      </c>
      <c r="J458" s="6">
        <f>G458*AN458</f>
        <v>0</v>
      </c>
      <c r="K458" s="6">
        <f>G458*H458</f>
        <v>0</v>
      </c>
      <c r="L458" s="6">
        <v>0</v>
      </c>
      <c r="M458" s="6">
        <f>G458*L458</f>
        <v>0</v>
      </c>
      <c r="N458" s="86" t="s">
        <v>102</v>
      </c>
      <c r="X458" s="6">
        <f>IF(AO458="5",BH458,0)</f>
        <v>0</v>
      </c>
      <c r="Z458" s="6">
        <f>IF(AO458="1",BF458,0)</f>
        <v>0</v>
      </c>
      <c r="AA458" s="6">
        <f>IF(AO458="1",BG458,0)</f>
        <v>0</v>
      </c>
      <c r="AB458" s="6">
        <f>IF(AO458="7",BF458,0)</f>
        <v>0</v>
      </c>
      <c r="AC458" s="6">
        <f>IF(AO458="7",BG458,0)</f>
        <v>0</v>
      </c>
      <c r="AD458" s="6">
        <f>IF(AO458="2",BF458,0)</f>
        <v>0</v>
      </c>
      <c r="AE458" s="6">
        <f>IF(AO458="2",BG458,0)</f>
        <v>0</v>
      </c>
      <c r="AF458" s="6">
        <f>IF(AO458="0",BH458,0)</f>
        <v>0</v>
      </c>
      <c r="AG458" s="13" t="s">
        <v>52</v>
      </c>
      <c r="AH458" s="6">
        <f>IF(AL458=0,K458,0)</f>
        <v>0</v>
      </c>
      <c r="AI458" s="6">
        <f>IF(AL458=12,K458,0)</f>
        <v>0</v>
      </c>
      <c r="AJ458" s="6">
        <f>IF(AL458=21,K458,0)</f>
        <v>0</v>
      </c>
      <c r="AL458" s="6">
        <v>21</v>
      </c>
      <c r="AM458" s="6">
        <f>H458*0</f>
        <v>0</v>
      </c>
      <c r="AN458" s="6">
        <f>H458*(1-0)</f>
        <v>0</v>
      </c>
      <c r="AO458" s="23" t="s">
        <v>164</v>
      </c>
      <c r="AT458" s="6">
        <f>AU458+AV458</f>
        <v>0</v>
      </c>
      <c r="AU458" s="6">
        <f>G458*AM458</f>
        <v>0</v>
      </c>
      <c r="AV458" s="6">
        <f>G458*AN458</f>
        <v>0</v>
      </c>
      <c r="AW458" s="23" t="s">
        <v>201</v>
      </c>
      <c r="AX458" s="23" t="s">
        <v>868</v>
      </c>
      <c r="AY458" s="13" t="s">
        <v>841</v>
      </c>
      <c r="BA458" s="6">
        <f>AU458+AV458</f>
        <v>0</v>
      </c>
      <c r="BB458" s="6">
        <f>H458/(100-BC458)*100</f>
        <v>0</v>
      </c>
      <c r="BC458" s="6">
        <v>0</v>
      </c>
      <c r="BD458" s="6">
        <f>M458</f>
        <v>0</v>
      </c>
      <c r="BF458" s="6">
        <f>G458*AM458</f>
        <v>0</v>
      </c>
      <c r="BG458" s="6">
        <f>G458*AN458</f>
        <v>0</v>
      </c>
      <c r="BH458" s="6">
        <f>G458*H458</f>
        <v>0</v>
      </c>
      <c r="BI458" s="6"/>
      <c r="BJ458" s="6">
        <v>99</v>
      </c>
      <c r="BU458" s="6" t="e">
        <f>#REF!</f>
        <v>#REF!</v>
      </c>
      <c r="BV458" s="3" t="s">
        <v>211</v>
      </c>
    </row>
    <row r="459" spans="1:74" ht="14.5" x14ac:dyDescent="0.35">
      <c r="A459" s="1" t="s">
        <v>872</v>
      </c>
      <c r="B459" s="2" t="s">
        <v>52</v>
      </c>
      <c r="C459" s="2" t="s">
        <v>213</v>
      </c>
      <c r="D459" s="138" t="s">
        <v>214</v>
      </c>
      <c r="E459" s="107"/>
      <c r="F459" s="37" t="s">
        <v>200</v>
      </c>
      <c r="G459" s="6">
        <v>1.55</v>
      </c>
      <c r="H459" s="147">
        <v>0</v>
      </c>
      <c r="I459" s="6">
        <f>G459*AM459</f>
        <v>0</v>
      </c>
      <c r="J459" s="6">
        <f>G459*AN459</f>
        <v>0</v>
      </c>
      <c r="K459" s="6">
        <f>G459*H459</f>
        <v>0</v>
      </c>
      <c r="L459" s="6">
        <v>0</v>
      </c>
      <c r="M459" s="6">
        <f>G459*L459</f>
        <v>0</v>
      </c>
      <c r="N459" s="86" t="s">
        <v>129</v>
      </c>
      <c r="X459" s="6">
        <f>IF(AO459="5",BH459,0)</f>
        <v>0</v>
      </c>
      <c r="Z459" s="6">
        <f>IF(AO459="1",BF459,0)</f>
        <v>0</v>
      </c>
      <c r="AA459" s="6">
        <f>IF(AO459="1",BG459,0)</f>
        <v>0</v>
      </c>
      <c r="AB459" s="6">
        <f>IF(AO459="7",BF459,0)</f>
        <v>0</v>
      </c>
      <c r="AC459" s="6">
        <f>IF(AO459="7",BG459,0)</f>
        <v>0</v>
      </c>
      <c r="AD459" s="6">
        <f>IF(AO459="2",BF459,0)</f>
        <v>0</v>
      </c>
      <c r="AE459" s="6">
        <f>IF(AO459="2",BG459,0)</f>
        <v>0</v>
      </c>
      <c r="AF459" s="6">
        <f>IF(AO459="0",BH459,0)</f>
        <v>0</v>
      </c>
      <c r="AG459" s="13" t="s">
        <v>52</v>
      </c>
      <c r="AH459" s="6">
        <f>IF(AL459=0,K459,0)</f>
        <v>0</v>
      </c>
      <c r="AI459" s="6">
        <f>IF(AL459=12,K459,0)</f>
        <v>0</v>
      </c>
      <c r="AJ459" s="6">
        <f>IF(AL459=21,K459,0)</f>
        <v>0</v>
      </c>
      <c r="AL459" s="6">
        <v>21</v>
      </c>
      <c r="AM459" s="6">
        <f>H459*0.01171135</f>
        <v>0</v>
      </c>
      <c r="AN459" s="6">
        <f>H459*(1-0.01171135)</f>
        <v>0</v>
      </c>
      <c r="AO459" s="23" t="s">
        <v>164</v>
      </c>
      <c r="AT459" s="6">
        <f>AU459+AV459</f>
        <v>0</v>
      </c>
      <c r="AU459" s="6">
        <f>G459*AM459</f>
        <v>0</v>
      </c>
      <c r="AV459" s="6">
        <f>G459*AN459</f>
        <v>0</v>
      </c>
      <c r="AW459" s="23" t="s">
        <v>201</v>
      </c>
      <c r="AX459" s="23" t="s">
        <v>868</v>
      </c>
      <c r="AY459" s="13" t="s">
        <v>841</v>
      </c>
      <c r="BA459" s="6">
        <f>AU459+AV459</f>
        <v>0</v>
      </c>
      <c r="BB459" s="6">
        <f>H459/(100-BC459)*100</f>
        <v>0</v>
      </c>
      <c r="BC459" s="6">
        <v>0</v>
      </c>
      <c r="BD459" s="6">
        <f>M459</f>
        <v>0</v>
      </c>
      <c r="BF459" s="6">
        <f>G459*AM459</f>
        <v>0</v>
      </c>
      <c r="BG459" s="6">
        <f>G459*AN459</f>
        <v>0</v>
      </c>
      <c r="BH459" s="6">
        <f>G459*H459</f>
        <v>0</v>
      </c>
      <c r="BI459" s="6"/>
      <c r="BJ459" s="6">
        <v>99</v>
      </c>
      <c r="BU459" s="6" t="e">
        <f>#REF!</f>
        <v>#REF!</v>
      </c>
      <c r="BV459" s="3" t="s">
        <v>214</v>
      </c>
    </row>
    <row r="460" spans="1:74" ht="14.5" x14ac:dyDescent="0.35">
      <c r="A460" s="1" t="s">
        <v>873</v>
      </c>
      <c r="B460" s="2" t="s">
        <v>52</v>
      </c>
      <c r="C460" s="2" t="s">
        <v>511</v>
      </c>
      <c r="D460" s="138" t="s">
        <v>672</v>
      </c>
      <c r="E460" s="107"/>
      <c r="F460" s="37" t="s">
        <v>200</v>
      </c>
      <c r="G460" s="6">
        <v>1.4</v>
      </c>
      <c r="H460" s="147">
        <v>0</v>
      </c>
      <c r="I460" s="6">
        <f>G460*AM460</f>
        <v>0</v>
      </c>
      <c r="J460" s="6">
        <f>G460*AN460</f>
        <v>0</v>
      </c>
      <c r="K460" s="6">
        <f>G460*H460</f>
        <v>0</v>
      </c>
      <c r="L460" s="6">
        <v>0</v>
      </c>
      <c r="M460" s="6">
        <f>G460*L460</f>
        <v>0</v>
      </c>
      <c r="N460" s="86" t="s">
        <v>129</v>
      </c>
      <c r="X460" s="6">
        <f>IF(AO460="5",BH460,0)</f>
        <v>0</v>
      </c>
      <c r="Z460" s="6">
        <f>IF(AO460="1",BF460,0)</f>
        <v>0</v>
      </c>
      <c r="AA460" s="6">
        <f>IF(AO460="1",BG460,0)</f>
        <v>0</v>
      </c>
      <c r="AB460" s="6">
        <f>IF(AO460="7",BF460,0)</f>
        <v>0</v>
      </c>
      <c r="AC460" s="6">
        <f>IF(AO460="7",BG460,0)</f>
        <v>0</v>
      </c>
      <c r="AD460" s="6">
        <f>IF(AO460="2",BF460,0)</f>
        <v>0</v>
      </c>
      <c r="AE460" s="6">
        <f>IF(AO460="2",BG460,0)</f>
        <v>0</v>
      </c>
      <c r="AF460" s="6">
        <f>IF(AO460="0",BH460,0)</f>
        <v>0</v>
      </c>
      <c r="AG460" s="13" t="s">
        <v>52</v>
      </c>
      <c r="AH460" s="6">
        <f>IF(AL460=0,K460,0)</f>
        <v>0</v>
      </c>
      <c r="AI460" s="6">
        <f>IF(AL460=12,K460,0)</f>
        <v>0</v>
      </c>
      <c r="AJ460" s="6">
        <f>IF(AL460=21,K460,0)</f>
        <v>0</v>
      </c>
      <c r="AL460" s="6">
        <v>21</v>
      </c>
      <c r="AM460" s="6">
        <f>H460*0</f>
        <v>0</v>
      </c>
      <c r="AN460" s="6">
        <f>H460*(1-0)</f>
        <v>0</v>
      </c>
      <c r="AO460" s="23" t="s">
        <v>164</v>
      </c>
      <c r="AT460" s="6">
        <f>AU460+AV460</f>
        <v>0</v>
      </c>
      <c r="AU460" s="6">
        <f>G460*AM460</f>
        <v>0</v>
      </c>
      <c r="AV460" s="6">
        <f>G460*AN460</f>
        <v>0</v>
      </c>
      <c r="AW460" s="23" t="s">
        <v>201</v>
      </c>
      <c r="AX460" s="23" t="s">
        <v>868</v>
      </c>
      <c r="AY460" s="13" t="s">
        <v>841</v>
      </c>
      <c r="BA460" s="6">
        <f>AU460+AV460</f>
        <v>0</v>
      </c>
      <c r="BB460" s="6">
        <f>H460/(100-BC460)*100</f>
        <v>0</v>
      </c>
      <c r="BC460" s="6">
        <v>0</v>
      </c>
      <c r="BD460" s="6">
        <f>M460</f>
        <v>0</v>
      </c>
      <c r="BF460" s="6">
        <f>G460*AM460</f>
        <v>0</v>
      </c>
      <c r="BG460" s="6">
        <f>G460*AN460</f>
        <v>0</v>
      </c>
      <c r="BH460" s="6">
        <f>G460*H460</f>
        <v>0</v>
      </c>
      <c r="BI460" s="6"/>
      <c r="BJ460" s="6">
        <v>99</v>
      </c>
      <c r="BU460" s="6" t="e">
        <f>#REF!</f>
        <v>#REF!</v>
      </c>
      <c r="BV460" s="3" t="s">
        <v>672</v>
      </c>
    </row>
    <row r="461" spans="1:74" ht="14.5" x14ac:dyDescent="0.35">
      <c r="A461" s="1" t="s">
        <v>874</v>
      </c>
      <c r="B461" s="2" t="s">
        <v>52</v>
      </c>
      <c r="C461" s="2" t="s">
        <v>875</v>
      </c>
      <c r="D461" s="138" t="s">
        <v>876</v>
      </c>
      <c r="E461" s="107"/>
      <c r="F461" s="37" t="s">
        <v>200</v>
      </c>
      <c r="G461" s="6">
        <v>0.11</v>
      </c>
      <c r="H461" s="147">
        <v>0</v>
      </c>
      <c r="I461" s="6">
        <f>G461*AM461</f>
        <v>0</v>
      </c>
      <c r="J461" s="6">
        <f>G461*AN461</f>
        <v>0</v>
      </c>
      <c r="K461" s="6">
        <f>G461*H461</f>
        <v>0</v>
      </c>
      <c r="L461" s="6">
        <v>0</v>
      </c>
      <c r="M461" s="6">
        <f>G461*L461</f>
        <v>0</v>
      </c>
      <c r="N461" s="86" t="s">
        <v>129</v>
      </c>
      <c r="X461" s="6">
        <f>IF(AO461="5",BH461,0)</f>
        <v>0</v>
      </c>
      <c r="Z461" s="6">
        <f>IF(AO461="1",BF461,0)</f>
        <v>0</v>
      </c>
      <c r="AA461" s="6">
        <f>IF(AO461="1",BG461,0)</f>
        <v>0</v>
      </c>
      <c r="AB461" s="6">
        <f>IF(AO461="7",BF461,0)</f>
        <v>0</v>
      </c>
      <c r="AC461" s="6">
        <f>IF(AO461="7",BG461,0)</f>
        <v>0</v>
      </c>
      <c r="AD461" s="6">
        <f>IF(AO461="2",BF461,0)</f>
        <v>0</v>
      </c>
      <c r="AE461" s="6">
        <f>IF(AO461="2",BG461,0)</f>
        <v>0</v>
      </c>
      <c r="AF461" s="6">
        <f>IF(AO461="0",BH461,0)</f>
        <v>0</v>
      </c>
      <c r="AG461" s="13" t="s">
        <v>52</v>
      </c>
      <c r="AH461" s="6">
        <f>IF(AL461=0,K461,0)</f>
        <v>0</v>
      </c>
      <c r="AI461" s="6">
        <f>IF(AL461=12,K461,0)</f>
        <v>0</v>
      </c>
      <c r="AJ461" s="6">
        <f>IF(AL461=21,K461,0)</f>
        <v>0</v>
      </c>
      <c r="AL461" s="6">
        <v>21</v>
      </c>
      <c r="AM461" s="6">
        <f>H461*0</f>
        <v>0</v>
      </c>
      <c r="AN461" s="6">
        <f>H461*(1-0)</f>
        <v>0</v>
      </c>
      <c r="AO461" s="23" t="s">
        <v>164</v>
      </c>
      <c r="AT461" s="6">
        <f>AU461+AV461</f>
        <v>0</v>
      </c>
      <c r="AU461" s="6">
        <f>G461*AM461</f>
        <v>0</v>
      </c>
      <c r="AV461" s="6">
        <f>G461*AN461</f>
        <v>0</v>
      </c>
      <c r="AW461" s="23" t="s">
        <v>201</v>
      </c>
      <c r="AX461" s="23" t="s">
        <v>868</v>
      </c>
      <c r="AY461" s="13" t="s">
        <v>841</v>
      </c>
      <c r="BA461" s="6">
        <f>AU461+AV461</f>
        <v>0</v>
      </c>
      <c r="BB461" s="6">
        <f>H461/(100-BC461)*100</f>
        <v>0</v>
      </c>
      <c r="BC461" s="6">
        <v>0</v>
      </c>
      <c r="BD461" s="6">
        <f>M461</f>
        <v>0</v>
      </c>
      <c r="BF461" s="6">
        <f>G461*AM461</f>
        <v>0</v>
      </c>
      <c r="BG461" s="6">
        <f>G461*AN461</f>
        <v>0</v>
      </c>
      <c r="BH461" s="6">
        <f>G461*H461</f>
        <v>0</v>
      </c>
      <c r="BI461" s="6"/>
      <c r="BJ461" s="6">
        <v>99</v>
      </c>
      <c r="BU461" s="6" t="e">
        <f>#REF!</f>
        <v>#REF!</v>
      </c>
      <c r="BV461" s="3" t="s">
        <v>876</v>
      </c>
    </row>
    <row r="462" spans="1:74" ht="14.5" x14ac:dyDescent="0.35">
      <c r="A462" s="1" t="s">
        <v>877</v>
      </c>
      <c r="B462" s="2" t="s">
        <v>52</v>
      </c>
      <c r="C462" s="2" t="s">
        <v>878</v>
      </c>
      <c r="D462" s="138" t="s">
        <v>879</v>
      </c>
      <c r="E462" s="107"/>
      <c r="F462" s="37" t="s">
        <v>200</v>
      </c>
      <c r="G462" s="6">
        <v>0.04</v>
      </c>
      <c r="H462" s="147">
        <v>0</v>
      </c>
      <c r="I462" s="6">
        <f>G462*AM462</f>
        <v>0</v>
      </c>
      <c r="J462" s="6">
        <f>G462*AN462</f>
        <v>0</v>
      </c>
      <c r="K462" s="6">
        <f>G462*H462</f>
        <v>0</v>
      </c>
      <c r="L462" s="6">
        <v>0</v>
      </c>
      <c r="M462" s="6">
        <f>G462*L462</f>
        <v>0</v>
      </c>
      <c r="N462" s="86" t="s">
        <v>129</v>
      </c>
      <c r="X462" s="6">
        <f>IF(AO462="5",BH462,0)</f>
        <v>0</v>
      </c>
      <c r="Z462" s="6">
        <f>IF(AO462="1",BF462,0)</f>
        <v>0</v>
      </c>
      <c r="AA462" s="6">
        <f>IF(AO462="1",BG462,0)</f>
        <v>0</v>
      </c>
      <c r="AB462" s="6">
        <f>IF(AO462="7",BF462,0)</f>
        <v>0</v>
      </c>
      <c r="AC462" s="6">
        <f>IF(AO462="7",BG462,0)</f>
        <v>0</v>
      </c>
      <c r="AD462" s="6">
        <f>IF(AO462="2",BF462,0)</f>
        <v>0</v>
      </c>
      <c r="AE462" s="6">
        <f>IF(AO462="2",BG462,0)</f>
        <v>0</v>
      </c>
      <c r="AF462" s="6">
        <f>IF(AO462="0",BH462,0)</f>
        <v>0</v>
      </c>
      <c r="AG462" s="13" t="s">
        <v>52</v>
      </c>
      <c r="AH462" s="6">
        <f>IF(AL462=0,K462,0)</f>
        <v>0</v>
      </c>
      <c r="AI462" s="6">
        <f>IF(AL462=12,K462,0)</f>
        <v>0</v>
      </c>
      <c r="AJ462" s="6">
        <f>IF(AL462=21,K462,0)</f>
        <v>0</v>
      </c>
      <c r="AL462" s="6">
        <v>21</v>
      </c>
      <c r="AM462" s="6">
        <f>H462*0</f>
        <v>0</v>
      </c>
      <c r="AN462" s="6">
        <f>H462*(1-0)</f>
        <v>0</v>
      </c>
      <c r="AO462" s="23" t="s">
        <v>164</v>
      </c>
      <c r="AT462" s="6">
        <f>AU462+AV462</f>
        <v>0</v>
      </c>
      <c r="AU462" s="6">
        <f>G462*AM462</f>
        <v>0</v>
      </c>
      <c r="AV462" s="6">
        <f>G462*AN462</f>
        <v>0</v>
      </c>
      <c r="AW462" s="23" t="s">
        <v>201</v>
      </c>
      <c r="AX462" s="23" t="s">
        <v>868</v>
      </c>
      <c r="AY462" s="13" t="s">
        <v>841</v>
      </c>
      <c r="BA462" s="6">
        <f>AU462+AV462</f>
        <v>0</v>
      </c>
      <c r="BB462" s="6">
        <f>H462/(100-BC462)*100</f>
        <v>0</v>
      </c>
      <c r="BC462" s="6">
        <v>0</v>
      </c>
      <c r="BD462" s="6">
        <f>M462</f>
        <v>0</v>
      </c>
      <c r="BF462" s="6">
        <f>G462*AM462</f>
        <v>0</v>
      </c>
      <c r="BG462" s="6">
        <f>G462*AN462</f>
        <v>0</v>
      </c>
      <c r="BH462" s="6">
        <f>G462*H462</f>
        <v>0</v>
      </c>
      <c r="BI462" s="6"/>
      <c r="BJ462" s="6">
        <v>99</v>
      </c>
      <c r="BU462" s="6" t="e">
        <f>#REF!</f>
        <v>#REF!</v>
      </c>
      <c r="BV462" s="3" t="s">
        <v>879</v>
      </c>
    </row>
    <row r="463" spans="1:74" ht="14.5" x14ac:dyDescent="0.35">
      <c r="A463" s="20" t="s">
        <v>22</v>
      </c>
      <c r="B463" s="21" t="s">
        <v>52</v>
      </c>
      <c r="C463" s="21" t="s">
        <v>54</v>
      </c>
      <c r="D463" s="133" t="s">
        <v>55</v>
      </c>
      <c r="E463" s="134"/>
      <c r="F463" s="91" t="s">
        <v>12</v>
      </c>
      <c r="G463" s="22" t="s">
        <v>12</v>
      </c>
      <c r="H463" s="22" t="s">
        <v>12</v>
      </c>
      <c r="I463" s="12">
        <f>SUM(I464:I472)</f>
        <v>0</v>
      </c>
      <c r="J463" s="12">
        <f>SUM(J464:J472)</f>
        <v>0</v>
      </c>
      <c r="K463" s="12">
        <f>SUM(K464:K472)</f>
        <v>0</v>
      </c>
      <c r="L463" s="13" t="s">
        <v>22</v>
      </c>
      <c r="M463" s="12">
        <f>SUM(M464:M472)</f>
        <v>8.4291699999999997E-2</v>
      </c>
      <c r="N463" s="85" t="s">
        <v>22</v>
      </c>
      <c r="AG463" s="13" t="s">
        <v>52</v>
      </c>
      <c r="AQ463" s="12">
        <f>SUM(AH464:AH472)</f>
        <v>0</v>
      </c>
      <c r="AR463" s="12">
        <f>SUM(AI464:AI472)</f>
        <v>0</v>
      </c>
      <c r="AS463" s="12">
        <f>SUM(AJ464:AJ472)</f>
        <v>0</v>
      </c>
    </row>
    <row r="464" spans="1:74" ht="14.5" x14ac:dyDescent="0.35">
      <c r="A464" s="1" t="s">
        <v>880</v>
      </c>
      <c r="B464" s="2" t="s">
        <v>52</v>
      </c>
      <c r="C464" s="2" t="s">
        <v>881</v>
      </c>
      <c r="D464" s="138" t="s">
        <v>882</v>
      </c>
      <c r="E464" s="107"/>
      <c r="F464" s="37" t="s">
        <v>145</v>
      </c>
      <c r="G464" s="6">
        <v>21.33</v>
      </c>
      <c r="H464" s="147">
        <v>0</v>
      </c>
      <c r="I464" s="6">
        <f>G464*AM464</f>
        <v>0</v>
      </c>
      <c r="J464" s="6">
        <f>G464*AN464</f>
        <v>0</v>
      </c>
      <c r="K464" s="6">
        <f>G464*H464</f>
        <v>0</v>
      </c>
      <c r="L464" s="6">
        <v>2.1000000000000001E-4</v>
      </c>
      <c r="M464" s="6">
        <f>G464*L464</f>
        <v>4.4792999999999994E-3</v>
      </c>
      <c r="N464" s="86" t="s">
        <v>129</v>
      </c>
      <c r="X464" s="6">
        <f>IF(AO464="5",BH464,0)</f>
        <v>0</v>
      </c>
      <c r="Z464" s="6">
        <f>IF(AO464="1",BF464,0)</f>
        <v>0</v>
      </c>
      <c r="AA464" s="6">
        <f>IF(AO464="1",BG464,0)</f>
        <v>0</v>
      </c>
      <c r="AB464" s="6">
        <f>IF(AO464="7",BF464,0)</f>
        <v>0</v>
      </c>
      <c r="AC464" s="6">
        <f>IF(AO464="7",BG464,0)</f>
        <v>0</v>
      </c>
      <c r="AD464" s="6">
        <f>IF(AO464="2",BF464,0)</f>
        <v>0</v>
      </c>
      <c r="AE464" s="6">
        <f>IF(AO464="2",BG464,0)</f>
        <v>0</v>
      </c>
      <c r="AF464" s="6">
        <f>IF(AO464="0",BH464,0)</f>
        <v>0</v>
      </c>
      <c r="AG464" s="13" t="s">
        <v>52</v>
      </c>
      <c r="AH464" s="6">
        <f>IF(AL464=0,K464,0)</f>
        <v>0</v>
      </c>
      <c r="AI464" s="6">
        <f>IF(AL464=12,K464,0)</f>
        <v>0</v>
      </c>
      <c r="AJ464" s="6">
        <f>IF(AL464=21,K464,0)</f>
        <v>0</v>
      </c>
      <c r="AL464" s="6">
        <v>21</v>
      </c>
      <c r="AM464" s="6">
        <f>H464*0.338872934</f>
        <v>0</v>
      </c>
      <c r="AN464" s="6">
        <f>H464*(1-0.338872934)</f>
        <v>0</v>
      </c>
      <c r="AO464" s="23" t="s">
        <v>174</v>
      </c>
      <c r="AT464" s="6">
        <f>AU464+AV464</f>
        <v>0</v>
      </c>
      <c r="AU464" s="6">
        <f>G464*AM464</f>
        <v>0</v>
      </c>
      <c r="AV464" s="6">
        <f>G464*AN464</f>
        <v>0</v>
      </c>
      <c r="AW464" s="23" t="s">
        <v>883</v>
      </c>
      <c r="AX464" s="23" t="s">
        <v>884</v>
      </c>
      <c r="AY464" s="13" t="s">
        <v>841</v>
      </c>
      <c r="BA464" s="6">
        <f>AU464+AV464</f>
        <v>0</v>
      </c>
      <c r="BB464" s="6">
        <f>H464/(100-BC464)*100</f>
        <v>0</v>
      </c>
      <c r="BC464" s="6">
        <v>0</v>
      </c>
      <c r="BD464" s="6">
        <f>M464</f>
        <v>4.4792999999999994E-3</v>
      </c>
      <c r="BF464" s="6">
        <f>G464*AM464</f>
        <v>0</v>
      </c>
      <c r="BG464" s="6">
        <f>G464*AN464</f>
        <v>0</v>
      </c>
      <c r="BH464" s="6">
        <f>G464*H464</f>
        <v>0</v>
      </c>
      <c r="BI464" s="6"/>
      <c r="BJ464" s="6">
        <v>711</v>
      </c>
      <c r="BU464" s="6" t="e">
        <f>#REF!</f>
        <v>#REF!</v>
      </c>
      <c r="BV464" s="3" t="s">
        <v>882</v>
      </c>
    </row>
    <row r="465" spans="1:74" ht="14.5" x14ac:dyDescent="0.35">
      <c r="A465" s="24"/>
      <c r="D465" s="25" t="s">
        <v>885</v>
      </c>
      <c r="E465" s="26" t="s">
        <v>886</v>
      </c>
      <c r="G465" s="27">
        <v>14.19</v>
      </c>
      <c r="N465" s="87"/>
    </row>
    <row r="466" spans="1:74" ht="14.5" x14ac:dyDescent="0.35">
      <c r="A466" s="24"/>
      <c r="D466" s="25" t="s">
        <v>887</v>
      </c>
      <c r="E466" s="26" t="s">
        <v>886</v>
      </c>
      <c r="G466" s="27">
        <v>7.14</v>
      </c>
      <c r="N466" s="87"/>
    </row>
    <row r="467" spans="1:74" ht="14.5" x14ac:dyDescent="0.35">
      <c r="A467" s="1" t="s">
        <v>888</v>
      </c>
      <c r="B467" s="2" t="s">
        <v>52</v>
      </c>
      <c r="C467" s="2" t="s">
        <v>889</v>
      </c>
      <c r="D467" s="138" t="s">
        <v>890</v>
      </c>
      <c r="E467" s="107"/>
      <c r="F467" s="37" t="s">
        <v>145</v>
      </c>
      <c r="G467" s="6">
        <v>21.33</v>
      </c>
      <c r="H467" s="147">
        <v>0</v>
      </c>
      <c r="I467" s="6">
        <f>G467*AM467</f>
        <v>0</v>
      </c>
      <c r="J467" s="6">
        <f>G467*AN467</f>
        <v>0</v>
      </c>
      <c r="K467" s="6">
        <f>G467*H467</f>
        <v>0</v>
      </c>
      <c r="L467" s="6">
        <v>3.5799999999999998E-3</v>
      </c>
      <c r="M467" s="6">
        <f>G467*L467</f>
        <v>7.6361399999999996E-2</v>
      </c>
      <c r="N467" s="86" t="s">
        <v>129</v>
      </c>
      <c r="X467" s="6">
        <f>IF(AO467="5",BH467,0)</f>
        <v>0</v>
      </c>
      <c r="Z467" s="6">
        <f>IF(AO467="1",BF467,0)</f>
        <v>0</v>
      </c>
      <c r="AA467" s="6">
        <f>IF(AO467="1",BG467,0)</f>
        <v>0</v>
      </c>
      <c r="AB467" s="6">
        <f>IF(AO467="7",BF467,0)</f>
        <v>0</v>
      </c>
      <c r="AC467" s="6">
        <f>IF(AO467="7",BG467,0)</f>
        <v>0</v>
      </c>
      <c r="AD467" s="6">
        <f>IF(AO467="2",BF467,0)</f>
        <v>0</v>
      </c>
      <c r="AE467" s="6">
        <f>IF(AO467="2",BG467,0)</f>
        <v>0</v>
      </c>
      <c r="AF467" s="6">
        <f>IF(AO467="0",BH467,0)</f>
        <v>0</v>
      </c>
      <c r="AG467" s="13" t="s">
        <v>52</v>
      </c>
      <c r="AH467" s="6">
        <f>IF(AL467=0,K467,0)</f>
        <v>0</v>
      </c>
      <c r="AI467" s="6">
        <f>IF(AL467=12,K467,0)</f>
        <v>0</v>
      </c>
      <c r="AJ467" s="6">
        <f>IF(AL467=21,K467,0)</f>
        <v>0</v>
      </c>
      <c r="AL467" s="6">
        <v>21</v>
      </c>
      <c r="AM467" s="6">
        <f>H467*0.628275441</f>
        <v>0</v>
      </c>
      <c r="AN467" s="6">
        <f>H467*(1-0.628275441)</f>
        <v>0</v>
      </c>
      <c r="AO467" s="23" t="s">
        <v>174</v>
      </c>
      <c r="AT467" s="6">
        <f>AU467+AV467</f>
        <v>0</v>
      </c>
      <c r="AU467" s="6">
        <f>G467*AM467</f>
        <v>0</v>
      </c>
      <c r="AV467" s="6">
        <f>G467*AN467</f>
        <v>0</v>
      </c>
      <c r="AW467" s="23" t="s">
        <v>883</v>
      </c>
      <c r="AX467" s="23" t="s">
        <v>884</v>
      </c>
      <c r="AY467" s="13" t="s">
        <v>841</v>
      </c>
      <c r="BA467" s="6">
        <f>AU467+AV467</f>
        <v>0</v>
      </c>
      <c r="BB467" s="6">
        <f>H467/(100-BC467)*100</f>
        <v>0</v>
      </c>
      <c r="BC467" s="6">
        <v>0</v>
      </c>
      <c r="BD467" s="6">
        <f>M467</f>
        <v>7.6361399999999996E-2</v>
      </c>
      <c r="BF467" s="6">
        <f>G467*AM467</f>
        <v>0</v>
      </c>
      <c r="BG467" s="6">
        <f>G467*AN467</f>
        <v>0</v>
      </c>
      <c r="BH467" s="6">
        <f>G467*H467</f>
        <v>0</v>
      </c>
      <c r="BI467" s="6"/>
      <c r="BJ467" s="6">
        <v>711</v>
      </c>
      <c r="BU467" s="6" t="e">
        <f>#REF!</f>
        <v>#REF!</v>
      </c>
      <c r="BV467" s="3" t="s">
        <v>890</v>
      </c>
    </row>
    <row r="468" spans="1:74" ht="14.5" x14ac:dyDescent="0.35">
      <c r="A468" s="24"/>
      <c r="D468" s="25" t="s">
        <v>885</v>
      </c>
      <c r="E468" s="26" t="s">
        <v>886</v>
      </c>
      <c r="G468" s="27">
        <v>14.19</v>
      </c>
      <c r="N468" s="87"/>
    </row>
    <row r="469" spans="1:74" ht="14.5" x14ac:dyDescent="0.35">
      <c r="A469" s="24"/>
      <c r="D469" s="25" t="s">
        <v>887</v>
      </c>
      <c r="E469" s="26" t="s">
        <v>886</v>
      </c>
      <c r="G469" s="27">
        <v>7.14</v>
      </c>
      <c r="N469" s="87"/>
    </row>
    <row r="470" spans="1:74" ht="14.5" x14ac:dyDescent="0.35">
      <c r="A470" s="1" t="s">
        <v>891</v>
      </c>
      <c r="B470" s="2" t="s">
        <v>52</v>
      </c>
      <c r="C470" s="2" t="s">
        <v>892</v>
      </c>
      <c r="D470" s="138" t="s">
        <v>893</v>
      </c>
      <c r="E470" s="107"/>
      <c r="F470" s="37" t="s">
        <v>100</v>
      </c>
      <c r="G470" s="6">
        <v>11.9</v>
      </c>
      <c r="H470" s="147">
        <v>0</v>
      </c>
      <c r="I470" s="6">
        <f>G470*AM470</f>
        <v>0</v>
      </c>
      <c r="J470" s="6">
        <f>G470*AN470</f>
        <v>0</v>
      </c>
      <c r="K470" s="6">
        <f>G470*H470</f>
        <v>0</v>
      </c>
      <c r="L470" s="6">
        <v>2.9E-4</v>
      </c>
      <c r="M470" s="6">
        <f>G470*L470</f>
        <v>3.4510000000000001E-3</v>
      </c>
      <c r="N470" s="86" t="s">
        <v>129</v>
      </c>
      <c r="X470" s="6">
        <f>IF(AO470="5",BH470,0)</f>
        <v>0</v>
      </c>
      <c r="Z470" s="6">
        <f>IF(AO470="1",BF470,0)</f>
        <v>0</v>
      </c>
      <c r="AA470" s="6">
        <f>IF(AO470="1",BG470,0)</f>
        <v>0</v>
      </c>
      <c r="AB470" s="6">
        <f>IF(AO470="7",BF470,0)</f>
        <v>0</v>
      </c>
      <c r="AC470" s="6">
        <f>IF(AO470="7",BG470,0)</f>
        <v>0</v>
      </c>
      <c r="AD470" s="6">
        <f>IF(AO470="2",BF470,0)</f>
        <v>0</v>
      </c>
      <c r="AE470" s="6">
        <f>IF(AO470="2",BG470,0)</f>
        <v>0</v>
      </c>
      <c r="AF470" s="6">
        <f>IF(AO470="0",BH470,0)</f>
        <v>0</v>
      </c>
      <c r="AG470" s="13" t="s">
        <v>52</v>
      </c>
      <c r="AH470" s="6">
        <f>IF(AL470=0,K470,0)</f>
        <v>0</v>
      </c>
      <c r="AI470" s="6">
        <f>IF(AL470=12,K470,0)</f>
        <v>0</v>
      </c>
      <c r="AJ470" s="6">
        <f>IF(AL470=21,K470,0)</f>
        <v>0</v>
      </c>
      <c r="AL470" s="6">
        <v>21</v>
      </c>
      <c r="AM470" s="6">
        <f>H470*0.688965517</f>
        <v>0</v>
      </c>
      <c r="AN470" s="6">
        <f>H470*(1-0.688965517)</f>
        <v>0</v>
      </c>
      <c r="AO470" s="23" t="s">
        <v>174</v>
      </c>
      <c r="AT470" s="6">
        <f>AU470+AV470</f>
        <v>0</v>
      </c>
      <c r="AU470" s="6">
        <f>G470*AM470</f>
        <v>0</v>
      </c>
      <c r="AV470" s="6">
        <f>G470*AN470</f>
        <v>0</v>
      </c>
      <c r="AW470" s="23" t="s">
        <v>883</v>
      </c>
      <c r="AX470" s="23" t="s">
        <v>884</v>
      </c>
      <c r="AY470" s="13" t="s">
        <v>841</v>
      </c>
      <c r="BA470" s="6">
        <f>AU470+AV470</f>
        <v>0</v>
      </c>
      <c r="BB470" s="6">
        <f>H470/(100-BC470)*100</f>
        <v>0</v>
      </c>
      <c r="BC470" s="6">
        <v>0</v>
      </c>
      <c r="BD470" s="6">
        <f>M470</f>
        <v>3.4510000000000001E-3</v>
      </c>
      <c r="BF470" s="6">
        <f>G470*AM470</f>
        <v>0</v>
      </c>
      <c r="BG470" s="6">
        <f>G470*AN470</f>
        <v>0</v>
      </c>
      <c r="BH470" s="6">
        <f>G470*H470</f>
        <v>0</v>
      </c>
      <c r="BI470" s="6"/>
      <c r="BJ470" s="6">
        <v>711</v>
      </c>
      <c r="BU470" s="6" t="e">
        <f>#REF!</f>
        <v>#REF!</v>
      </c>
      <c r="BV470" s="3" t="s">
        <v>893</v>
      </c>
    </row>
    <row r="471" spans="1:74" ht="14.5" x14ac:dyDescent="0.35">
      <c r="A471" s="24"/>
      <c r="D471" s="25" t="s">
        <v>894</v>
      </c>
      <c r="E471" s="26" t="s">
        <v>844</v>
      </c>
      <c r="G471" s="27">
        <v>11.9</v>
      </c>
      <c r="N471" s="87"/>
    </row>
    <row r="472" spans="1:74" ht="14.5" x14ac:dyDescent="0.35">
      <c r="A472" s="1" t="s">
        <v>895</v>
      </c>
      <c r="B472" s="2" t="s">
        <v>52</v>
      </c>
      <c r="C472" s="2" t="s">
        <v>896</v>
      </c>
      <c r="D472" s="138" t="s">
        <v>897</v>
      </c>
      <c r="E472" s="107"/>
      <c r="F472" s="37" t="s">
        <v>200</v>
      </c>
      <c r="G472" s="6">
        <v>0.08</v>
      </c>
      <c r="H472" s="147">
        <v>0</v>
      </c>
      <c r="I472" s="6">
        <f>G472*AM472</f>
        <v>0</v>
      </c>
      <c r="J472" s="6">
        <f>G472*AN472</f>
        <v>0</v>
      </c>
      <c r="K472" s="6">
        <f>G472*H472</f>
        <v>0</v>
      </c>
      <c r="L472" s="6">
        <v>0</v>
      </c>
      <c r="M472" s="6">
        <f>G472*L472</f>
        <v>0</v>
      </c>
      <c r="N472" s="86" t="s">
        <v>129</v>
      </c>
      <c r="X472" s="6">
        <f>IF(AO472="5",BH472,0)</f>
        <v>0</v>
      </c>
      <c r="Z472" s="6">
        <f>IF(AO472="1",BF472,0)</f>
        <v>0</v>
      </c>
      <c r="AA472" s="6">
        <f>IF(AO472="1",BG472,0)</f>
        <v>0</v>
      </c>
      <c r="AB472" s="6">
        <f>IF(AO472="7",BF472,0)</f>
        <v>0</v>
      </c>
      <c r="AC472" s="6">
        <f>IF(AO472="7",BG472,0)</f>
        <v>0</v>
      </c>
      <c r="AD472" s="6">
        <f>IF(AO472="2",BF472,0)</f>
        <v>0</v>
      </c>
      <c r="AE472" s="6">
        <f>IF(AO472="2",BG472,0)</f>
        <v>0</v>
      </c>
      <c r="AF472" s="6">
        <f>IF(AO472="0",BH472,0)</f>
        <v>0</v>
      </c>
      <c r="AG472" s="13" t="s">
        <v>52</v>
      </c>
      <c r="AH472" s="6">
        <f>IF(AL472=0,K472,0)</f>
        <v>0</v>
      </c>
      <c r="AI472" s="6">
        <f>IF(AL472=12,K472,0)</f>
        <v>0</v>
      </c>
      <c r="AJ472" s="6">
        <f>IF(AL472=21,K472,0)</f>
        <v>0</v>
      </c>
      <c r="AL472" s="6">
        <v>21</v>
      </c>
      <c r="AM472" s="6">
        <f>H472*0</f>
        <v>0</v>
      </c>
      <c r="AN472" s="6">
        <f>H472*(1-0)</f>
        <v>0</v>
      </c>
      <c r="AO472" s="23" t="s">
        <v>164</v>
      </c>
      <c r="AT472" s="6">
        <f>AU472+AV472</f>
        <v>0</v>
      </c>
      <c r="AU472" s="6">
        <f>G472*AM472</f>
        <v>0</v>
      </c>
      <c r="AV472" s="6">
        <f>G472*AN472</f>
        <v>0</v>
      </c>
      <c r="AW472" s="23" t="s">
        <v>883</v>
      </c>
      <c r="AX472" s="23" t="s">
        <v>884</v>
      </c>
      <c r="AY472" s="13" t="s">
        <v>841</v>
      </c>
      <c r="BA472" s="6">
        <f>AU472+AV472</f>
        <v>0</v>
      </c>
      <c r="BB472" s="6">
        <f>H472/(100-BC472)*100</f>
        <v>0</v>
      </c>
      <c r="BC472" s="6">
        <v>0</v>
      </c>
      <c r="BD472" s="6">
        <f>M472</f>
        <v>0</v>
      </c>
      <c r="BF472" s="6">
        <f>G472*AM472</f>
        <v>0</v>
      </c>
      <c r="BG472" s="6">
        <f>G472*AN472</f>
        <v>0</v>
      </c>
      <c r="BH472" s="6">
        <f>G472*H472</f>
        <v>0</v>
      </c>
      <c r="BI472" s="6"/>
      <c r="BJ472" s="6">
        <v>711</v>
      </c>
      <c r="BU472" s="6" t="e">
        <f>#REF!</f>
        <v>#REF!</v>
      </c>
      <c r="BV472" s="3" t="s">
        <v>897</v>
      </c>
    </row>
    <row r="473" spans="1:74" ht="14.5" x14ac:dyDescent="0.35">
      <c r="A473" s="20" t="s">
        <v>22</v>
      </c>
      <c r="B473" s="21" t="s">
        <v>52</v>
      </c>
      <c r="C473" s="21" t="s">
        <v>56</v>
      </c>
      <c r="D473" s="133" t="s">
        <v>57</v>
      </c>
      <c r="E473" s="134"/>
      <c r="F473" s="91" t="s">
        <v>12</v>
      </c>
      <c r="G473" s="22" t="s">
        <v>12</v>
      </c>
      <c r="H473" s="22" t="s">
        <v>12</v>
      </c>
      <c r="I473" s="12">
        <f>SUM(I474:I492)</f>
        <v>0</v>
      </c>
      <c r="J473" s="12">
        <f>SUM(J474:J492)</f>
        <v>0</v>
      </c>
      <c r="K473" s="12">
        <f>SUM(K474:K492)</f>
        <v>0</v>
      </c>
      <c r="L473" s="13" t="s">
        <v>22</v>
      </c>
      <c r="M473" s="12">
        <f>SUM(M474:M492)</f>
        <v>7.4746399999999991E-2</v>
      </c>
      <c r="N473" s="85" t="s">
        <v>22</v>
      </c>
      <c r="AG473" s="13" t="s">
        <v>52</v>
      </c>
      <c r="AQ473" s="12">
        <f>SUM(AH474:AH492)</f>
        <v>0</v>
      </c>
      <c r="AR473" s="12">
        <f>SUM(AI474:AI492)</f>
        <v>0</v>
      </c>
      <c r="AS473" s="12">
        <f>SUM(AJ474:AJ492)</f>
        <v>0</v>
      </c>
    </row>
    <row r="474" spans="1:74" ht="14.5" x14ac:dyDescent="0.35">
      <c r="A474" s="1" t="s">
        <v>898</v>
      </c>
      <c r="B474" s="2" t="s">
        <v>52</v>
      </c>
      <c r="C474" s="2" t="s">
        <v>899</v>
      </c>
      <c r="D474" s="138" t="s">
        <v>900</v>
      </c>
      <c r="E474" s="107"/>
      <c r="F474" s="37" t="s">
        <v>145</v>
      </c>
      <c r="G474" s="6">
        <v>7.09</v>
      </c>
      <c r="H474" s="147">
        <v>0</v>
      </c>
      <c r="I474" s="6">
        <f>G474*AM474</f>
        <v>0</v>
      </c>
      <c r="J474" s="6">
        <f>G474*AN474</f>
        <v>0</v>
      </c>
      <c r="K474" s="6">
        <f>G474*H474</f>
        <v>0</v>
      </c>
      <c r="L474" s="6">
        <v>0</v>
      </c>
      <c r="M474" s="6">
        <f>G474*L474</f>
        <v>0</v>
      </c>
      <c r="N474" s="86" t="s">
        <v>129</v>
      </c>
      <c r="X474" s="6">
        <f>IF(AO474="5",BH474,0)</f>
        <v>0</v>
      </c>
      <c r="Z474" s="6">
        <f>IF(AO474="1",BF474,0)</f>
        <v>0</v>
      </c>
      <c r="AA474" s="6">
        <f>IF(AO474="1",BG474,0)</f>
        <v>0</v>
      </c>
      <c r="AB474" s="6">
        <f>IF(AO474="7",BF474,0)</f>
        <v>0</v>
      </c>
      <c r="AC474" s="6">
        <f>IF(AO474="7",BG474,0)</f>
        <v>0</v>
      </c>
      <c r="AD474" s="6">
        <f>IF(AO474="2",BF474,0)</f>
        <v>0</v>
      </c>
      <c r="AE474" s="6">
        <f>IF(AO474="2",BG474,0)</f>
        <v>0</v>
      </c>
      <c r="AF474" s="6">
        <f>IF(AO474="0",BH474,0)</f>
        <v>0</v>
      </c>
      <c r="AG474" s="13" t="s">
        <v>52</v>
      </c>
      <c r="AH474" s="6">
        <f>IF(AL474=0,K474,0)</f>
        <v>0</v>
      </c>
      <c r="AI474" s="6">
        <f>IF(AL474=12,K474,0)</f>
        <v>0</v>
      </c>
      <c r="AJ474" s="6">
        <f>IF(AL474=21,K474,0)</f>
        <v>0</v>
      </c>
      <c r="AL474" s="6">
        <v>21</v>
      </c>
      <c r="AM474" s="6">
        <f>H474*0</f>
        <v>0</v>
      </c>
      <c r="AN474" s="6">
        <f>H474*(1-0)</f>
        <v>0</v>
      </c>
      <c r="AO474" s="23" t="s">
        <v>174</v>
      </c>
      <c r="AT474" s="6">
        <f>AU474+AV474</f>
        <v>0</v>
      </c>
      <c r="AU474" s="6">
        <f>G474*AM474</f>
        <v>0</v>
      </c>
      <c r="AV474" s="6">
        <f>G474*AN474</f>
        <v>0</v>
      </c>
      <c r="AW474" s="23" t="s">
        <v>901</v>
      </c>
      <c r="AX474" s="23" t="s">
        <v>884</v>
      </c>
      <c r="AY474" s="13" t="s">
        <v>841</v>
      </c>
      <c r="BA474" s="6">
        <f>AU474+AV474</f>
        <v>0</v>
      </c>
      <c r="BB474" s="6">
        <f>H474/(100-BC474)*100</f>
        <v>0</v>
      </c>
      <c r="BC474" s="6">
        <v>0</v>
      </c>
      <c r="BD474" s="6">
        <f>M474</f>
        <v>0</v>
      </c>
      <c r="BF474" s="6">
        <f>G474*AM474</f>
        <v>0</v>
      </c>
      <c r="BG474" s="6">
        <f>G474*AN474</f>
        <v>0</v>
      </c>
      <c r="BH474" s="6">
        <f>G474*H474</f>
        <v>0</v>
      </c>
      <c r="BI474" s="6"/>
      <c r="BJ474" s="6">
        <v>712</v>
      </c>
      <c r="BU474" s="6" t="e">
        <f>#REF!</f>
        <v>#REF!</v>
      </c>
      <c r="BV474" s="3" t="s">
        <v>900</v>
      </c>
    </row>
    <row r="475" spans="1:74" ht="14.5" x14ac:dyDescent="0.35">
      <c r="A475" s="24"/>
      <c r="D475" s="25" t="s">
        <v>843</v>
      </c>
      <c r="E475" s="26" t="s">
        <v>844</v>
      </c>
      <c r="G475" s="27">
        <v>7.09</v>
      </c>
      <c r="N475" s="87"/>
    </row>
    <row r="476" spans="1:74" ht="25" x14ac:dyDescent="0.35">
      <c r="A476" s="1" t="s">
        <v>902</v>
      </c>
      <c r="B476" s="2" t="s">
        <v>52</v>
      </c>
      <c r="C476" s="2" t="s">
        <v>903</v>
      </c>
      <c r="D476" s="138" t="s">
        <v>904</v>
      </c>
      <c r="E476" s="107"/>
      <c r="F476" s="37" t="s">
        <v>145</v>
      </c>
      <c r="G476" s="6">
        <v>7.09</v>
      </c>
      <c r="H476" s="147">
        <v>0</v>
      </c>
      <c r="I476" s="6">
        <f>G476*AM476</f>
        <v>0</v>
      </c>
      <c r="J476" s="6">
        <f>G476*AN476</f>
        <v>0</v>
      </c>
      <c r="K476" s="6">
        <f>G476*H476</f>
        <v>0</v>
      </c>
      <c r="L476" s="6">
        <v>3.3E-4</v>
      </c>
      <c r="M476" s="6">
        <f>G476*L476</f>
        <v>2.3397000000000001E-3</v>
      </c>
      <c r="N476" s="86" t="s">
        <v>129</v>
      </c>
      <c r="X476" s="6">
        <f>IF(AO476="5",BH476,0)</f>
        <v>0</v>
      </c>
      <c r="Z476" s="6">
        <f>IF(AO476="1",BF476,0)</f>
        <v>0</v>
      </c>
      <c r="AA476" s="6">
        <f>IF(AO476="1",BG476,0)</f>
        <v>0</v>
      </c>
      <c r="AB476" s="6">
        <f>IF(AO476="7",BF476,0)</f>
        <v>0</v>
      </c>
      <c r="AC476" s="6">
        <f>IF(AO476="7",BG476,0)</f>
        <v>0</v>
      </c>
      <c r="AD476" s="6">
        <f>IF(AO476="2",BF476,0)</f>
        <v>0</v>
      </c>
      <c r="AE476" s="6">
        <f>IF(AO476="2",BG476,0)</f>
        <v>0</v>
      </c>
      <c r="AF476" s="6">
        <f>IF(AO476="0",BH476,0)</f>
        <v>0</v>
      </c>
      <c r="AG476" s="13" t="s">
        <v>52</v>
      </c>
      <c r="AH476" s="6">
        <f>IF(AL476=0,K476,0)</f>
        <v>0</v>
      </c>
      <c r="AI476" s="6">
        <f>IF(AL476=12,K476,0)</f>
        <v>0</v>
      </c>
      <c r="AJ476" s="6">
        <f>IF(AL476=21,K476,0)</f>
        <v>0</v>
      </c>
      <c r="AL476" s="6">
        <v>21</v>
      </c>
      <c r="AM476" s="6">
        <f>H476*0.72202675</f>
        <v>0</v>
      </c>
      <c r="AN476" s="6">
        <f>H476*(1-0.72202675)</f>
        <v>0</v>
      </c>
      <c r="AO476" s="23" t="s">
        <v>174</v>
      </c>
      <c r="AT476" s="6">
        <f>AU476+AV476</f>
        <v>0</v>
      </c>
      <c r="AU476" s="6">
        <f>G476*AM476</f>
        <v>0</v>
      </c>
      <c r="AV476" s="6">
        <f>G476*AN476</f>
        <v>0</v>
      </c>
      <c r="AW476" s="23" t="s">
        <v>901</v>
      </c>
      <c r="AX476" s="23" t="s">
        <v>884</v>
      </c>
      <c r="AY476" s="13" t="s">
        <v>841</v>
      </c>
      <c r="BA476" s="6">
        <f>AU476+AV476</f>
        <v>0</v>
      </c>
      <c r="BB476" s="6">
        <f>H476/(100-BC476)*100</f>
        <v>0</v>
      </c>
      <c r="BC476" s="6">
        <v>0</v>
      </c>
      <c r="BD476" s="6">
        <f>M476</f>
        <v>2.3397000000000001E-3</v>
      </c>
      <c r="BF476" s="6">
        <f>G476*AM476</f>
        <v>0</v>
      </c>
      <c r="BG476" s="6">
        <f>G476*AN476</f>
        <v>0</v>
      </c>
      <c r="BH476" s="6">
        <f>G476*H476</f>
        <v>0</v>
      </c>
      <c r="BI476" s="6"/>
      <c r="BJ476" s="6">
        <v>712</v>
      </c>
      <c r="BU476" s="6" t="e">
        <f>#REF!</f>
        <v>#REF!</v>
      </c>
      <c r="BV476" s="3" t="s">
        <v>904</v>
      </c>
    </row>
    <row r="477" spans="1:74" ht="14.5" x14ac:dyDescent="0.35">
      <c r="A477" s="24"/>
      <c r="D477" s="25" t="s">
        <v>843</v>
      </c>
      <c r="E477" s="26" t="s">
        <v>844</v>
      </c>
      <c r="G477" s="27">
        <v>7.09</v>
      </c>
      <c r="N477" s="87"/>
    </row>
    <row r="478" spans="1:74" ht="25" x14ac:dyDescent="0.35">
      <c r="A478" s="1" t="s">
        <v>905</v>
      </c>
      <c r="B478" s="2" t="s">
        <v>52</v>
      </c>
      <c r="C478" s="2" t="s">
        <v>906</v>
      </c>
      <c r="D478" s="138" t="s">
        <v>907</v>
      </c>
      <c r="E478" s="107"/>
      <c r="F478" s="37" t="s">
        <v>145</v>
      </c>
      <c r="G478" s="6">
        <v>4.76</v>
      </c>
      <c r="H478" s="147">
        <v>0</v>
      </c>
      <c r="I478" s="6">
        <f>G478*AM478</f>
        <v>0</v>
      </c>
      <c r="J478" s="6">
        <f>G478*AN478</f>
        <v>0</v>
      </c>
      <c r="K478" s="6">
        <f>G478*H478</f>
        <v>0</v>
      </c>
      <c r="L478" s="6">
        <v>3.5E-4</v>
      </c>
      <c r="M478" s="6">
        <f>G478*L478</f>
        <v>1.6659999999999999E-3</v>
      </c>
      <c r="N478" s="86" t="s">
        <v>129</v>
      </c>
      <c r="X478" s="6">
        <f>IF(AO478="5",BH478,0)</f>
        <v>0</v>
      </c>
      <c r="Z478" s="6">
        <f>IF(AO478="1",BF478,0)</f>
        <v>0</v>
      </c>
      <c r="AA478" s="6">
        <f>IF(AO478="1",BG478,0)</f>
        <v>0</v>
      </c>
      <c r="AB478" s="6">
        <f>IF(AO478="7",BF478,0)</f>
        <v>0</v>
      </c>
      <c r="AC478" s="6">
        <f>IF(AO478="7",BG478,0)</f>
        <v>0</v>
      </c>
      <c r="AD478" s="6">
        <f>IF(AO478="2",BF478,0)</f>
        <v>0</v>
      </c>
      <c r="AE478" s="6">
        <f>IF(AO478="2",BG478,0)</f>
        <v>0</v>
      </c>
      <c r="AF478" s="6">
        <f>IF(AO478="0",BH478,0)</f>
        <v>0</v>
      </c>
      <c r="AG478" s="13" t="s">
        <v>52</v>
      </c>
      <c r="AH478" s="6">
        <f>IF(AL478=0,K478,0)</f>
        <v>0</v>
      </c>
      <c r="AI478" s="6">
        <f>IF(AL478=12,K478,0)</f>
        <v>0</v>
      </c>
      <c r="AJ478" s="6">
        <f>IF(AL478=21,K478,0)</f>
        <v>0</v>
      </c>
      <c r="AL478" s="6">
        <v>21</v>
      </c>
      <c r="AM478" s="6">
        <f>H478*0.677768583</f>
        <v>0</v>
      </c>
      <c r="AN478" s="6">
        <f>H478*(1-0.677768583)</f>
        <v>0</v>
      </c>
      <c r="AO478" s="23" t="s">
        <v>174</v>
      </c>
      <c r="AT478" s="6">
        <f>AU478+AV478</f>
        <v>0</v>
      </c>
      <c r="AU478" s="6">
        <f>G478*AM478</f>
        <v>0</v>
      </c>
      <c r="AV478" s="6">
        <f>G478*AN478</f>
        <v>0</v>
      </c>
      <c r="AW478" s="23" t="s">
        <v>901</v>
      </c>
      <c r="AX478" s="23" t="s">
        <v>884</v>
      </c>
      <c r="AY478" s="13" t="s">
        <v>841</v>
      </c>
      <c r="BA478" s="6">
        <f>AU478+AV478</f>
        <v>0</v>
      </c>
      <c r="BB478" s="6">
        <f>H478/(100-BC478)*100</f>
        <v>0</v>
      </c>
      <c r="BC478" s="6">
        <v>0</v>
      </c>
      <c r="BD478" s="6">
        <f>M478</f>
        <v>1.6659999999999999E-3</v>
      </c>
      <c r="BF478" s="6">
        <f>G478*AM478</f>
        <v>0</v>
      </c>
      <c r="BG478" s="6">
        <f>G478*AN478</f>
        <v>0</v>
      </c>
      <c r="BH478" s="6">
        <f>G478*H478</f>
        <v>0</v>
      </c>
      <c r="BI478" s="6"/>
      <c r="BJ478" s="6">
        <v>712</v>
      </c>
      <c r="BU478" s="6" t="e">
        <f>#REF!</f>
        <v>#REF!</v>
      </c>
      <c r="BV478" s="3" t="s">
        <v>907</v>
      </c>
    </row>
    <row r="479" spans="1:74" ht="13.5" customHeight="1" x14ac:dyDescent="0.35">
      <c r="A479" s="24"/>
      <c r="C479" s="28" t="s">
        <v>193</v>
      </c>
      <c r="D479" s="139" t="s">
        <v>908</v>
      </c>
      <c r="E479" s="140"/>
      <c r="F479" s="140"/>
      <c r="G479" s="140"/>
      <c r="H479" s="140"/>
      <c r="I479" s="140"/>
      <c r="J479" s="140"/>
      <c r="K479" s="140"/>
      <c r="L479" s="140"/>
      <c r="M479" s="140"/>
      <c r="N479" s="141"/>
    </row>
    <row r="480" spans="1:74" ht="14.5" x14ac:dyDescent="0.35">
      <c r="A480" s="24"/>
      <c r="D480" s="25" t="s">
        <v>909</v>
      </c>
      <c r="E480" s="26" t="s">
        <v>844</v>
      </c>
      <c r="G480" s="27">
        <v>4.76</v>
      </c>
      <c r="N480" s="87"/>
    </row>
    <row r="481" spans="1:74" ht="14.5" x14ac:dyDescent="0.35">
      <c r="A481" s="1" t="s">
        <v>910</v>
      </c>
      <c r="B481" s="2" t="s">
        <v>52</v>
      </c>
      <c r="C481" s="2" t="s">
        <v>911</v>
      </c>
      <c r="D481" s="138" t="s">
        <v>912</v>
      </c>
      <c r="E481" s="107"/>
      <c r="F481" s="37" t="s">
        <v>145</v>
      </c>
      <c r="G481" s="6">
        <v>7.09</v>
      </c>
      <c r="H481" s="147">
        <v>0</v>
      </c>
      <c r="I481" s="6">
        <f>G481*AM481</f>
        <v>0</v>
      </c>
      <c r="J481" s="6">
        <f>G481*AN481</f>
        <v>0</v>
      </c>
      <c r="K481" s="6">
        <f>G481*H481</f>
        <v>0</v>
      </c>
      <c r="L481" s="6">
        <v>3.5E-4</v>
      </c>
      <c r="M481" s="6">
        <f>G481*L481</f>
        <v>2.4814999999999998E-3</v>
      </c>
      <c r="N481" s="86" t="s">
        <v>129</v>
      </c>
      <c r="X481" s="6">
        <f>IF(AO481="5",BH481,0)</f>
        <v>0</v>
      </c>
      <c r="Z481" s="6">
        <f>IF(AO481="1",BF481,0)</f>
        <v>0</v>
      </c>
      <c r="AA481" s="6">
        <f>IF(AO481="1",BG481,0)</f>
        <v>0</v>
      </c>
      <c r="AB481" s="6">
        <f>IF(AO481="7",BF481,0)</f>
        <v>0</v>
      </c>
      <c r="AC481" s="6">
        <f>IF(AO481="7",BG481,0)</f>
        <v>0</v>
      </c>
      <c r="AD481" s="6">
        <f>IF(AO481="2",BF481,0)</f>
        <v>0</v>
      </c>
      <c r="AE481" s="6">
        <f>IF(AO481="2",BG481,0)</f>
        <v>0</v>
      </c>
      <c r="AF481" s="6">
        <f>IF(AO481="0",BH481,0)</f>
        <v>0</v>
      </c>
      <c r="AG481" s="13" t="s">
        <v>52</v>
      </c>
      <c r="AH481" s="6">
        <f>IF(AL481=0,K481,0)</f>
        <v>0</v>
      </c>
      <c r="AI481" s="6">
        <f>IF(AL481=12,K481,0)</f>
        <v>0</v>
      </c>
      <c r="AJ481" s="6">
        <f>IF(AL481=21,K481,0)</f>
        <v>0</v>
      </c>
      <c r="AL481" s="6">
        <v>21</v>
      </c>
      <c r="AM481" s="6">
        <f>H481*0.105446892</f>
        <v>0</v>
      </c>
      <c r="AN481" s="6">
        <f>H481*(1-0.105446892)</f>
        <v>0</v>
      </c>
      <c r="AO481" s="23" t="s">
        <v>174</v>
      </c>
      <c r="AT481" s="6">
        <f>AU481+AV481</f>
        <v>0</v>
      </c>
      <c r="AU481" s="6">
        <f>G481*AM481</f>
        <v>0</v>
      </c>
      <c r="AV481" s="6">
        <f>G481*AN481</f>
        <v>0</v>
      </c>
      <c r="AW481" s="23" t="s">
        <v>901</v>
      </c>
      <c r="AX481" s="23" t="s">
        <v>884</v>
      </c>
      <c r="AY481" s="13" t="s">
        <v>841</v>
      </c>
      <c r="BA481" s="6">
        <f>AU481+AV481</f>
        <v>0</v>
      </c>
      <c r="BB481" s="6">
        <f>H481/(100-BC481)*100</f>
        <v>0</v>
      </c>
      <c r="BC481" s="6">
        <v>0</v>
      </c>
      <c r="BD481" s="6">
        <f>M481</f>
        <v>2.4814999999999998E-3</v>
      </c>
      <c r="BF481" s="6">
        <f>G481*AM481</f>
        <v>0</v>
      </c>
      <c r="BG481" s="6">
        <f>G481*AN481</f>
        <v>0</v>
      </c>
      <c r="BH481" s="6">
        <f>G481*H481</f>
        <v>0</v>
      </c>
      <c r="BI481" s="6"/>
      <c r="BJ481" s="6">
        <v>712</v>
      </c>
      <c r="BU481" s="6" t="e">
        <f>#REF!</f>
        <v>#REF!</v>
      </c>
      <c r="BV481" s="3" t="s">
        <v>912</v>
      </c>
    </row>
    <row r="482" spans="1:74" ht="14.5" x14ac:dyDescent="0.35">
      <c r="A482" s="24"/>
      <c r="D482" s="25" t="s">
        <v>843</v>
      </c>
      <c r="E482" s="26" t="s">
        <v>844</v>
      </c>
      <c r="G482" s="27">
        <v>7.09</v>
      </c>
      <c r="N482" s="87"/>
    </row>
    <row r="483" spans="1:74" ht="25" x14ac:dyDescent="0.35">
      <c r="A483" s="1" t="s">
        <v>913</v>
      </c>
      <c r="B483" s="2" t="s">
        <v>52</v>
      </c>
      <c r="C483" s="2" t="s">
        <v>914</v>
      </c>
      <c r="D483" s="138" t="s">
        <v>915</v>
      </c>
      <c r="E483" s="107"/>
      <c r="F483" s="37" t="s">
        <v>145</v>
      </c>
      <c r="G483" s="6">
        <v>4.76</v>
      </c>
      <c r="H483" s="147">
        <v>0</v>
      </c>
      <c r="I483" s="6">
        <f>G483*AM483</f>
        <v>0</v>
      </c>
      <c r="J483" s="6">
        <f>G483*AN483</f>
        <v>0</v>
      </c>
      <c r="K483" s="6">
        <f>G483*H483</f>
        <v>0</v>
      </c>
      <c r="L483" s="6">
        <v>4.2000000000000002E-4</v>
      </c>
      <c r="M483" s="6">
        <f>G483*L483</f>
        <v>1.9992E-3</v>
      </c>
      <c r="N483" s="86" t="s">
        <v>129</v>
      </c>
      <c r="X483" s="6">
        <f>IF(AO483="5",BH483,0)</f>
        <v>0</v>
      </c>
      <c r="Z483" s="6">
        <f>IF(AO483="1",BF483,0)</f>
        <v>0</v>
      </c>
      <c r="AA483" s="6">
        <f>IF(AO483="1",BG483,0)</f>
        <v>0</v>
      </c>
      <c r="AB483" s="6">
        <f>IF(AO483="7",BF483,0)</f>
        <v>0</v>
      </c>
      <c r="AC483" s="6">
        <f>IF(AO483="7",BG483,0)</f>
        <v>0</v>
      </c>
      <c r="AD483" s="6">
        <f>IF(AO483="2",BF483,0)</f>
        <v>0</v>
      </c>
      <c r="AE483" s="6">
        <f>IF(AO483="2",BG483,0)</f>
        <v>0</v>
      </c>
      <c r="AF483" s="6">
        <f>IF(AO483="0",BH483,0)</f>
        <v>0</v>
      </c>
      <c r="AG483" s="13" t="s">
        <v>52</v>
      </c>
      <c r="AH483" s="6">
        <f>IF(AL483=0,K483,0)</f>
        <v>0</v>
      </c>
      <c r="AI483" s="6">
        <f>IF(AL483=12,K483,0)</f>
        <v>0</v>
      </c>
      <c r="AJ483" s="6">
        <f>IF(AL483=21,K483,0)</f>
        <v>0</v>
      </c>
      <c r="AL483" s="6">
        <v>21</v>
      </c>
      <c r="AM483" s="6">
        <f>H483*0.061355744</f>
        <v>0</v>
      </c>
      <c r="AN483" s="6">
        <f>H483*(1-0.061355744)</f>
        <v>0</v>
      </c>
      <c r="AO483" s="23" t="s">
        <v>174</v>
      </c>
      <c r="AT483" s="6">
        <f>AU483+AV483</f>
        <v>0</v>
      </c>
      <c r="AU483" s="6">
        <f>G483*AM483</f>
        <v>0</v>
      </c>
      <c r="AV483" s="6">
        <f>G483*AN483</f>
        <v>0</v>
      </c>
      <c r="AW483" s="23" t="s">
        <v>901</v>
      </c>
      <c r="AX483" s="23" t="s">
        <v>884</v>
      </c>
      <c r="AY483" s="13" t="s">
        <v>841</v>
      </c>
      <c r="BA483" s="6">
        <f>AU483+AV483</f>
        <v>0</v>
      </c>
      <c r="BB483" s="6">
        <f>H483/(100-BC483)*100</f>
        <v>0</v>
      </c>
      <c r="BC483" s="6">
        <v>0</v>
      </c>
      <c r="BD483" s="6">
        <f>M483</f>
        <v>1.9992E-3</v>
      </c>
      <c r="BF483" s="6">
        <f>G483*AM483</f>
        <v>0</v>
      </c>
      <c r="BG483" s="6">
        <f>G483*AN483</f>
        <v>0</v>
      </c>
      <c r="BH483" s="6">
        <f>G483*H483</f>
        <v>0</v>
      </c>
      <c r="BI483" s="6"/>
      <c r="BJ483" s="6">
        <v>712</v>
      </c>
      <c r="BU483" s="6" t="e">
        <f>#REF!</f>
        <v>#REF!</v>
      </c>
      <c r="BV483" s="3" t="s">
        <v>915</v>
      </c>
    </row>
    <row r="484" spans="1:74" ht="14.5" x14ac:dyDescent="0.35">
      <c r="A484" s="24"/>
      <c r="D484" s="25" t="s">
        <v>909</v>
      </c>
      <c r="E484" s="26" t="s">
        <v>844</v>
      </c>
      <c r="G484" s="27">
        <v>4.76</v>
      </c>
      <c r="N484" s="87"/>
    </row>
    <row r="485" spans="1:74" ht="14.5" x14ac:dyDescent="0.35">
      <c r="A485" s="1" t="s">
        <v>916</v>
      </c>
      <c r="B485" s="2" t="s">
        <v>52</v>
      </c>
      <c r="C485" s="2" t="s">
        <v>917</v>
      </c>
      <c r="D485" s="138" t="s">
        <v>918</v>
      </c>
      <c r="E485" s="107"/>
      <c r="F485" s="37" t="s">
        <v>145</v>
      </c>
      <c r="G485" s="6">
        <v>14.22</v>
      </c>
      <c r="H485" s="147">
        <v>0</v>
      </c>
      <c r="I485" s="6">
        <f>G485*AM485</f>
        <v>0</v>
      </c>
      <c r="J485" s="6">
        <f>G485*AN485</f>
        <v>0</v>
      </c>
      <c r="K485" s="6">
        <f>G485*H485</f>
        <v>0</v>
      </c>
      <c r="L485" s="6">
        <v>4.4999999999999997E-3</v>
      </c>
      <c r="M485" s="6">
        <f>G485*L485</f>
        <v>6.3989999999999991E-2</v>
      </c>
      <c r="N485" s="86" t="s">
        <v>129</v>
      </c>
      <c r="X485" s="6">
        <f>IF(AO485="5",BH485,0)</f>
        <v>0</v>
      </c>
      <c r="Z485" s="6">
        <f>IF(AO485="1",BF485,0)</f>
        <v>0</v>
      </c>
      <c r="AA485" s="6">
        <f>IF(AO485="1",BG485,0)</f>
        <v>0</v>
      </c>
      <c r="AB485" s="6">
        <f>IF(AO485="7",BF485,0)</f>
        <v>0</v>
      </c>
      <c r="AC485" s="6">
        <f>IF(AO485="7",BG485,0)</f>
        <v>0</v>
      </c>
      <c r="AD485" s="6">
        <f>IF(AO485="2",BF485,0)</f>
        <v>0</v>
      </c>
      <c r="AE485" s="6">
        <f>IF(AO485="2",BG485,0)</f>
        <v>0</v>
      </c>
      <c r="AF485" s="6">
        <f>IF(AO485="0",BH485,0)</f>
        <v>0</v>
      </c>
      <c r="AG485" s="13" t="s">
        <v>52</v>
      </c>
      <c r="AH485" s="6">
        <f>IF(AL485=0,K485,0)</f>
        <v>0</v>
      </c>
      <c r="AI485" s="6">
        <f>IF(AL485=12,K485,0)</f>
        <v>0</v>
      </c>
      <c r="AJ485" s="6">
        <f>IF(AL485=21,K485,0)</f>
        <v>0</v>
      </c>
      <c r="AL485" s="6">
        <v>21</v>
      </c>
      <c r="AM485" s="6">
        <f>H485*1</f>
        <v>0</v>
      </c>
      <c r="AN485" s="6">
        <f>H485*(1-1)</f>
        <v>0</v>
      </c>
      <c r="AO485" s="23" t="s">
        <v>174</v>
      </c>
      <c r="AT485" s="6">
        <f>AU485+AV485</f>
        <v>0</v>
      </c>
      <c r="AU485" s="6">
        <f>G485*AM485</f>
        <v>0</v>
      </c>
      <c r="AV485" s="6">
        <f>G485*AN485</f>
        <v>0</v>
      </c>
      <c r="AW485" s="23" t="s">
        <v>901</v>
      </c>
      <c r="AX485" s="23" t="s">
        <v>884</v>
      </c>
      <c r="AY485" s="13" t="s">
        <v>841</v>
      </c>
      <c r="BA485" s="6">
        <f>AU485+AV485</f>
        <v>0</v>
      </c>
      <c r="BB485" s="6">
        <f>H485/(100-BC485)*100</f>
        <v>0</v>
      </c>
      <c r="BC485" s="6">
        <v>0</v>
      </c>
      <c r="BD485" s="6">
        <f>M485</f>
        <v>6.3989999999999991E-2</v>
      </c>
      <c r="BF485" s="6">
        <f>G485*AM485</f>
        <v>0</v>
      </c>
      <c r="BG485" s="6">
        <f>G485*AN485</f>
        <v>0</v>
      </c>
      <c r="BH485" s="6">
        <f>G485*H485</f>
        <v>0</v>
      </c>
      <c r="BI485" s="6"/>
      <c r="BJ485" s="6">
        <v>712</v>
      </c>
      <c r="BU485" s="6" t="e">
        <f>#REF!</f>
        <v>#REF!</v>
      </c>
      <c r="BV485" s="3" t="s">
        <v>918</v>
      </c>
    </row>
    <row r="486" spans="1:74" ht="14.5" x14ac:dyDescent="0.35">
      <c r="A486" s="24"/>
      <c r="D486" s="25" t="s">
        <v>843</v>
      </c>
      <c r="E486" s="26" t="s">
        <v>886</v>
      </c>
      <c r="G486" s="27">
        <v>7.09</v>
      </c>
      <c r="N486" s="87"/>
    </row>
    <row r="487" spans="1:74" ht="14.5" x14ac:dyDescent="0.35">
      <c r="A487" s="24"/>
      <c r="D487" s="25" t="s">
        <v>909</v>
      </c>
      <c r="E487" s="26" t="s">
        <v>919</v>
      </c>
      <c r="G487" s="27">
        <v>4.76</v>
      </c>
      <c r="N487" s="87"/>
    </row>
    <row r="488" spans="1:74" ht="14.5" x14ac:dyDescent="0.35">
      <c r="A488" s="24"/>
      <c r="D488" s="25" t="s">
        <v>920</v>
      </c>
      <c r="E488" s="26" t="s">
        <v>22</v>
      </c>
      <c r="G488" s="27">
        <v>2.37</v>
      </c>
      <c r="N488" s="87"/>
    </row>
    <row r="489" spans="1:74" ht="14.5" x14ac:dyDescent="0.35">
      <c r="A489" s="1" t="s">
        <v>921</v>
      </c>
      <c r="B489" s="2" t="s">
        <v>52</v>
      </c>
      <c r="C489" s="2" t="s">
        <v>922</v>
      </c>
      <c r="D489" s="138" t="s">
        <v>923</v>
      </c>
      <c r="E489" s="107"/>
      <c r="F489" s="37" t="s">
        <v>259</v>
      </c>
      <c r="G489" s="6">
        <v>1</v>
      </c>
      <c r="H489" s="147">
        <v>0</v>
      </c>
      <c r="I489" s="6">
        <f>G489*AM489</f>
        <v>0</v>
      </c>
      <c r="J489" s="6">
        <f>G489*AN489</f>
        <v>0</v>
      </c>
      <c r="K489" s="6">
        <f>G489*H489</f>
        <v>0</v>
      </c>
      <c r="L489" s="6">
        <v>1.15E-3</v>
      </c>
      <c r="M489" s="6">
        <f>G489*L489</f>
        <v>1.15E-3</v>
      </c>
      <c r="N489" s="86" t="s">
        <v>129</v>
      </c>
      <c r="X489" s="6">
        <f>IF(AO489="5",BH489,0)</f>
        <v>0</v>
      </c>
      <c r="Z489" s="6">
        <f>IF(AO489="1",BF489,0)</f>
        <v>0</v>
      </c>
      <c r="AA489" s="6">
        <f>IF(AO489="1",BG489,0)</f>
        <v>0</v>
      </c>
      <c r="AB489" s="6">
        <f>IF(AO489="7",BF489,0)</f>
        <v>0</v>
      </c>
      <c r="AC489" s="6">
        <f>IF(AO489="7",BG489,0)</f>
        <v>0</v>
      </c>
      <c r="AD489" s="6">
        <f>IF(AO489="2",BF489,0)</f>
        <v>0</v>
      </c>
      <c r="AE489" s="6">
        <f>IF(AO489="2",BG489,0)</f>
        <v>0</v>
      </c>
      <c r="AF489" s="6">
        <f>IF(AO489="0",BH489,0)</f>
        <v>0</v>
      </c>
      <c r="AG489" s="13" t="s">
        <v>52</v>
      </c>
      <c r="AH489" s="6">
        <f>IF(AL489=0,K489,0)</f>
        <v>0</v>
      </c>
      <c r="AI489" s="6">
        <f>IF(AL489=12,K489,0)</f>
        <v>0</v>
      </c>
      <c r="AJ489" s="6">
        <f>IF(AL489=21,K489,0)</f>
        <v>0</v>
      </c>
      <c r="AL489" s="6">
        <v>21</v>
      </c>
      <c r="AM489" s="6">
        <f>H489*0.758888998</f>
        <v>0</v>
      </c>
      <c r="AN489" s="6">
        <f>H489*(1-0.758888998)</f>
        <v>0</v>
      </c>
      <c r="AO489" s="23" t="s">
        <v>174</v>
      </c>
      <c r="AT489" s="6">
        <f>AU489+AV489</f>
        <v>0</v>
      </c>
      <c r="AU489" s="6">
        <f>G489*AM489</f>
        <v>0</v>
      </c>
      <c r="AV489" s="6">
        <f>G489*AN489</f>
        <v>0</v>
      </c>
      <c r="AW489" s="23" t="s">
        <v>901</v>
      </c>
      <c r="AX489" s="23" t="s">
        <v>884</v>
      </c>
      <c r="AY489" s="13" t="s">
        <v>841</v>
      </c>
      <c r="BA489" s="6">
        <f>AU489+AV489</f>
        <v>0</v>
      </c>
      <c r="BB489" s="6">
        <f>H489/(100-BC489)*100</f>
        <v>0</v>
      </c>
      <c r="BC489" s="6">
        <v>0</v>
      </c>
      <c r="BD489" s="6">
        <f>M489</f>
        <v>1.15E-3</v>
      </c>
      <c r="BF489" s="6">
        <f>G489*AM489</f>
        <v>0</v>
      </c>
      <c r="BG489" s="6">
        <f>G489*AN489</f>
        <v>0</v>
      </c>
      <c r="BH489" s="6">
        <f>G489*H489</f>
        <v>0</v>
      </c>
      <c r="BI489" s="6"/>
      <c r="BJ489" s="6">
        <v>712</v>
      </c>
      <c r="BU489" s="6" t="e">
        <f>#REF!</f>
        <v>#REF!</v>
      </c>
      <c r="BV489" s="3" t="s">
        <v>923</v>
      </c>
    </row>
    <row r="490" spans="1:74" ht="13.5" customHeight="1" x14ac:dyDescent="0.35">
      <c r="A490" s="24"/>
      <c r="C490" s="28" t="s">
        <v>193</v>
      </c>
      <c r="D490" s="139" t="s">
        <v>924</v>
      </c>
      <c r="E490" s="140"/>
      <c r="F490" s="140"/>
      <c r="G490" s="140"/>
      <c r="H490" s="140"/>
      <c r="I490" s="140"/>
      <c r="J490" s="140"/>
      <c r="K490" s="140"/>
      <c r="L490" s="140"/>
      <c r="M490" s="140"/>
      <c r="N490" s="141"/>
    </row>
    <row r="491" spans="1:74" ht="14.5" x14ac:dyDescent="0.35">
      <c r="A491" s="1" t="s">
        <v>925</v>
      </c>
      <c r="B491" s="2" t="s">
        <v>52</v>
      </c>
      <c r="C491" s="2" t="s">
        <v>926</v>
      </c>
      <c r="D491" s="138" t="s">
        <v>927</v>
      </c>
      <c r="E491" s="107"/>
      <c r="F491" s="37" t="s">
        <v>259</v>
      </c>
      <c r="G491" s="6">
        <v>1</v>
      </c>
      <c r="H491" s="147">
        <v>0</v>
      </c>
      <c r="I491" s="6">
        <f>G491*AM491</f>
        <v>0</v>
      </c>
      <c r="J491" s="6">
        <f>G491*AN491</f>
        <v>0</v>
      </c>
      <c r="K491" s="6">
        <f>G491*H491</f>
        <v>0</v>
      </c>
      <c r="L491" s="6">
        <v>1.1199999999999999E-3</v>
      </c>
      <c r="M491" s="6">
        <f>G491*L491</f>
        <v>1.1199999999999999E-3</v>
      </c>
      <c r="N491" s="86" t="s">
        <v>129</v>
      </c>
      <c r="X491" s="6">
        <f>IF(AO491="5",BH491,0)</f>
        <v>0</v>
      </c>
      <c r="Z491" s="6">
        <f>IF(AO491="1",BF491,0)</f>
        <v>0</v>
      </c>
      <c r="AA491" s="6">
        <f>IF(AO491="1",BG491,0)</f>
        <v>0</v>
      </c>
      <c r="AB491" s="6">
        <f>IF(AO491="7",BF491,0)</f>
        <v>0</v>
      </c>
      <c r="AC491" s="6">
        <f>IF(AO491="7",BG491,0)</f>
        <v>0</v>
      </c>
      <c r="AD491" s="6">
        <f>IF(AO491="2",BF491,0)</f>
        <v>0</v>
      </c>
      <c r="AE491" s="6">
        <f>IF(AO491="2",BG491,0)</f>
        <v>0</v>
      </c>
      <c r="AF491" s="6">
        <f>IF(AO491="0",BH491,0)</f>
        <v>0</v>
      </c>
      <c r="AG491" s="13" t="s">
        <v>52</v>
      </c>
      <c r="AH491" s="6">
        <f>IF(AL491=0,K491,0)</f>
        <v>0</v>
      </c>
      <c r="AI491" s="6">
        <f>IF(AL491=12,K491,0)</f>
        <v>0</v>
      </c>
      <c r="AJ491" s="6">
        <f>IF(AL491=21,K491,0)</f>
        <v>0</v>
      </c>
      <c r="AL491" s="6">
        <v>21</v>
      </c>
      <c r="AM491" s="6">
        <f>H491*1</f>
        <v>0</v>
      </c>
      <c r="AN491" s="6">
        <f>H491*(1-1)</f>
        <v>0</v>
      </c>
      <c r="AO491" s="23" t="s">
        <v>174</v>
      </c>
      <c r="AT491" s="6">
        <f>AU491+AV491</f>
        <v>0</v>
      </c>
      <c r="AU491" s="6">
        <f>G491*AM491</f>
        <v>0</v>
      </c>
      <c r="AV491" s="6">
        <f>G491*AN491</f>
        <v>0</v>
      </c>
      <c r="AW491" s="23" t="s">
        <v>901</v>
      </c>
      <c r="AX491" s="23" t="s">
        <v>884</v>
      </c>
      <c r="AY491" s="13" t="s">
        <v>841</v>
      </c>
      <c r="BA491" s="6">
        <f>AU491+AV491</f>
        <v>0</v>
      </c>
      <c r="BB491" s="6">
        <f>H491/(100-BC491)*100</f>
        <v>0</v>
      </c>
      <c r="BC491" s="6">
        <v>0</v>
      </c>
      <c r="BD491" s="6">
        <f>M491</f>
        <v>1.1199999999999999E-3</v>
      </c>
      <c r="BF491" s="6">
        <f>G491*AM491</f>
        <v>0</v>
      </c>
      <c r="BG491" s="6">
        <f>G491*AN491</f>
        <v>0</v>
      </c>
      <c r="BH491" s="6">
        <f>G491*H491</f>
        <v>0</v>
      </c>
      <c r="BI491" s="6"/>
      <c r="BJ491" s="6">
        <v>712</v>
      </c>
      <c r="BU491" s="6" t="e">
        <f>#REF!</f>
        <v>#REF!</v>
      </c>
      <c r="BV491" s="3" t="s">
        <v>927</v>
      </c>
    </row>
    <row r="492" spans="1:74" ht="14.5" x14ac:dyDescent="0.35">
      <c r="A492" s="1" t="s">
        <v>928</v>
      </c>
      <c r="B492" s="2" t="s">
        <v>52</v>
      </c>
      <c r="C492" s="2" t="s">
        <v>929</v>
      </c>
      <c r="D492" s="138" t="s">
        <v>930</v>
      </c>
      <c r="E492" s="107"/>
      <c r="F492" s="37" t="s">
        <v>200</v>
      </c>
      <c r="G492" s="6">
        <v>0.08</v>
      </c>
      <c r="H492" s="147">
        <v>0</v>
      </c>
      <c r="I492" s="6">
        <f>G492*AM492</f>
        <v>0</v>
      </c>
      <c r="J492" s="6">
        <f>G492*AN492</f>
        <v>0</v>
      </c>
      <c r="K492" s="6">
        <f>G492*H492</f>
        <v>0</v>
      </c>
      <c r="L492" s="6">
        <v>0</v>
      </c>
      <c r="M492" s="6">
        <f>G492*L492</f>
        <v>0</v>
      </c>
      <c r="N492" s="86" t="s">
        <v>129</v>
      </c>
      <c r="X492" s="6">
        <f>IF(AO492="5",BH492,0)</f>
        <v>0</v>
      </c>
      <c r="Z492" s="6">
        <f>IF(AO492="1",BF492,0)</f>
        <v>0</v>
      </c>
      <c r="AA492" s="6">
        <f>IF(AO492="1",BG492,0)</f>
        <v>0</v>
      </c>
      <c r="AB492" s="6">
        <f>IF(AO492="7",BF492,0)</f>
        <v>0</v>
      </c>
      <c r="AC492" s="6">
        <f>IF(AO492="7",BG492,0)</f>
        <v>0</v>
      </c>
      <c r="AD492" s="6">
        <f>IF(AO492="2",BF492,0)</f>
        <v>0</v>
      </c>
      <c r="AE492" s="6">
        <f>IF(AO492="2",BG492,0)</f>
        <v>0</v>
      </c>
      <c r="AF492" s="6">
        <f>IF(AO492="0",BH492,0)</f>
        <v>0</v>
      </c>
      <c r="AG492" s="13" t="s">
        <v>52</v>
      </c>
      <c r="AH492" s="6">
        <f>IF(AL492=0,K492,0)</f>
        <v>0</v>
      </c>
      <c r="AI492" s="6">
        <f>IF(AL492=12,K492,0)</f>
        <v>0</v>
      </c>
      <c r="AJ492" s="6">
        <f>IF(AL492=21,K492,0)</f>
        <v>0</v>
      </c>
      <c r="AL492" s="6">
        <v>21</v>
      </c>
      <c r="AM492" s="6">
        <f>H492*0</f>
        <v>0</v>
      </c>
      <c r="AN492" s="6">
        <f>H492*(1-0)</f>
        <v>0</v>
      </c>
      <c r="AO492" s="23" t="s">
        <v>164</v>
      </c>
      <c r="AT492" s="6">
        <f>AU492+AV492</f>
        <v>0</v>
      </c>
      <c r="AU492" s="6">
        <f>G492*AM492</f>
        <v>0</v>
      </c>
      <c r="AV492" s="6">
        <f>G492*AN492</f>
        <v>0</v>
      </c>
      <c r="AW492" s="23" t="s">
        <v>901</v>
      </c>
      <c r="AX492" s="23" t="s">
        <v>884</v>
      </c>
      <c r="AY492" s="13" t="s">
        <v>841</v>
      </c>
      <c r="BA492" s="6">
        <f>AU492+AV492</f>
        <v>0</v>
      </c>
      <c r="BB492" s="6">
        <f>H492/(100-BC492)*100</f>
        <v>0</v>
      </c>
      <c r="BC492" s="6">
        <v>0</v>
      </c>
      <c r="BD492" s="6">
        <f>M492</f>
        <v>0</v>
      </c>
      <c r="BF492" s="6">
        <f>G492*AM492</f>
        <v>0</v>
      </c>
      <c r="BG492" s="6">
        <f>G492*AN492</f>
        <v>0</v>
      </c>
      <c r="BH492" s="6">
        <f>G492*H492</f>
        <v>0</v>
      </c>
      <c r="BI492" s="6"/>
      <c r="BJ492" s="6">
        <v>712</v>
      </c>
      <c r="BU492" s="6" t="e">
        <f>#REF!</f>
        <v>#REF!</v>
      </c>
      <c r="BV492" s="3" t="s">
        <v>930</v>
      </c>
    </row>
    <row r="493" spans="1:74" ht="14.5" x14ac:dyDescent="0.35">
      <c r="A493" s="20" t="s">
        <v>22</v>
      </c>
      <c r="B493" s="21" t="s">
        <v>52</v>
      </c>
      <c r="C493" s="21" t="s">
        <v>58</v>
      </c>
      <c r="D493" s="133" t="s">
        <v>59</v>
      </c>
      <c r="E493" s="134"/>
      <c r="F493" s="91" t="s">
        <v>12</v>
      </c>
      <c r="G493" s="22" t="s">
        <v>12</v>
      </c>
      <c r="H493" s="22" t="s">
        <v>12</v>
      </c>
      <c r="I493" s="12">
        <f>SUM(I494:I498)</f>
        <v>0</v>
      </c>
      <c r="J493" s="12">
        <f>SUM(J494:J498)</f>
        <v>0</v>
      </c>
      <c r="K493" s="12">
        <f>SUM(K494:K498)</f>
        <v>0</v>
      </c>
      <c r="L493" s="13" t="s">
        <v>22</v>
      </c>
      <c r="M493" s="12">
        <f>SUM(M494:M498)</f>
        <v>4.3930000000000004E-2</v>
      </c>
      <c r="N493" s="85" t="s">
        <v>22</v>
      </c>
      <c r="AG493" s="13" t="s">
        <v>52</v>
      </c>
      <c r="AQ493" s="12">
        <f>SUM(AH494:AH498)</f>
        <v>0</v>
      </c>
      <c r="AR493" s="12">
        <f>SUM(AI494:AI498)</f>
        <v>0</v>
      </c>
      <c r="AS493" s="12">
        <f>SUM(AJ494:AJ498)</f>
        <v>0</v>
      </c>
    </row>
    <row r="494" spans="1:74" ht="14.5" x14ac:dyDescent="0.35">
      <c r="A494" s="1" t="s">
        <v>931</v>
      </c>
      <c r="B494" s="2" t="s">
        <v>52</v>
      </c>
      <c r="C494" s="2" t="s">
        <v>932</v>
      </c>
      <c r="D494" s="138" t="s">
        <v>933</v>
      </c>
      <c r="E494" s="107"/>
      <c r="F494" s="37" t="s">
        <v>145</v>
      </c>
      <c r="G494" s="6">
        <v>7.09</v>
      </c>
      <c r="H494" s="147">
        <v>0</v>
      </c>
      <c r="I494" s="6">
        <f>G494*AM494</f>
        <v>0</v>
      </c>
      <c r="J494" s="6">
        <f>G494*AN494</f>
        <v>0</v>
      </c>
      <c r="K494" s="6">
        <f>G494*H494</f>
        <v>0</v>
      </c>
      <c r="L494" s="6">
        <v>2E-3</v>
      </c>
      <c r="M494" s="6">
        <f>G494*L494</f>
        <v>1.418E-2</v>
      </c>
      <c r="N494" s="86" t="s">
        <v>129</v>
      </c>
      <c r="X494" s="6">
        <f>IF(AO494="5",BH494,0)</f>
        <v>0</v>
      </c>
      <c r="Z494" s="6">
        <f>IF(AO494="1",BF494,0)</f>
        <v>0</v>
      </c>
      <c r="AA494" s="6">
        <f>IF(AO494="1",BG494,0)</f>
        <v>0</v>
      </c>
      <c r="AB494" s="6">
        <f>IF(AO494="7",BF494,0)</f>
        <v>0</v>
      </c>
      <c r="AC494" s="6">
        <f>IF(AO494="7",BG494,0)</f>
        <v>0</v>
      </c>
      <c r="AD494" s="6">
        <f>IF(AO494="2",BF494,0)</f>
        <v>0</v>
      </c>
      <c r="AE494" s="6">
        <f>IF(AO494="2",BG494,0)</f>
        <v>0</v>
      </c>
      <c r="AF494" s="6">
        <f>IF(AO494="0",BH494,0)</f>
        <v>0</v>
      </c>
      <c r="AG494" s="13" t="s">
        <v>52</v>
      </c>
      <c r="AH494" s="6">
        <f>IF(AL494=0,K494,0)</f>
        <v>0</v>
      </c>
      <c r="AI494" s="6">
        <f>IF(AL494=12,K494,0)</f>
        <v>0</v>
      </c>
      <c r="AJ494" s="6">
        <f>IF(AL494=21,K494,0)</f>
        <v>0</v>
      </c>
      <c r="AL494" s="6">
        <v>21</v>
      </c>
      <c r="AM494" s="6">
        <f>H494*0.327997743</f>
        <v>0</v>
      </c>
      <c r="AN494" s="6">
        <f>H494*(1-0.327997743)</f>
        <v>0</v>
      </c>
      <c r="AO494" s="23" t="s">
        <v>174</v>
      </c>
      <c r="AT494" s="6">
        <f>AU494+AV494</f>
        <v>0</v>
      </c>
      <c r="AU494" s="6">
        <f>G494*AM494</f>
        <v>0</v>
      </c>
      <c r="AV494" s="6">
        <f>G494*AN494</f>
        <v>0</v>
      </c>
      <c r="AW494" s="23" t="s">
        <v>934</v>
      </c>
      <c r="AX494" s="23" t="s">
        <v>884</v>
      </c>
      <c r="AY494" s="13" t="s">
        <v>841</v>
      </c>
      <c r="BA494" s="6">
        <f>AU494+AV494</f>
        <v>0</v>
      </c>
      <c r="BB494" s="6">
        <f>H494/(100-BC494)*100</f>
        <v>0</v>
      </c>
      <c r="BC494" s="6">
        <v>0</v>
      </c>
      <c r="BD494" s="6">
        <f>M494</f>
        <v>1.418E-2</v>
      </c>
      <c r="BF494" s="6">
        <f>G494*AM494</f>
        <v>0</v>
      </c>
      <c r="BG494" s="6">
        <f>G494*AN494</f>
        <v>0</v>
      </c>
      <c r="BH494" s="6">
        <f>G494*H494</f>
        <v>0</v>
      </c>
      <c r="BI494" s="6"/>
      <c r="BJ494" s="6">
        <v>713</v>
      </c>
      <c r="BU494" s="6" t="e">
        <f>#REF!</f>
        <v>#REF!</v>
      </c>
      <c r="BV494" s="3" t="s">
        <v>933</v>
      </c>
    </row>
    <row r="495" spans="1:74" ht="14.5" x14ac:dyDescent="0.35">
      <c r="A495" s="24"/>
      <c r="D495" s="25" t="s">
        <v>843</v>
      </c>
      <c r="E495" s="26" t="s">
        <v>844</v>
      </c>
      <c r="G495" s="27">
        <v>7.09</v>
      </c>
      <c r="N495" s="87"/>
    </row>
    <row r="496" spans="1:74" ht="14.5" x14ac:dyDescent="0.35">
      <c r="A496" s="1" t="s">
        <v>935</v>
      </c>
      <c r="B496" s="2" t="s">
        <v>52</v>
      </c>
      <c r="C496" s="2" t="s">
        <v>936</v>
      </c>
      <c r="D496" s="138" t="s">
        <v>937</v>
      </c>
      <c r="E496" s="107"/>
      <c r="F496" s="37" t="s">
        <v>494</v>
      </c>
      <c r="G496" s="6">
        <v>0.85</v>
      </c>
      <c r="H496" s="147">
        <v>0</v>
      </c>
      <c r="I496" s="6">
        <f>G496*AM496</f>
        <v>0</v>
      </c>
      <c r="J496" s="6">
        <f>G496*AN496</f>
        <v>0</v>
      </c>
      <c r="K496" s="6">
        <f>G496*H496</f>
        <v>0</v>
      </c>
      <c r="L496" s="6">
        <v>3.5000000000000003E-2</v>
      </c>
      <c r="M496" s="6">
        <f>G496*L496</f>
        <v>2.9750000000000002E-2</v>
      </c>
      <c r="N496" s="86" t="s">
        <v>129</v>
      </c>
      <c r="X496" s="6">
        <f>IF(AO496="5",BH496,0)</f>
        <v>0</v>
      </c>
      <c r="Z496" s="6">
        <f>IF(AO496="1",BF496,0)</f>
        <v>0</v>
      </c>
      <c r="AA496" s="6">
        <f>IF(AO496="1",BG496,0)</f>
        <v>0</v>
      </c>
      <c r="AB496" s="6">
        <f>IF(AO496="7",BF496,0)</f>
        <v>0</v>
      </c>
      <c r="AC496" s="6">
        <f>IF(AO496="7",BG496,0)</f>
        <v>0</v>
      </c>
      <c r="AD496" s="6">
        <f>IF(AO496="2",BF496,0)</f>
        <v>0</v>
      </c>
      <c r="AE496" s="6">
        <f>IF(AO496="2",BG496,0)</f>
        <v>0</v>
      </c>
      <c r="AF496" s="6">
        <f>IF(AO496="0",BH496,0)</f>
        <v>0</v>
      </c>
      <c r="AG496" s="13" t="s">
        <v>52</v>
      </c>
      <c r="AH496" s="6">
        <f>IF(AL496=0,K496,0)</f>
        <v>0</v>
      </c>
      <c r="AI496" s="6">
        <f>IF(AL496=12,K496,0)</f>
        <v>0</v>
      </c>
      <c r="AJ496" s="6">
        <f>IF(AL496=21,K496,0)</f>
        <v>0</v>
      </c>
      <c r="AL496" s="6">
        <v>21</v>
      </c>
      <c r="AM496" s="6">
        <f>H496*1</f>
        <v>0</v>
      </c>
      <c r="AN496" s="6">
        <f>H496*(1-1)</f>
        <v>0</v>
      </c>
      <c r="AO496" s="23" t="s">
        <v>174</v>
      </c>
      <c r="AT496" s="6">
        <f>AU496+AV496</f>
        <v>0</v>
      </c>
      <c r="AU496" s="6">
        <f>G496*AM496</f>
        <v>0</v>
      </c>
      <c r="AV496" s="6">
        <f>G496*AN496</f>
        <v>0</v>
      </c>
      <c r="AW496" s="23" t="s">
        <v>934</v>
      </c>
      <c r="AX496" s="23" t="s">
        <v>884</v>
      </c>
      <c r="AY496" s="13" t="s">
        <v>841</v>
      </c>
      <c r="BA496" s="6">
        <f>AU496+AV496</f>
        <v>0</v>
      </c>
      <c r="BB496" s="6">
        <f>H496/(100-BC496)*100</f>
        <v>0</v>
      </c>
      <c r="BC496" s="6">
        <v>0</v>
      </c>
      <c r="BD496" s="6">
        <f>M496</f>
        <v>2.9750000000000002E-2</v>
      </c>
      <c r="BF496" s="6">
        <f>G496*AM496</f>
        <v>0</v>
      </c>
      <c r="BG496" s="6">
        <f>G496*AN496</f>
        <v>0</v>
      </c>
      <c r="BH496" s="6">
        <f>G496*H496</f>
        <v>0</v>
      </c>
      <c r="BI496" s="6"/>
      <c r="BJ496" s="6">
        <v>713</v>
      </c>
      <c r="BU496" s="6" t="e">
        <f>#REF!</f>
        <v>#REF!</v>
      </c>
      <c r="BV496" s="3" t="s">
        <v>937</v>
      </c>
    </row>
    <row r="497" spans="1:74" ht="14.5" x14ac:dyDescent="0.35">
      <c r="A497" s="24"/>
      <c r="D497" s="25" t="s">
        <v>938</v>
      </c>
      <c r="E497" s="26" t="s">
        <v>844</v>
      </c>
      <c r="G497" s="27">
        <v>0.85</v>
      </c>
      <c r="N497" s="87"/>
    </row>
    <row r="498" spans="1:74" ht="14.5" x14ac:dyDescent="0.35">
      <c r="A498" s="1" t="s">
        <v>939</v>
      </c>
      <c r="B498" s="2" t="s">
        <v>52</v>
      </c>
      <c r="C498" s="2" t="s">
        <v>940</v>
      </c>
      <c r="D498" s="138" t="s">
        <v>941</v>
      </c>
      <c r="E498" s="107"/>
      <c r="F498" s="37" t="s">
        <v>200</v>
      </c>
      <c r="G498" s="6">
        <v>0.04</v>
      </c>
      <c r="H498" s="147">
        <v>0</v>
      </c>
      <c r="I498" s="6">
        <f>G498*AM498</f>
        <v>0</v>
      </c>
      <c r="J498" s="6">
        <f>G498*AN498</f>
        <v>0</v>
      </c>
      <c r="K498" s="6">
        <f>G498*H498</f>
        <v>0</v>
      </c>
      <c r="L498" s="6">
        <v>0</v>
      </c>
      <c r="M498" s="6">
        <f>G498*L498</f>
        <v>0</v>
      </c>
      <c r="N498" s="86" t="s">
        <v>129</v>
      </c>
      <c r="X498" s="6">
        <f>IF(AO498="5",BH498,0)</f>
        <v>0</v>
      </c>
      <c r="Z498" s="6">
        <f>IF(AO498="1",BF498,0)</f>
        <v>0</v>
      </c>
      <c r="AA498" s="6">
        <f>IF(AO498="1",BG498,0)</f>
        <v>0</v>
      </c>
      <c r="AB498" s="6">
        <f>IF(AO498="7",BF498,0)</f>
        <v>0</v>
      </c>
      <c r="AC498" s="6">
        <f>IF(AO498="7",BG498,0)</f>
        <v>0</v>
      </c>
      <c r="AD498" s="6">
        <f>IF(AO498="2",BF498,0)</f>
        <v>0</v>
      </c>
      <c r="AE498" s="6">
        <f>IF(AO498="2",BG498,0)</f>
        <v>0</v>
      </c>
      <c r="AF498" s="6">
        <f>IF(AO498="0",BH498,0)</f>
        <v>0</v>
      </c>
      <c r="AG498" s="13" t="s">
        <v>52</v>
      </c>
      <c r="AH498" s="6">
        <f>IF(AL498=0,K498,0)</f>
        <v>0</v>
      </c>
      <c r="AI498" s="6">
        <f>IF(AL498=12,K498,0)</f>
        <v>0</v>
      </c>
      <c r="AJ498" s="6">
        <f>IF(AL498=21,K498,0)</f>
        <v>0</v>
      </c>
      <c r="AL498" s="6">
        <v>21</v>
      </c>
      <c r="AM498" s="6">
        <f>H498*0</f>
        <v>0</v>
      </c>
      <c r="AN498" s="6">
        <f>H498*(1-0)</f>
        <v>0</v>
      </c>
      <c r="AO498" s="23" t="s">
        <v>164</v>
      </c>
      <c r="AT498" s="6">
        <f>AU498+AV498</f>
        <v>0</v>
      </c>
      <c r="AU498" s="6">
        <f>G498*AM498</f>
        <v>0</v>
      </c>
      <c r="AV498" s="6">
        <f>G498*AN498</f>
        <v>0</v>
      </c>
      <c r="AW498" s="23" t="s">
        <v>934</v>
      </c>
      <c r="AX498" s="23" t="s">
        <v>884</v>
      </c>
      <c r="AY498" s="13" t="s">
        <v>841</v>
      </c>
      <c r="BA498" s="6">
        <f>AU498+AV498</f>
        <v>0</v>
      </c>
      <c r="BB498" s="6">
        <f>H498/(100-BC498)*100</f>
        <v>0</v>
      </c>
      <c r="BC498" s="6">
        <v>0</v>
      </c>
      <c r="BD498" s="6">
        <f>M498</f>
        <v>0</v>
      </c>
      <c r="BF498" s="6">
        <f>G498*AM498</f>
        <v>0</v>
      </c>
      <c r="BG498" s="6">
        <f>G498*AN498</f>
        <v>0</v>
      </c>
      <c r="BH498" s="6">
        <f>G498*H498</f>
        <v>0</v>
      </c>
      <c r="BI498" s="6"/>
      <c r="BJ498" s="6">
        <v>713</v>
      </c>
      <c r="BU498" s="6" t="e">
        <f>#REF!</f>
        <v>#REF!</v>
      </c>
      <c r="BV498" s="3" t="s">
        <v>941</v>
      </c>
    </row>
    <row r="499" spans="1:74" ht="14.5" x14ac:dyDescent="0.35">
      <c r="A499" s="20" t="s">
        <v>22</v>
      </c>
      <c r="B499" s="21" t="s">
        <v>52</v>
      </c>
      <c r="C499" s="21" t="s">
        <v>60</v>
      </c>
      <c r="D499" s="133" t="s">
        <v>61</v>
      </c>
      <c r="E499" s="134"/>
      <c r="F499" s="91" t="s">
        <v>12</v>
      </c>
      <c r="G499" s="22" t="s">
        <v>12</v>
      </c>
      <c r="H499" s="22" t="s">
        <v>12</v>
      </c>
      <c r="I499" s="12">
        <f>SUM(I500:I517)</f>
        <v>0</v>
      </c>
      <c r="J499" s="12">
        <f>SUM(J500:J517)</f>
        <v>0</v>
      </c>
      <c r="K499" s="12">
        <f>SUM(K500:K517)</f>
        <v>0</v>
      </c>
      <c r="L499" s="13" t="s">
        <v>22</v>
      </c>
      <c r="M499" s="12">
        <f>SUM(M500:M517)</f>
        <v>0.89539880000000005</v>
      </c>
      <c r="N499" s="85" t="s">
        <v>22</v>
      </c>
      <c r="AG499" s="13" t="s">
        <v>52</v>
      </c>
      <c r="AQ499" s="12">
        <f>SUM(AH500:AH517)</f>
        <v>0</v>
      </c>
      <c r="AR499" s="12">
        <f>SUM(AI500:AI517)</f>
        <v>0</v>
      </c>
      <c r="AS499" s="12">
        <f>SUM(AJ500:AJ517)</f>
        <v>0</v>
      </c>
    </row>
    <row r="500" spans="1:74" ht="14.5" x14ac:dyDescent="0.35">
      <c r="A500" s="1" t="s">
        <v>942</v>
      </c>
      <c r="B500" s="2" t="s">
        <v>52</v>
      </c>
      <c r="C500" s="2" t="s">
        <v>943</v>
      </c>
      <c r="D500" s="138" t="s">
        <v>944</v>
      </c>
      <c r="E500" s="107"/>
      <c r="F500" s="37" t="s">
        <v>145</v>
      </c>
      <c r="G500" s="6">
        <v>7.09</v>
      </c>
      <c r="H500" s="147">
        <v>0</v>
      </c>
      <c r="I500" s="6">
        <f>G500*AM500</f>
        <v>0</v>
      </c>
      <c r="J500" s="6">
        <f>G500*AN500</f>
        <v>0</v>
      </c>
      <c r="K500" s="6">
        <f>G500*H500</f>
        <v>0</v>
      </c>
      <c r="L500" s="6">
        <v>0.10241</v>
      </c>
      <c r="M500" s="6">
        <f>G500*L500</f>
        <v>0.72608689999999998</v>
      </c>
      <c r="N500" s="86" t="s">
        <v>129</v>
      </c>
      <c r="X500" s="6">
        <f>IF(AO500="5",BH500,0)</f>
        <v>0</v>
      </c>
      <c r="Z500" s="6">
        <f>IF(AO500="1",BF500,0)</f>
        <v>0</v>
      </c>
      <c r="AA500" s="6">
        <f>IF(AO500="1",BG500,0)</f>
        <v>0</v>
      </c>
      <c r="AB500" s="6">
        <f>IF(AO500="7",BF500,0)</f>
        <v>0</v>
      </c>
      <c r="AC500" s="6">
        <f>IF(AO500="7",BG500,0)</f>
        <v>0</v>
      </c>
      <c r="AD500" s="6">
        <f>IF(AO500="2",BF500,0)</f>
        <v>0</v>
      </c>
      <c r="AE500" s="6">
        <f>IF(AO500="2",BG500,0)</f>
        <v>0</v>
      </c>
      <c r="AF500" s="6">
        <f>IF(AO500="0",BH500,0)</f>
        <v>0</v>
      </c>
      <c r="AG500" s="13" t="s">
        <v>52</v>
      </c>
      <c r="AH500" s="6">
        <f>IF(AL500=0,K500,0)</f>
        <v>0</v>
      </c>
      <c r="AI500" s="6">
        <f>IF(AL500=12,K500,0)</f>
        <v>0</v>
      </c>
      <c r="AJ500" s="6">
        <f>IF(AL500=21,K500,0)</f>
        <v>0</v>
      </c>
      <c r="AL500" s="6">
        <v>21</v>
      </c>
      <c r="AM500" s="6">
        <f>H500*0.831182735</f>
        <v>0</v>
      </c>
      <c r="AN500" s="6">
        <f>H500*(1-0.831182735)</f>
        <v>0</v>
      </c>
      <c r="AO500" s="23" t="s">
        <v>174</v>
      </c>
      <c r="AT500" s="6">
        <f>AU500+AV500</f>
        <v>0</v>
      </c>
      <c r="AU500" s="6">
        <f>G500*AM500</f>
        <v>0</v>
      </c>
      <c r="AV500" s="6">
        <f>G500*AN500</f>
        <v>0</v>
      </c>
      <c r="AW500" s="23" t="s">
        <v>945</v>
      </c>
      <c r="AX500" s="23" t="s">
        <v>946</v>
      </c>
      <c r="AY500" s="13" t="s">
        <v>841</v>
      </c>
      <c r="BA500" s="6">
        <f>AU500+AV500</f>
        <v>0</v>
      </c>
      <c r="BB500" s="6">
        <f>H500/(100-BC500)*100</f>
        <v>0</v>
      </c>
      <c r="BC500" s="6">
        <v>0</v>
      </c>
      <c r="BD500" s="6">
        <f>M500</f>
        <v>0.72608689999999998</v>
      </c>
      <c r="BF500" s="6">
        <f>G500*AM500</f>
        <v>0</v>
      </c>
      <c r="BG500" s="6">
        <f>G500*AN500</f>
        <v>0</v>
      </c>
      <c r="BH500" s="6">
        <f>G500*H500</f>
        <v>0</v>
      </c>
      <c r="BI500" s="6"/>
      <c r="BJ500" s="6">
        <v>771</v>
      </c>
      <c r="BU500" s="6" t="e">
        <f>#REF!</f>
        <v>#REF!</v>
      </c>
      <c r="BV500" s="3" t="s">
        <v>944</v>
      </c>
    </row>
    <row r="501" spans="1:74" ht="14.5" x14ac:dyDescent="0.35">
      <c r="A501" s="24"/>
      <c r="D501" s="25" t="s">
        <v>843</v>
      </c>
      <c r="E501" s="26" t="s">
        <v>886</v>
      </c>
      <c r="G501" s="27">
        <v>7.09</v>
      </c>
      <c r="N501" s="87"/>
    </row>
    <row r="502" spans="1:74" ht="14.5" x14ac:dyDescent="0.35">
      <c r="A502" s="1" t="s">
        <v>947</v>
      </c>
      <c r="B502" s="2" t="s">
        <v>52</v>
      </c>
      <c r="C502" s="2" t="s">
        <v>948</v>
      </c>
      <c r="D502" s="138" t="s">
        <v>949</v>
      </c>
      <c r="E502" s="107"/>
      <c r="F502" s="37" t="s">
        <v>145</v>
      </c>
      <c r="G502" s="6">
        <v>7.09</v>
      </c>
      <c r="H502" s="147">
        <v>0</v>
      </c>
      <c r="I502" s="6">
        <f>G502*AM502</f>
        <v>0</v>
      </c>
      <c r="J502" s="6">
        <f>G502*AN502</f>
        <v>0</v>
      </c>
      <c r="K502" s="6">
        <f>G502*H502</f>
        <v>0</v>
      </c>
      <c r="L502" s="6">
        <v>2.1000000000000001E-4</v>
      </c>
      <c r="M502" s="6">
        <f>G502*L502</f>
        <v>1.4889E-3</v>
      </c>
      <c r="N502" s="86" t="s">
        <v>129</v>
      </c>
      <c r="X502" s="6">
        <f>IF(AO502="5",BH502,0)</f>
        <v>0</v>
      </c>
      <c r="Z502" s="6">
        <f>IF(AO502="1",BF502,0)</f>
        <v>0</v>
      </c>
      <c r="AA502" s="6">
        <f>IF(AO502="1",BG502,0)</f>
        <v>0</v>
      </c>
      <c r="AB502" s="6">
        <f>IF(AO502="7",BF502,0)</f>
        <v>0</v>
      </c>
      <c r="AC502" s="6">
        <f>IF(AO502="7",BG502,0)</f>
        <v>0</v>
      </c>
      <c r="AD502" s="6">
        <f>IF(AO502="2",BF502,0)</f>
        <v>0</v>
      </c>
      <c r="AE502" s="6">
        <f>IF(AO502="2",BG502,0)</f>
        <v>0</v>
      </c>
      <c r="AF502" s="6">
        <f>IF(AO502="0",BH502,0)</f>
        <v>0</v>
      </c>
      <c r="AG502" s="13" t="s">
        <v>52</v>
      </c>
      <c r="AH502" s="6">
        <f>IF(AL502=0,K502,0)</f>
        <v>0</v>
      </c>
      <c r="AI502" s="6">
        <f>IF(AL502=12,K502,0)</f>
        <v>0</v>
      </c>
      <c r="AJ502" s="6">
        <f>IF(AL502=21,K502,0)</f>
        <v>0</v>
      </c>
      <c r="AL502" s="6">
        <v>21</v>
      </c>
      <c r="AM502" s="6">
        <f>H502*0.472421571</f>
        <v>0</v>
      </c>
      <c r="AN502" s="6">
        <f>H502*(1-0.472421571)</f>
        <v>0</v>
      </c>
      <c r="AO502" s="23" t="s">
        <v>174</v>
      </c>
      <c r="AT502" s="6">
        <f>AU502+AV502</f>
        <v>0</v>
      </c>
      <c r="AU502" s="6">
        <f>G502*AM502</f>
        <v>0</v>
      </c>
      <c r="AV502" s="6">
        <f>G502*AN502</f>
        <v>0</v>
      </c>
      <c r="AW502" s="23" t="s">
        <v>945</v>
      </c>
      <c r="AX502" s="23" t="s">
        <v>946</v>
      </c>
      <c r="AY502" s="13" t="s">
        <v>841</v>
      </c>
      <c r="BA502" s="6">
        <f>AU502+AV502</f>
        <v>0</v>
      </c>
      <c r="BB502" s="6">
        <f>H502/(100-BC502)*100</f>
        <v>0</v>
      </c>
      <c r="BC502" s="6">
        <v>0</v>
      </c>
      <c r="BD502" s="6">
        <f>M502</f>
        <v>1.4889E-3</v>
      </c>
      <c r="BF502" s="6">
        <f>G502*AM502</f>
        <v>0</v>
      </c>
      <c r="BG502" s="6">
        <f>G502*AN502</f>
        <v>0</v>
      </c>
      <c r="BH502" s="6">
        <f>G502*H502</f>
        <v>0</v>
      </c>
      <c r="BI502" s="6"/>
      <c r="BJ502" s="6">
        <v>771</v>
      </c>
      <c r="BU502" s="6" t="e">
        <f>#REF!</f>
        <v>#REF!</v>
      </c>
      <c r="BV502" s="3" t="s">
        <v>949</v>
      </c>
    </row>
    <row r="503" spans="1:74" ht="14.5" x14ac:dyDescent="0.35">
      <c r="A503" s="24"/>
      <c r="D503" s="25" t="s">
        <v>843</v>
      </c>
      <c r="E503" s="26" t="s">
        <v>886</v>
      </c>
      <c r="G503" s="27">
        <v>7.09</v>
      </c>
      <c r="N503" s="87"/>
    </row>
    <row r="504" spans="1:74" ht="14.5" x14ac:dyDescent="0.35">
      <c r="A504" s="1" t="s">
        <v>950</v>
      </c>
      <c r="B504" s="2" t="s">
        <v>52</v>
      </c>
      <c r="C504" s="2" t="s">
        <v>951</v>
      </c>
      <c r="D504" s="138" t="s">
        <v>952</v>
      </c>
      <c r="E504" s="107"/>
      <c r="F504" s="37" t="s">
        <v>145</v>
      </c>
      <c r="G504" s="6">
        <v>7.09</v>
      </c>
      <c r="H504" s="147">
        <v>0</v>
      </c>
      <c r="I504" s="6">
        <f>G504*AM504</f>
        <v>0</v>
      </c>
      <c r="J504" s="6">
        <f>G504*AN504</f>
        <v>0</v>
      </c>
      <c r="K504" s="6">
        <f>G504*H504</f>
        <v>0</v>
      </c>
      <c r="L504" s="6">
        <v>0</v>
      </c>
      <c r="M504" s="6">
        <f>G504*L504</f>
        <v>0</v>
      </c>
      <c r="N504" s="86" t="s">
        <v>187</v>
      </c>
      <c r="X504" s="6">
        <f>IF(AO504="5",BH504,0)</f>
        <v>0</v>
      </c>
      <c r="Z504" s="6">
        <f>IF(AO504="1",BF504,0)</f>
        <v>0</v>
      </c>
      <c r="AA504" s="6">
        <f>IF(AO504="1",BG504,0)</f>
        <v>0</v>
      </c>
      <c r="AB504" s="6">
        <f>IF(AO504="7",BF504,0)</f>
        <v>0</v>
      </c>
      <c r="AC504" s="6">
        <f>IF(AO504="7",BG504,0)</f>
        <v>0</v>
      </c>
      <c r="AD504" s="6">
        <f>IF(AO504="2",BF504,0)</f>
        <v>0</v>
      </c>
      <c r="AE504" s="6">
        <f>IF(AO504="2",BG504,0)</f>
        <v>0</v>
      </c>
      <c r="AF504" s="6">
        <f>IF(AO504="0",BH504,0)</f>
        <v>0</v>
      </c>
      <c r="AG504" s="13" t="s">
        <v>52</v>
      </c>
      <c r="AH504" s="6">
        <f>IF(AL504=0,K504,0)</f>
        <v>0</v>
      </c>
      <c r="AI504" s="6">
        <f>IF(AL504=12,K504,0)</f>
        <v>0</v>
      </c>
      <c r="AJ504" s="6">
        <f>IF(AL504=21,K504,0)</f>
        <v>0</v>
      </c>
      <c r="AL504" s="6">
        <v>21</v>
      </c>
      <c r="AM504" s="6">
        <f>H504*0</f>
        <v>0</v>
      </c>
      <c r="AN504" s="6">
        <f>H504*(1-0)</f>
        <v>0</v>
      </c>
      <c r="AO504" s="23" t="s">
        <v>174</v>
      </c>
      <c r="AT504" s="6">
        <f>AU504+AV504</f>
        <v>0</v>
      </c>
      <c r="AU504" s="6">
        <f>G504*AM504</f>
        <v>0</v>
      </c>
      <c r="AV504" s="6">
        <f>G504*AN504</f>
        <v>0</v>
      </c>
      <c r="AW504" s="23" t="s">
        <v>945</v>
      </c>
      <c r="AX504" s="23" t="s">
        <v>946</v>
      </c>
      <c r="AY504" s="13" t="s">
        <v>841</v>
      </c>
      <c r="BA504" s="6">
        <f>AU504+AV504</f>
        <v>0</v>
      </c>
      <c r="BB504" s="6">
        <f>H504/(100-BC504)*100</f>
        <v>0</v>
      </c>
      <c r="BC504" s="6">
        <v>0</v>
      </c>
      <c r="BD504" s="6">
        <f>M504</f>
        <v>0</v>
      </c>
      <c r="BF504" s="6">
        <f>G504*AM504</f>
        <v>0</v>
      </c>
      <c r="BG504" s="6">
        <f>G504*AN504</f>
        <v>0</v>
      </c>
      <c r="BH504" s="6">
        <f>G504*H504</f>
        <v>0</v>
      </c>
      <c r="BI504" s="6"/>
      <c r="BJ504" s="6">
        <v>771</v>
      </c>
      <c r="BU504" s="6" t="e">
        <f>#REF!</f>
        <v>#REF!</v>
      </c>
      <c r="BV504" s="3" t="s">
        <v>952</v>
      </c>
    </row>
    <row r="505" spans="1:74" ht="14.5" x14ac:dyDescent="0.35">
      <c r="A505" s="24"/>
      <c r="D505" s="25" t="s">
        <v>843</v>
      </c>
      <c r="E505" s="26" t="s">
        <v>886</v>
      </c>
      <c r="G505" s="27">
        <v>7.09</v>
      </c>
      <c r="N505" s="87"/>
    </row>
    <row r="506" spans="1:74" ht="14.5" x14ac:dyDescent="0.35">
      <c r="A506" s="1" t="s">
        <v>953</v>
      </c>
      <c r="B506" s="2" t="s">
        <v>52</v>
      </c>
      <c r="C506" s="2" t="s">
        <v>954</v>
      </c>
      <c r="D506" s="138" t="s">
        <v>955</v>
      </c>
      <c r="E506" s="107"/>
      <c r="F506" s="37" t="s">
        <v>145</v>
      </c>
      <c r="G506" s="6">
        <v>8.51</v>
      </c>
      <c r="H506" s="147">
        <v>0</v>
      </c>
      <c r="I506" s="6">
        <f>G506*AM506</f>
        <v>0</v>
      </c>
      <c r="J506" s="6">
        <f>G506*AN506</f>
        <v>0</v>
      </c>
      <c r="K506" s="6">
        <f>G506*H506</f>
        <v>0</v>
      </c>
      <c r="L506" s="6">
        <v>1.9199999999999998E-2</v>
      </c>
      <c r="M506" s="6">
        <f>G506*L506</f>
        <v>0.16339199999999998</v>
      </c>
      <c r="N506" s="86" t="s">
        <v>129</v>
      </c>
      <c r="X506" s="6">
        <f>IF(AO506="5",BH506,0)</f>
        <v>0</v>
      </c>
      <c r="Z506" s="6">
        <f>IF(AO506="1",BF506,0)</f>
        <v>0</v>
      </c>
      <c r="AA506" s="6">
        <f>IF(AO506="1",BG506,0)</f>
        <v>0</v>
      </c>
      <c r="AB506" s="6">
        <f>IF(AO506="7",BF506,0)</f>
        <v>0</v>
      </c>
      <c r="AC506" s="6">
        <f>IF(AO506="7",BG506,0)</f>
        <v>0</v>
      </c>
      <c r="AD506" s="6">
        <f>IF(AO506="2",BF506,0)</f>
        <v>0</v>
      </c>
      <c r="AE506" s="6">
        <f>IF(AO506="2",BG506,0)</f>
        <v>0</v>
      </c>
      <c r="AF506" s="6">
        <f>IF(AO506="0",BH506,0)</f>
        <v>0</v>
      </c>
      <c r="AG506" s="13" t="s">
        <v>52</v>
      </c>
      <c r="AH506" s="6">
        <f>IF(AL506=0,K506,0)</f>
        <v>0</v>
      </c>
      <c r="AI506" s="6">
        <f>IF(AL506=12,K506,0)</f>
        <v>0</v>
      </c>
      <c r="AJ506" s="6">
        <f>IF(AL506=21,K506,0)</f>
        <v>0</v>
      </c>
      <c r="AL506" s="6">
        <v>21</v>
      </c>
      <c r="AM506" s="6">
        <f>H506*1</f>
        <v>0</v>
      </c>
      <c r="AN506" s="6">
        <f>H506*(1-1)</f>
        <v>0</v>
      </c>
      <c r="AO506" s="23" t="s">
        <v>174</v>
      </c>
      <c r="AT506" s="6">
        <f>AU506+AV506</f>
        <v>0</v>
      </c>
      <c r="AU506" s="6">
        <f>G506*AM506</f>
        <v>0</v>
      </c>
      <c r="AV506" s="6">
        <f>G506*AN506</f>
        <v>0</v>
      </c>
      <c r="AW506" s="23" t="s">
        <v>945</v>
      </c>
      <c r="AX506" s="23" t="s">
        <v>946</v>
      </c>
      <c r="AY506" s="13" t="s">
        <v>841</v>
      </c>
      <c r="BA506" s="6">
        <f>AU506+AV506</f>
        <v>0</v>
      </c>
      <c r="BB506" s="6">
        <f>H506/(100-BC506)*100</f>
        <v>0</v>
      </c>
      <c r="BC506" s="6">
        <v>0</v>
      </c>
      <c r="BD506" s="6">
        <f>M506</f>
        <v>0.16339199999999998</v>
      </c>
      <c r="BF506" s="6">
        <f>G506*AM506</f>
        <v>0</v>
      </c>
      <c r="BG506" s="6">
        <f>G506*AN506</f>
        <v>0</v>
      </c>
      <c r="BH506" s="6">
        <f>G506*H506</f>
        <v>0</v>
      </c>
      <c r="BI506" s="6"/>
      <c r="BJ506" s="6">
        <v>771</v>
      </c>
      <c r="BU506" s="6" t="e">
        <f>#REF!</f>
        <v>#REF!</v>
      </c>
      <c r="BV506" s="3" t="s">
        <v>955</v>
      </c>
    </row>
    <row r="507" spans="1:74" ht="14.5" x14ac:dyDescent="0.35">
      <c r="A507" s="24"/>
      <c r="D507" s="25" t="s">
        <v>843</v>
      </c>
      <c r="E507" s="26" t="s">
        <v>886</v>
      </c>
      <c r="G507" s="27">
        <v>7.09</v>
      </c>
      <c r="N507" s="87"/>
    </row>
    <row r="508" spans="1:74" ht="14.5" x14ac:dyDescent="0.35">
      <c r="A508" s="24"/>
      <c r="D508" s="25" t="s">
        <v>956</v>
      </c>
      <c r="E508" s="26" t="s">
        <v>22</v>
      </c>
      <c r="G508" s="27">
        <v>1.42</v>
      </c>
      <c r="N508" s="87"/>
    </row>
    <row r="509" spans="1:74" ht="14.5" x14ac:dyDescent="0.35">
      <c r="A509" s="1" t="s">
        <v>957</v>
      </c>
      <c r="B509" s="2" t="s">
        <v>52</v>
      </c>
      <c r="C509" s="2" t="s">
        <v>958</v>
      </c>
      <c r="D509" s="138" t="s">
        <v>959</v>
      </c>
      <c r="E509" s="107"/>
      <c r="F509" s="37" t="s">
        <v>100</v>
      </c>
      <c r="G509" s="6">
        <v>6.75</v>
      </c>
      <c r="H509" s="147">
        <v>0</v>
      </c>
      <c r="I509" s="6">
        <f>G509*AM509</f>
        <v>0</v>
      </c>
      <c r="J509" s="6">
        <f>G509*AN509</f>
        <v>0</v>
      </c>
      <c r="K509" s="6">
        <f>G509*H509</f>
        <v>0</v>
      </c>
      <c r="L509" s="6">
        <v>0</v>
      </c>
      <c r="M509" s="6">
        <f>G509*L509</f>
        <v>0</v>
      </c>
      <c r="N509" s="86" t="s">
        <v>129</v>
      </c>
      <c r="X509" s="6">
        <f>IF(AO509="5",BH509,0)</f>
        <v>0</v>
      </c>
      <c r="Z509" s="6">
        <f>IF(AO509="1",BF509,0)</f>
        <v>0</v>
      </c>
      <c r="AA509" s="6">
        <f>IF(AO509="1",BG509,0)</f>
        <v>0</v>
      </c>
      <c r="AB509" s="6">
        <f>IF(AO509="7",BF509,0)</f>
        <v>0</v>
      </c>
      <c r="AC509" s="6">
        <f>IF(AO509="7",BG509,0)</f>
        <v>0</v>
      </c>
      <c r="AD509" s="6">
        <f>IF(AO509="2",BF509,0)</f>
        <v>0</v>
      </c>
      <c r="AE509" s="6">
        <f>IF(AO509="2",BG509,0)</f>
        <v>0</v>
      </c>
      <c r="AF509" s="6">
        <f>IF(AO509="0",BH509,0)</f>
        <v>0</v>
      </c>
      <c r="AG509" s="13" t="s">
        <v>52</v>
      </c>
      <c r="AH509" s="6">
        <f>IF(AL509=0,K509,0)</f>
        <v>0</v>
      </c>
      <c r="AI509" s="6">
        <f>IF(AL509=12,K509,0)</f>
        <v>0</v>
      </c>
      <c r="AJ509" s="6">
        <f>IF(AL509=21,K509,0)</f>
        <v>0</v>
      </c>
      <c r="AL509" s="6">
        <v>21</v>
      </c>
      <c r="AM509" s="6">
        <f>H509*0</f>
        <v>0</v>
      </c>
      <c r="AN509" s="6">
        <f>H509*(1-0)</f>
        <v>0</v>
      </c>
      <c r="AO509" s="23" t="s">
        <v>174</v>
      </c>
      <c r="AT509" s="6">
        <f>AU509+AV509</f>
        <v>0</v>
      </c>
      <c r="AU509" s="6">
        <f>G509*AM509</f>
        <v>0</v>
      </c>
      <c r="AV509" s="6">
        <f>G509*AN509</f>
        <v>0</v>
      </c>
      <c r="AW509" s="23" t="s">
        <v>945</v>
      </c>
      <c r="AX509" s="23" t="s">
        <v>946</v>
      </c>
      <c r="AY509" s="13" t="s">
        <v>841</v>
      </c>
      <c r="BA509" s="6">
        <f>AU509+AV509</f>
        <v>0</v>
      </c>
      <c r="BB509" s="6">
        <f>H509/(100-BC509)*100</f>
        <v>0</v>
      </c>
      <c r="BC509" s="6">
        <v>0</v>
      </c>
      <c r="BD509" s="6">
        <f>M509</f>
        <v>0</v>
      </c>
      <c r="BF509" s="6">
        <f>G509*AM509</f>
        <v>0</v>
      </c>
      <c r="BG509" s="6">
        <f>G509*AN509</f>
        <v>0</v>
      </c>
      <c r="BH509" s="6">
        <f>G509*H509</f>
        <v>0</v>
      </c>
      <c r="BI509" s="6"/>
      <c r="BJ509" s="6">
        <v>771</v>
      </c>
      <c r="BU509" s="6" t="e">
        <f>#REF!</f>
        <v>#REF!</v>
      </c>
      <c r="BV509" s="3" t="s">
        <v>959</v>
      </c>
    </row>
    <row r="510" spans="1:74" ht="14.5" x14ac:dyDescent="0.35">
      <c r="A510" s="24"/>
      <c r="D510" s="25" t="s">
        <v>848</v>
      </c>
      <c r="E510" s="26" t="s">
        <v>844</v>
      </c>
      <c r="G510" s="27">
        <v>6.75</v>
      </c>
      <c r="N510" s="87"/>
    </row>
    <row r="511" spans="1:74" ht="14.5" x14ac:dyDescent="0.35">
      <c r="A511" s="1" t="s">
        <v>960</v>
      </c>
      <c r="B511" s="2" t="s">
        <v>52</v>
      </c>
      <c r="C511" s="2" t="s">
        <v>961</v>
      </c>
      <c r="D511" s="138" t="s">
        <v>962</v>
      </c>
      <c r="E511" s="107"/>
      <c r="F511" s="37" t="s">
        <v>259</v>
      </c>
      <c r="G511" s="6">
        <v>8.1</v>
      </c>
      <c r="H511" s="147">
        <v>0</v>
      </c>
      <c r="I511" s="6">
        <f>G511*AM511</f>
        <v>0</v>
      </c>
      <c r="J511" s="6">
        <f>G511*AN511</f>
        <v>0</v>
      </c>
      <c r="K511" s="6">
        <f>G511*H511</f>
        <v>0</v>
      </c>
      <c r="L511" s="6">
        <v>4.4999999999999999E-4</v>
      </c>
      <c r="M511" s="6">
        <f>G511*L511</f>
        <v>3.6449999999999998E-3</v>
      </c>
      <c r="N511" s="86" t="s">
        <v>187</v>
      </c>
      <c r="X511" s="6">
        <f>IF(AO511="5",BH511,0)</f>
        <v>0</v>
      </c>
      <c r="Z511" s="6">
        <f>IF(AO511="1",BF511,0)</f>
        <v>0</v>
      </c>
      <c r="AA511" s="6">
        <f>IF(AO511="1",BG511,0)</f>
        <v>0</v>
      </c>
      <c r="AB511" s="6">
        <f>IF(AO511="7",BF511,0)</f>
        <v>0</v>
      </c>
      <c r="AC511" s="6">
        <f>IF(AO511="7",BG511,0)</f>
        <v>0</v>
      </c>
      <c r="AD511" s="6">
        <f>IF(AO511="2",BF511,0)</f>
        <v>0</v>
      </c>
      <c r="AE511" s="6">
        <f>IF(AO511="2",BG511,0)</f>
        <v>0</v>
      </c>
      <c r="AF511" s="6">
        <f>IF(AO511="0",BH511,0)</f>
        <v>0</v>
      </c>
      <c r="AG511" s="13" t="s">
        <v>52</v>
      </c>
      <c r="AH511" s="6">
        <f>IF(AL511=0,K511,0)</f>
        <v>0</v>
      </c>
      <c r="AI511" s="6">
        <f>IF(AL511=12,K511,0)</f>
        <v>0</v>
      </c>
      <c r="AJ511" s="6">
        <f>IF(AL511=21,K511,0)</f>
        <v>0</v>
      </c>
      <c r="AL511" s="6">
        <v>21</v>
      </c>
      <c r="AM511" s="6">
        <f>H511*1</f>
        <v>0</v>
      </c>
      <c r="AN511" s="6">
        <f>H511*(1-1)</f>
        <v>0</v>
      </c>
      <c r="AO511" s="23" t="s">
        <v>174</v>
      </c>
      <c r="AT511" s="6">
        <f>AU511+AV511</f>
        <v>0</v>
      </c>
      <c r="AU511" s="6">
        <f>G511*AM511</f>
        <v>0</v>
      </c>
      <c r="AV511" s="6">
        <f>G511*AN511</f>
        <v>0</v>
      </c>
      <c r="AW511" s="23" t="s">
        <v>945</v>
      </c>
      <c r="AX511" s="23" t="s">
        <v>946</v>
      </c>
      <c r="AY511" s="13" t="s">
        <v>841</v>
      </c>
      <c r="BA511" s="6">
        <f>AU511+AV511</f>
        <v>0</v>
      </c>
      <c r="BB511" s="6">
        <f>H511/(100-BC511)*100</f>
        <v>0</v>
      </c>
      <c r="BC511" s="6">
        <v>0</v>
      </c>
      <c r="BD511" s="6">
        <f>M511</f>
        <v>3.6449999999999998E-3</v>
      </c>
      <c r="BF511" s="6">
        <f>G511*AM511</f>
        <v>0</v>
      </c>
      <c r="BG511" s="6">
        <f>G511*AN511</f>
        <v>0</v>
      </c>
      <c r="BH511" s="6">
        <f>G511*H511</f>
        <v>0</v>
      </c>
      <c r="BI511" s="6"/>
      <c r="BJ511" s="6">
        <v>771</v>
      </c>
      <c r="BU511" s="6" t="e">
        <f>#REF!</f>
        <v>#REF!</v>
      </c>
      <c r="BV511" s="3" t="s">
        <v>962</v>
      </c>
    </row>
    <row r="512" spans="1:74" ht="14.5" x14ac:dyDescent="0.35">
      <c r="A512" s="24"/>
      <c r="D512" s="25" t="s">
        <v>848</v>
      </c>
      <c r="E512" s="26" t="s">
        <v>844</v>
      </c>
      <c r="G512" s="27">
        <v>6.75</v>
      </c>
      <c r="N512" s="87"/>
    </row>
    <row r="513" spans="1:74" ht="14.5" x14ac:dyDescent="0.35">
      <c r="A513" s="24"/>
      <c r="D513" s="25" t="s">
        <v>963</v>
      </c>
      <c r="E513" s="26" t="s">
        <v>22</v>
      </c>
      <c r="G513" s="27">
        <v>1.35</v>
      </c>
      <c r="N513" s="87"/>
    </row>
    <row r="514" spans="1:74" ht="14.5" x14ac:dyDescent="0.35">
      <c r="A514" s="1" t="s">
        <v>964</v>
      </c>
      <c r="B514" s="2" t="s">
        <v>52</v>
      </c>
      <c r="C514" s="2" t="s">
        <v>965</v>
      </c>
      <c r="D514" s="138" t="s">
        <v>966</v>
      </c>
      <c r="E514" s="107"/>
      <c r="F514" s="37" t="s">
        <v>100</v>
      </c>
      <c r="G514" s="6">
        <v>11.9</v>
      </c>
      <c r="H514" s="147">
        <v>0</v>
      </c>
      <c r="I514" s="6">
        <f>G514*AM514</f>
        <v>0</v>
      </c>
      <c r="J514" s="6">
        <f>G514*AN514</f>
        <v>0</v>
      </c>
      <c r="K514" s="6">
        <f>G514*H514</f>
        <v>0</v>
      </c>
      <c r="L514" s="6">
        <v>4.0000000000000003E-5</v>
      </c>
      <c r="M514" s="6">
        <f>G514*L514</f>
        <v>4.7600000000000008E-4</v>
      </c>
      <c r="N514" s="86" t="s">
        <v>129</v>
      </c>
      <c r="X514" s="6">
        <f>IF(AO514="5",BH514,0)</f>
        <v>0</v>
      </c>
      <c r="Z514" s="6">
        <f>IF(AO514="1",BF514,0)</f>
        <v>0</v>
      </c>
      <c r="AA514" s="6">
        <f>IF(AO514="1",BG514,0)</f>
        <v>0</v>
      </c>
      <c r="AB514" s="6">
        <f>IF(AO514="7",BF514,0)</f>
        <v>0</v>
      </c>
      <c r="AC514" s="6">
        <f>IF(AO514="7",BG514,0)</f>
        <v>0</v>
      </c>
      <c r="AD514" s="6">
        <f>IF(AO514="2",BF514,0)</f>
        <v>0</v>
      </c>
      <c r="AE514" s="6">
        <f>IF(AO514="2",BG514,0)</f>
        <v>0</v>
      </c>
      <c r="AF514" s="6">
        <f>IF(AO514="0",BH514,0)</f>
        <v>0</v>
      </c>
      <c r="AG514" s="13" t="s">
        <v>52</v>
      </c>
      <c r="AH514" s="6">
        <f>IF(AL514=0,K514,0)</f>
        <v>0</v>
      </c>
      <c r="AI514" s="6">
        <f>IF(AL514=12,K514,0)</f>
        <v>0</v>
      </c>
      <c r="AJ514" s="6">
        <f>IF(AL514=21,K514,0)</f>
        <v>0</v>
      </c>
      <c r="AL514" s="6">
        <v>21</v>
      </c>
      <c r="AM514" s="6">
        <f>H514*0.495226131</f>
        <v>0</v>
      </c>
      <c r="AN514" s="6">
        <f>H514*(1-0.495226131)</f>
        <v>0</v>
      </c>
      <c r="AO514" s="23" t="s">
        <v>174</v>
      </c>
      <c r="AT514" s="6">
        <f>AU514+AV514</f>
        <v>0</v>
      </c>
      <c r="AU514" s="6">
        <f>G514*AM514</f>
        <v>0</v>
      </c>
      <c r="AV514" s="6">
        <f>G514*AN514</f>
        <v>0</v>
      </c>
      <c r="AW514" s="23" t="s">
        <v>945</v>
      </c>
      <c r="AX514" s="23" t="s">
        <v>946</v>
      </c>
      <c r="AY514" s="13" t="s">
        <v>841</v>
      </c>
      <c r="BA514" s="6">
        <f>AU514+AV514</f>
        <v>0</v>
      </c>
      <c r="BB514" s="6">
        <f>H514/(100-BC514)*100</f>
        <v>0</v>
      </c>
      <c r="BC514" s="6">
        <v>0</v>
      </c>
      <c r="BD514" s="6">
        <f>M514</f>
        <v>4.7600000000000008E-4</v>
      </c>
      <c r="BF514" s="6">
        <f>G514*AM514</f>
        <v>0</v>
      </c>
      <c r="BG514" s="6">
        <f>G514*AN514</f>
        <v>0</v>
      </c>
      <c r="BH514" s="6">
        <f>G514*H514</f>
        <v>0</v>
      </c>
      <c r="BI514" s="6"/>
      <c r="BJ514" s="6">
        <v>771</v>
      </c>
      <c r="BU514" s="6" t="e">
        <f>#REF!</f>
        <v>#REF!</v>
      </c>
      <c r="BV514" s="3" t="s">
        <v>966</v>
      </c>
    </row>
    <row r="515" spans="1:74" ht="14.5" x14ac:dyDescent="0.35">
      <c r="A515" s="24"/>
      <c r="D515" s="25" t="s">
        <v>894</v>
      </c>
      <c r="E515" s="26" t="s">
        <v>844</v>
      </c>
      <c r="G515" s="27">
        <v>11.9</v>
      </c>
      <c r="N515" s="87"/>
    </row>
    <row r="516" spans="1:74" ht="25" x14ac:dyDescent="0.35">
      <c r="A516" s="1" t="s">
        <v>967</v>
      </c>
      <c r="B516" s="2" t="s">
        <v>52</v>
      </c>
      <c r="C516" s="2" t="s">
        <v>968</v>
      </c>
      <c r="D516" s="138" t="s">
        <v>969</v>
      </c>
      <c r="E516" s="107"/>
      <c r="F516" s="37" t="s">
        <v>259</v>
      </c>
      <c r="G516" s="6">
        <v>1</v>
      </c>
      <c r="H516" s="147">
        <v>0</v>
      </c>
      <c r="I516" s="6">
        <f>G516*AM516</f>
        <v>0</v>
      </c>
      <c r="J516" s="6">
        <f>G516*AN516</f>
        <v>0</v>
      </c>
      <c r="K516" s="6">
        <f>G516*H516</f>
        <v>0</v>
      </c>
      <c r="L516" s="6">
        <v>3.1E-4</v>
      </c>
      <c r="M516" s="6">
        <f>G516*L516</f>
        <v>3.1E-4</v>
      </c>
      <c r="N516" s="86" t="s">
        <v>129</v>
      </c>
      <c r="X516" s="6">
        <f>IF(AO516="5",BH516,0)</f>
        <v>0</v>
      </c>
      <c r="Z516" s="6">
        <f>IF(AO516="1",BF516,0)</f>
        <v>0</v>
      </c>
      <c r="AA516" s="6">
        <f>IF(AO516="1",BG516,0)</f>
        <v>0</v>
      </c>
      <c r="AB516" s="6">
        <f>IF(AO516="7",BF516,0)</f>
        <v>0</v>
      </c>
      <c r="AC516" s="6">
        <f>IF(AO516="7",BG516,0)</f>
        <v>0</v>
      </c>
      <c r="AD516" s="6">
        <f>IF(AO516="2",BF516,0)</f>
        <v>0</v>
      </c>
      <c r="AE516" s="6">
        <f>IF(AO516="2",BG516,0)</f>
        <v>0</v>
      </c>
      <c r="AF516" s="6">
        <f>IF(AO516="0",BH516,0)</f>
        <v>0</v>
      </c>
      <c r="AG516" s="13" t="s">
        <v>52</v>
      </c>
      <c r="AH516" s="6">
        <f>IF(AL516=0,K516,0)</f>
        <v>0</v>
      </c>
      <c r="AI516" s="6">
        <f>IF(AL516=12,K516,0)</f>
        <v>0</v>
      </c>
      <c r="AJ516" s="6">
        <f>IF(AL516=21,K516,0)</f>
        <v>0</v>
      </c>
      <c r="AL516" s="6">
        <v>21</v>
      </c>
      <c r="AM516" s="6">
        <f>H516*0.895541401</f>
        <v>0</v>
      </c>
      <c r="AN516" s="6">
        <f>H516*(1-0.895541401)</f>
        <v>0</v>
      </c>
      <c r="AO516" s="23" t="s">
        <v>174</v>
      </c>
      <c r="AT516" s="6">
        <f>AU516+AV516</f>
        <v>0</v>
      </c>
      <c r="AU516" s="6">
        <f>G516*AM516</f>
        <v>0</v>
      </c>
      <c r="AV516" s="6">
        <f>G516*AN516</f>
        <v>0</v>
      </c>
      <c r="AW516" s="23" t="s">
        <v>945</v>
      </c>
      <c r="AX516" s="23" t="s">
        <v>946</v>
      </c>
      <c r="AY516" s="13" t="s">
        <v>841</v>
      </c>
      <c r="BA516" s="6">
        <f>AU516+AV516</f>
        <v>0</v>
      </c>
      <c r="BB516" s="6">
        <f>H516/(100-BC516)*100</f>
        <v>0</v>
      </c>
      <c r="BC516" s="6">
        <v>0</v>
      </c>
      <c r="BD516" s="6">
        <f>M516</f>
        <v>3.1E-4</v>
      </c>
      <c r="BF516" s="6">
        <f>G516*AM516</f>
        <v>0</v>
      </c>
      <c r="BG516" s="6">
        <f>G516*AN516</f>
        <v>0</v>
      </c>
      <c r="BH516" s="6">
        <f>G516*H516</f>
        <v>0</v>
      </c>
      <c r="BI516" s="6"/>
      <c r="BJ516" s="6">
        <v>771</v>
      </c>
      <c r="BU516" s="6" t="e">
        <f>#REF!</f>
        <v>#REF!</v>
      </c>
      <c r="BV516" s="3" t="s">
        <v>969</v>
      </c>
    </row>
    <row r="517" spans="1:74" ht="14.5" x14ac:dyDescent="0.35">
      <c r="A517" s="1" t="s">
        <v>970</v>
      </c>
      <c r="B517" s="2" t="s">
        <v>52</v>
      </c>
      <c r="C517" s="2" t="s">
        <v>971</v>
      </c>
      <c r="D517" s="138" t="s">
        <v>972</v>
      </c>
      <c r="E517" s="107"/>
      <c r="F517" s="37" t="s">
        <v>200</v>
      </c>
      <c r="G517" s="6">
        <v>0.9</v>
      </c>
      <c r="H517" s="147">
        <v>0</v>
      </c>
      <c r="I517" s="6">
        <f>G517*AM517</f>
        <v>0</v>
      </c>
      <c r="J517" s="6">
        <f>G517*AN517</f>
        <v>0</v>
      </c>
      <c r="K517" s="6">
        <f>G517*H517</f>
        <v>0</v>
      </c>
      <c r="L517" s="6">
        <v>0</v>
      </c>
      <c r="M517" s="6">
        <f>G517*L517</f>
        <v>0</v>
      </c>
      <c r="N517" s="86" t="s">
        <v>129</v>
      </c>
      <c r="X517" s="6">
        <f>IF(AO517="5",BH517,0)</f>
        <v>0</v>
      </c>
      <c r="Z517" s="6">
        <f>IF(AO517="1",BF517,0)</f>
        <v>0</v>
      </c>
      <c r="AA517" s="6">
        <f>IF(AO517="1",BG517,0)</f>
        <v>0</v>
      </c>
      <c r="AB517" s="6">
        <f>IF(AO517="7",BF517,0)</f>
        <v>0</v>
      </c>
      <c r="AC517" s="6">
        <f>IF(AO517="7",BG517,0)</f>
        <v>0</v>
      </c>
      <c r="AD517" s="6">
        <f>IF(AO517="2",BF517,0)</f>
        <v>0</v>
      </c>
      <c r="AE517" s="6">
        <f>IF(AO517="2",BG517,0)</f>
        <v>0</v>
      </c>
      <c r="AF517" s="6">
        <f>IF(AO517="0",BH517,0)</f>
        <v>0</v>
      </c>
      <c r="AG517" s="13" t="s">
        <v>52</v>
      </c>
      <c r="AH517" s="6">
        <f>IF(AL517=0,K517,0)</f>
        <v>0</v>
      </c>
      <c r="AI517" s="6">
        <f>IF(AL517=12,K517,0)</f>
        <v>0</v>
      </c>
      <c r="AJ517" s="6">
        <f>IF(AL517=21,K517,0)</f>
        <v>0</v>
      </c>
      <c r="AL517" s="6">
        <v>21</v>
      </c>
      <c r="AM517" s="6">
        <f>H517*0</f>
        <v>0</v>
      </c>
      <c r="AN517" s="6">
        <f>H517*(1-0)</f>
        <v>0</v>
      </c>
      <c r="AO517" s="23" t="s">
        <v>164</v>
      </c>
      <c r="AT517" s="6">
        <f>AU517+AV517</f>
        <v>0</v>
      </c>
      <c r="AU517" s="6">
        <f>G517*AM517</f>
        <v>0</v>
      </c>
      <c r="AV517" s="6">
        <f>G517*AN517</f>
        <v>0</v>
      </c>
      <c r="AW517" s="23" t="s">
        <v>945</v>
      </c>
      <c r="AX517" s="23" t="s">
        <v>946</v>
      </c>
      <c r="AY517" s="13" t="s">
        <v>841</v>
      </c>
      <c r="BA517" s="6">
        <f>AU517+AV517</f>
        <v>0</v>
      </c>
      <c r="BB517" s="6">
        <f>H517/(100-BC517)*100</f>
        <v>0</v>
      </c>
      <c r="BC517" s="6">
        <v>0</v>
      </c>
      <c r="BD517" s="6">
        <f>M517</f>
        <v>0</v>
      </c>
      <c r="BF517" s="6">
        <f>G517*AM517</f>
        <v>0</v>
      </c>
      <c r="BG517" s="6">
        <f>G517*AN517</f>
        <v>0</v>
      </c>
      <c r="BH517" s="6">
        <f>G517*H517</f>
        <v>0</v>
      </c>
      <c r="BI517" s="6"/>
      <c r="BJ517" s="6">
        <v>771</v>
      </c>
      <c r="BU517" s="6" t="e">
        <f>#REF!</f>
        <v>#REF!</v>
      </c>
      <c r="BV517" s="3" t="s">
        <v>972</v>
      </c>
    </row>
    <row r="518" spans="1:74" ht="14.5" x14ac:dyDescent="0.35">
      <c r="A518" s="29" t="s">
        <v>22</v>
      </c>
      <c r="B518" s="30" t="s">
        <v>62</v>
      </c>
      <c r="C518" s="30" t="s">
        <v>22</v>
      </c>
      <c r="D518" s="142" t="s">
        <v>63</v>
      </c>
      <c r="E518" s="143"/>
      <c r="F518" s="92" t="s">
        <v>12</v>
      </c>
      <c r="G518" s="31" t="s">
        <v>12</v>
      </c>
      <c r="H518" s="31" t="s">
        <v>12</v>
      </c>
      <c r="I518" s="32">
        <f>I520</f>
        <v>0</v>
      </c>
      <c r="J518" s="32">
        <f>J520</f>
        <v>0</v>
      </c>
      <c r="K518" s="32">
        <f>K520</f>
        <v>0</v>
      </c>
      <c r="L518" s="33" t="s">
        <v>22</v>
      </c>
      <c r="M518" s="32">
        <f>M520</f>
        <v>0</v>
      </c>
      <c r="N518" s="88" t="s">
        <v>22</v>
      </c>
    </row>
    <row r="519" spans="1:74" ht="14.5" x14ac:dyDescent="0.35">
      <c r="A519" s="20" t="s">
        <v>22</v>
      </c>
      <c r="B519" s="21" t="s">
        <v>62</v>
      </c>
      <c r="C519" s="21" t="s">
        <v>973</v>
      </c>
      <c r="D519" s="133" t="s">
        <v>974</v>
      </c>
      <c r="E519" s="134"/>
      <c r="F519" s="91" t="s">
        <v>12</v>
      </c>
      <c r="G519" s="22" t="s">
        <v>12</v>
      </c>
      <c r="H519" s="22" t="s">
        <v>12</v>
      </c>
      <c r="I519" s="12">
        <f>I520</f>
        <v>0</v>
      </c>
      <c r="J519" s="12">
        <f>J520</f>
        <v>0</v>
      </c>
      <c r="K519" s="12">
        <f>K520</f>
        <v>0</v>
      </c>
      <c r="L519" s="13" t="s">
        <v>22</v>
      </c>
      <c r="M519" s="12">
        <f>M520</f>
        <v>0</v>
      </c>
      <c r="N519" s="85" t="s">
        <v>22</v>
      </c>
      <c r="AG519" s="13" t="s">
        <v>62</v>
      </c>
    </row>
    <row r="520" spans="1:74" ht="14.5" x14ac:dyDescent="0.35">
      <c r="A520" s="20" t="s">
        <v>22</v>
      </c>
      <c r="B520" s="21" t="s">
        <v>62</v>
      </c>
      <c r="C520" s="21" t="s">
        <v>64</v>
      </c>
      <c r="D520" s="133" t="s">
        <v>65</v>
      </c>
      <c r="E520" s="134"/>
      <c r="F520" s="91" t="s">
        <v>12</v>
      </c>
      <c r="G520" s="22" t="s">
        <v>12</v>
      </c>
      <c r="H520" s="22" t="s">
        <v>12</v>
      </c>
      <c r="I520" s="12">
        <f>SUM(I521:I522)</f>
        <v>0</v>
      </c>
      <c r="J520" s="12">
        <f>SUM(J521:J522)</f>
        <v>0</v>
      </c>
      <c r="K520" s="12">
        <f>SUM(K521:K522)</f>
        <v>0</v>
      </c>
      <c r="L520" s="13" t="s">
        <v>22</v>
      </c>
      <c r="M520" s="12">
        <f>SUM(M521:M522)</f>
        <v>0</v>
      </c>
      <c r="N520" s="85" t="s">
        <v>22</v>
      </c>
      <c r="AG520" s="13" t="s">
        <v>62</v>
      </c>
      <c r="AQ520" s="12">
        <f>SUM(AH521:AH522)</f>
        <v>0</v>
      </c>
      <c r="AR520" s="12">
        <f>SUM(AI521:AI522)</f>
        <v>0</v>
      </c>
      <c r="AS520" s="12">
        <f>SUM(AJ521:AJ522)</f>
        <v>0</v>
      </c>
    </row>
    <row r="521" spans="1:74" ht="14.5" x14ac:dyDescent="0.35">
      <c r="A521" s="1" t="s">
        <v>975</v>
      </c>
      <c r="B521" s="2" t="s">
        <v>62</v>
      </c>
      <c r="C521" s="2" t="s">
        <v>976</v>
      </c>
      <c r="D521" s="138" t="s">
        <v>977</v>
      </c>
      <c r="E521" s="107"/>
      <c r="F521" s="37" t="s">
        <v>978</v>
      </c>
      <c r="G521" s="6">
        <v>1</v>
      </c>
      <c r="H521" s="147">
        <v>0</v>
      </c>
      <c r="I521" s="6">
        <f>G521*AM521</f>
        <v>0</v>
      </c>
      <c r="J521" s="6">
        <f>G521*AN521</f>
        <v>0</v>
      </c>
      <c r="K521" s="6">
        <f>G521*H521</f>
        <v>0</v>
      </c>
      <c r="L521" s="6">
        <v>0</v>
      </c>
      <c r="M521" s="6">
        <f>G521*L521</f>
        <v>0</v>
      </c>
      <c r="N521" s="86" t="s">
        <v>102</v>
      </c>
      <c r="X521" s="6">
        <f>IF(AO521="5",BH521,0)</f>
        <v>0</v>
      </c>
      <c r="Z521" s="6">
        <f>IF(AO521="1",BF521,0)</f>
        <v>0</v>
      </c>
      <c r="AA521" s="6">
        <f>IF(AO521="1",BG521,0)</f>
        <v>0</v>
      </c>
      <c r="AB521" s="6">
        <f>IF(AO521="7",BF521,0)</f>
        <v>0</v>
      </c>
      <c r="AC521" s="6">
        <f>IF(AO521="7",BG521,0)</f>
        <v>0</v>
      </c>
      <c r="AD521" s="6">
        <f>IF(AO521="2",BF521,0)</f>
        <v>0</v>
      </c>
      <c r="AE521" s="6">
        <f>IF(AO521="2",BG521,0)</f>
        <v>0</v>
      </c>
      <c r="AF521" s="6">
        <f>IF(AO521="0",BH521,0)</f>
        <v>0</v>
      </c>
      <c r="AG521" s="13" t="s">
        <v>62</v>
      </c>
      <c r="AH521" s="6">
        <f>IF(AL521=0,K521,0)</f>
        <v>0</v>
      </c>
      <c r="AI521" s="6">
        <f>IF(AL521=12,K521,0)</f>
        <v>0</v>
      </c>
      <c r="AJ521" s="6">
        <f>IF(AL521=21,K521,0)</f>
        <v>0</v>
      </c>
      <c r="AL521" s="6">
        <v>21</v>
      </c>
      <c r="AM521" s="6">
        <f>H521*0</f>
        <v>0</v>
      </c>
      <c r="AN521" s="6">
        <f>H521*(1-0)</f>
        <v>0</v>
      </c>
      <c r="AO521" s="23" t="s">
        <v>629</v>
      </c>
      <c r="AT521" s="6">
        <f>AU521+AV521</f>
        <v>0</v>
      </c>
      <c r="AU521" s="6">
        <f>G521*AM521</f>
        <v>0</v>
      </c>
      <c r="AV521" s="6">
        <f>G521*AN521</f>
        <v>0</v>
      </c>
      <c r="AW521" s="23" t="s">
        <v>979</v>
      </c>
      <c r="AX521" s="23" t="s">
        <v>980</v>
      </c>
      <c r="AY521" s="13" t="s">
        <v>981</v>
      </c>
      <c r="BA521" s="6">
        <f>AU521+AV521</f>
        <v>0</v>
      </c>
      <c r="BB521" s="6">
        <f>H521/(100-BC521)*100</f>
        <v>0</v>
      </c>
      <c r="BC521" s="6">
        <v>0</v>
      </c>
      <c r="BD521" s="6">
        <f>M521</f>
        <v>0</v>
      </c>
      <c r="BF521" s="6">
        <f>G521*AM521</f>
        <v>0</v>
      </c>
      <c r="BG521" s="6">
        <f>G521*AN521</f>
        <v>0</v>
      </c>
      <c r="BH521" s="6">
        <f>G521*H521</f>
        <v>0</v>
      </c>
      <c r="BI521" s="6"/>
      <c r="BJ521" s="6"/>
      <c r="BS521" s="6">
        <f>G521*H521</f>
        <v>0</v>
      </c>
      <c r="BU521" s="6" t="e">
        <f>#REF!</f>
        <v>#REF!</v>
      </c>
      <c r="BV521" s="3" t="s">
        <v>977</v>
      </c>
    </row>
    <row r="522" spans="1:74" ht="25" x14ac:dyDescent="0.35">
      <c r="A522" s="8" t="s">
        <v>982</v>
      </c>
      <c r="B522" s="9" t="s">
        <v>62</v>
      </c>
      <c r="C522" s="9" t="s">
        <v>983</v>
      </c>
      <c r="D522" s="144" t="s">
        <v>984</v>
      </c>
      <c r="E522" s="145"/>
      <c r="F522" s="38" t="s">
        <v>978</v>
      </c>
      <c r="G522" s="10">
        <v>1</v>
      </c>
      <c r="H522" s="147">
        <v>0</v>
      </c>
      <c r="I522" s="10">
        <f>G522*AM522</f>
        <v>0</v>
      </c>
      <c r="J522" s="10">
        <f>G522*AN522</f>
        <v>0</v>
      </c>
      <c r="K522" s="10">
        <f>G522*H522</f>
        <v>0</v>
      </c>
      <c r="L522" s="10">
        <v>0</v>
      </c>
      <c r="M522" s="10">
        <f>G522*L522</f>
        <v>0</v>
      </c>
      <c r="N522" s="89" t="s">
        <v>102</v>
      </c>
      <c r="X522" s="6">
        <f>IF(AO522="5",BH522,0)</f>
        <v>0</v>
      </c>
      <c r="Z522" s="6">
        <f>IF(AO522="1",BF522,0)</f>
        <v>0</v>
      </c>
      <c r="AA522" s="6">
        <f>IF(AO522="1",BG522,0)</f>
        <v>0</v>
      </c>
      <c r="AB522" s="6">
        <f>IF(AO522="7",BF522,0)</f>
        <v>0</v>
      </c>
      <c r="AC522" s="6">
        <f>IF(AO522="7",BG522,0)</f>
        <v>0</v>
      </c>
      <c r="AD522" s="6">
        <f>IF(AO522="2",BF522,0)</f>
        <v>0</v>
      </c>
      <c r="AE522" s="6">
        <f>IF(AO522="2",BG522,0)</f>
        <v>0</v>
      </c>
      <c r="AF522" s="6">
        <f>IF(AO522="0",BH522,0)</f>
        <v>0</v>
      </c>
      <c r="AG522" s="13" t="s">
        <v>62</v>
      </c>
      <c r="AH522" s="6">
        <f>IF(AL522=0,K522,0)</f>
        <v>0</v>
      </c>
      <c r="AI522" s="6">
        <f>IF(AL522=12,K522,0)</f>
        <v>0</v>
      </c>
      <c r="AJ522" s="6">
        <f>IF(AL522=21,K522,0)</f>
        <v>0</v>
      </c>
      <c r="AL522" s="6">
        <v>21</v>
      </c>
      <c r="AM522" s="6">
        <f>H522*0</f>
        <v>0</v>
      </c>
      <c r="AN522" s="6">
        <f>H522*(1-0)</f>
        <v>0</v>
      </c>
      <c r="AO522" s="23" t="s">
        <v>629</v>
      </c>
      <c r="AT522" s="6">
        <f>AU522+AV522</f>
        <v>0</v>
      </c>
      <c r="AU522" s="6">
        <f>G522*AM522</f>
        <v>0</v>
      </c>
      <c r="AV522" s="6">
        <f>G522*AN522</f>
        <v>0</v>
      </c>
      <c r="AW522" s="23" t="s">
        <v>979</v>
      </c>
      <c r="AX522" s="23" t="s">
        <v>980</v>
      </c>
      <c r="AY522" s="13" t="s">
        <v>981</v>
      </c>
      <c r="BA522" s="6">
        <f>AU522+AV522</f>
        <v>0</v>
      </c>
      <c r="BB522" s="6">
        <f>H522/(100-BC522)*100</f>
        <v>0</v>
      </c>
      <c r="BC522" s="6">
        <v>0</v>
      </c>
      <c r="BD522" s="6">
        <f>M522</f>
        <v>0</v>
      </c>
      <c r="BF522" s="6">
        <f>G522*AM522</f>
        <v>0</v>
      </c>
      <c r="BG522" s="6">
        <f>G522*AN522</f>
        <v>0</v>
      </c>
      <c r="BH522" s="6">
        <f>G522*H522</f>
        <v>0</v>
      </c>
      <c r="BI522" s="6"/>
      <c r="BJ522" s="6"/>
      <c r="BS522" s="6">
        <f>G522*H522</f>
        <v>0</v>
      </c>
      <c r="BU522" s="6" t="e">
        <f>#REF!</f>
        <v>#REF!</v>
      </c>
      <c r="BV522" s="3" t="s">
        <v>984</v>
      </c>
    </row>
    <row r="523" spans="1:74" ht="24.5" customHeight="1" x14ac:dyDescent="0.35">
      <c r="I523" s="146" t="s">
        <v>66</v>
      </c>
      <c r="J523" s="146"/>
      <c r="K523" s="11">
        <f>K13+K50+K89+K98+K113+K174+K194+K200+K221+K240+K331+K346+K354+K389+K399+K421+K436+K454+K463+K473+K493+K499+K520</f>
        <v>0</v>
      </c>
    </row>
  </sheetData>
  <sheetProtection password="DA03" sheet="1" objects="1" scenarios="1"/>
  <mergeCells count="271">
    <mergeCell ref="D519:E519"/>
    <mergeCell ref="D520:E520"/>
    <mergeCell ref="D521:E521"/>
    <mergeCell ref="D522:E522"/>
    <mergeCell ref="I523:J523"/>
    <mergeCell ref="D511:E511"/>
    <mergeCell ref="D514:E514"/>
    <mergeCell ref="D516:E516"/>
    <mergeCell ref="D517:E517"/>
    <mergeCell ref="D518:E518"/>
    <mergeCell ref="D500:E500"/>
    <mergeCell ref="D502:E502"/>
    <mergeCell ref="D504:E504"/>
    <mergeCell ref="D506:E506"/>
    <mergeCell ref="D509:E509"/>
    <mergeCell ref="D493:E493"/>
    <mergeCell ref="D494:E494"/>
    <mergeCell ref="D496:E496"/>
    <mergeCell ref="D498:E498"/>
    <mergeCell ref="D499:E499"/>
    <mergeCell ref="D485:E485"/>
    <mergeCell ref="D489:E489"/>
    <mergeCell ref="D490:N490"/>
    <mergeCell ref="D491:E491"/>
    <mergeCell ref="D492:E492"/>
    <mergeCell ref="D476:E476"/>
    <mergeCell ref="D478:E478"/>
    <mergeCell ref="D479:N479"/>
    <mergeCell ref="D481:E481"/>
    <mergeCell ref="D483:E483"/>
    <mergeCell ref="D467:E467"/>
    <mergeCell ref="D470:E470"/>
    <mergeCell ref="D472:E472"/>
    <mergeCell ref="D473:E473"/>
    <mergeCell ref="D474:E474"/>
    <mergeCell ref="D460:E460"/>
    <mergeCell ref="D461:E461"/>
    <mergeCell ref="D462:E462"/>
    <mergeCell ref="D463:E463"/>
    <mergeCell ref="D464:E464"/>
    <mergeCell ref="D454:E454"/>
    <mergeCell ref="D455:E455"/>
    <mergeCell ref="D456:E456"/>
    <mergeCell ref="D458:E458"/>
    <mergeCell ref="D459:E459"/>
    <mergeCell ref="D446:N446"/>
    <mergeCell ref="D448:E448"/>
    <mergeCell ref="D450:E450"/>
    <mergeCell ref="D451:N451"/>
    <mergeCell ref="D453:E453"/>
    <mergeCell ref="D438:N438"/>
    <mergeCell ref="D440:E440"/>
    <mergeCell ref="D442:E442"/>
    <mergeCell ref="D443:N443"/>
    <mergeCell ref="D445:E445"/>
    <mergeCell ref="D433:N433"/>
    <mergeCell ref="D434:E434"/>
    <mergeCell ref="D435:E435"/>
    <mergeCell ref="D436:E436"/>
    <mergeCell ref="D437:E437"/>
    <mergeCell ref="D428:N428"/>
    <mergeCell ref="D429:E429"/>
    <mergeCell ref="D430:N430"/>
    <mergeCell ref="D431:E431"/>
    <mergeCell ref="D432:E432"/>
    <mergeCell ref="D423:E423"/>
    <mergeCell ref="D424:N424"/>
    <mergeCell ref="D425:E425"/>
    <mergeCell ref="D426:N426"/>
    <mergeCell ref="D427:E427"/>
    <mergeCell ref="D416:E416"/>
    <mergeCell ref="D418:E418"/>
    <mergeCell ref="D419:E419"/>
    <mergeCell ref="D421:E421"/>
    <mergeCell ref="D422:E422"/>
    <mergeCell ref="D408:E408"/>
    <mergeCell ref="D409:E409"/>
    <mergeCell ref="D411:E411"/>
    <mergeCell ref="D413:E413"/>
    <mergeCell ref="D415:E415"/>
    <mergeCell ref="D400:E400"/>
    <mergeCell ref="D402:E402"/>
    <mergeCell ref="D404:E404"/>
    <mergeCell ref="D405:E405"/>
    <mergeCell ref="D406:E406"/>
    <mergeCell ref="D395:N395"/>
    <mergeCell ref="D396:E396"/>
    <mergeCell ref="D397:N397"/>
    <mergeCell ref="D398:E398"/>
    <mergeCell ref="D399:E399"/>
    <mergeCell ref="D390:E390"/>
    <mergeCell ref="D391:N391"/>
    <mergeCell ref="D392:E392"/>
    <mergeCell ref="D393:N393"/>
    <mergeCell ref="D394:E394"/>
    <mergeCell ref="D382:E382"/>
    <mergeCell ref="D384:E384"/>
    <mergeCell ref="D386:E386"/>
    <mergeCell ref="D388:E388"/>
    <mergeCell ref="D389:E389"/>
    <mergeCell ref="D372:E372"/>
    <mergeCell ref="D374:E374"/>
    <mergeCell ref="D376:E376"/>
    <mergeCell ref="D378:E378"/>
    <mergeCell ref="D380:E380"/>
    <mergeCell ref="D354:E354"/>
    <mergeCell ref="D355:E355"/>
    <mergeCell ref="D366:E366"/>
    <mergeCell ref="D368:E368"/>
    <mergeCell ref="D370:E370"/>
    <mergeCell ref="D348:E348"/>
    <mergeCell ref="D350:E350"/>
    <mergeCell ref="D351:E351"/>
    <mergeCell ref="D352:E352"/>
    <mergeCell ref="D353:E353"/>
    <mergeCell ref="D340:E340"/>
    <mergeCell ref="D342:E342"/>
    <mergeCell ref="D344:E344"/>
    <mergeCell ref="D346:E346"/>
    <mergeCell ref="D347:E347"/>
    <mergeCell ref="D331:E331"/>
    <mergeCell ref="D332:E332"/>
    <mergeCell ref="D334:E334"/>
    <mergeCell ref="D336:E336"/>
    <mergeCell ref="D338:E338"/>
    <mergeCell ref="D310:E310"/>
    <mergeCell ref="D312:E312"/>
    <mergeCell ref="D315:E315"/>
    <mergeCell ref="D317:E317"/>
    <mergeCell ref="D330:E330"/>
    <mergeCell ref="D303:E303"/>
    <mergeCell ref="D305:E305"/>
    <mergeCell ref="D307:E307"/>
    <mergeCell ref="D308:E308"/>
    <mergeCell ref="D309:E309"/>
    <mergeCell ref="D274:N274"/>
    <mergeCell ref="D277:E277"/>
    <mergeCell ref="D280:E280"/>
    <mergeCell ref="D281:N281"/>
    <mergeCell ref="D293:E293"/>
    <mergeCell ref="D260:E260"/>
    <mergeCell ref="D261:N261"/>
    <mergeCell ref="D267:E267"/>
    <mergeCell ref="D268:N268"/>
    <mergeCell ref="D273:E273"/>
    <mergeCell ref="D249:E249"/>
    <mergeCell ref="D251:E251"/>
    <mergeCell ref="D253:E253"/>
    <mergeCell ref="D255:E255"/>
    <mergeCell ref="D258:E258"/>
    <mergeCell ref="D238:E238"/>
    <mergeCell ref="D239:E239"/>
    <mergeCell ref="D240:E240"/>
    <mergeCell ref="D241:E241"/>
    <mergeCell ref="D247:E247"/>
    <mergeCell ref="D229:E229"/>
    <mergeCell ref="D231:E231"/>
    <mergeCell ref="D233:E233"/>
    <mergeCell ref="D235:E235"/>
    <mergeCell ref="D236:E236"/>
    <mergeCell ref="D221:E221"/>
    <mergeCell ref="D222:E222"/>
    <mergeCell ref="D224:E224"/>
    <mergeCell ref="D225:E225"/>
    <mergeCell ref="D227:E227"/>
    <mergeCell ref="D213:E213"/>
    <mergeCell ref="D215:E215"/>
    <mergeCell ref="D217:E217"/>
    <mergeCell ref="D219:E219"/>
    <mergeCell ref="D220:E220"/>
    <mergeCell ref="D194:E194"/>
    <mergeCell ref="D195:E195"/>
    <mergeCell ref="D197:E197"/>
    <mergeCell ref="D200:E200"/>
    <mergeCell ref="D201:E201"/>
    <mergeCell ref="D180:E180"/>
    <mergeCell ref="D181:E181"/>
    <mergeCell ref="D182:E182"/>
    <mergeCell ref="D189:E189"/>
    <mergeCell ref="D193:E193"/>
    <mergeCell ref="D175:E175"/>
    <mergeCell ref="D176:E176"/>
    <mergeCell ref="D177:E177"/>
    <mergeCell ref="D178:E178"/>
    <mergeCell ref="D179:E179"/>
    <mergeCell ref="D157:E157"/>
    <mergeCell ref="D159:E159"/>
    <mergeCell ref="D171:E171"/>
    <mergeCell ref="D173:E173"/>
    <mergeCell ref="D174:E174"/>
    <mergeCell ref="D150:E150"/>
    <mergeCell ref="D151:E151"/>
    <mergeCell ref="D152:E152"/>
    <mergeCell ref="D153:E153"/>
    <mergeCell ref="D155:E155"/>
    <mergeCell ref="D145:E145"/>
    <mergeCell ref="D146:E146"/>
    <mergeCell ref="D147:E147"/>
    <mergeCell ref="D148:E148"/>
    <mergeCell ref="D149:E149"/>
    <mergeCell ref="D140:E140"/>
    <mergeCell ref="D141:E141"/>
    <mergeCell ref="D142:E142"/>
    <mergeCell ref="D143:E143"/>
    <mergeCell ref="D144:E144"/>
    <mergeCell ref="D123:E123"/>
    <mergeCell ref="D125:E125"/>
    <mergeCell ref="D137:E137"/>
    <mergeCell ref="D138:E138"/>
    <mergeCell ref="D139:E139"/>
    <mergeCell ref="D114:E114"/>
    <mergeCell ref="D116:E116"/>
    <mergeCell ref="D118:E118"/>
    <mergeCell ref="D120:E120"/>
    <mergeCell ref="D99:E99"/>
    <mergeCell ref="D104:E104"/>
    <mergeCell ref="D108:E108"/>
    <mergeCell ref="D110:E110"/>
    <mergeCell ref="D112:E112"/>
    <mergeCell ref="D96:E96"/>
    <mergeCell ref="D97:E97"/>
    <mergeCell ref="D98:E98"/>
    <mergeCell ref="D87:N87"/>
    <mergeCell ref="D89:E89"/>
    <mergeCell ref="D90:E90"/>
    <mergeCell ref="D91:E91"/>
    <mergeCell ref="D92:E92"/>
    <mergeCell ref="D113:E113"/>
    <mergeCell ref="D75:E75"/>
    <mergeCell ref="D86:E86"/>
    <mergeCell ref="D14:E14"/>
    <mergeCell ref="D26:E26"/>
    <mergeCell ref="D38:E38"/>
    <mergeCell ref="D50:E50"/>
    <mergeCell ref="D51:E51"/>
    <mergeCell ref="D94:E94"/>
    <mergeCell ref="D95:E95"/>
    <mergeCell ref="D11:E11"/>
    <mergeCell ref="D12:E12"/>
    <mergeCell ref="D13:E13"/>
    <mergeCell ref="D10:E10"/>
    <mergeCell ref="D8:E9"/>
    <mergeCell ref="I10:J10"/>
    <mergeCell ref="D61:E61"/>
    <mergeCell ref="D63:E63"/>
    <mergeCell ref="D65:E65"/>
    <mergeCell ref="A1:N1"/>
    <mergeCell ref="A2:C3"/>
    <mergeCell ref="A4:C5"/>
    <mergeCell ref="A6:C7"/>
    <mergeCell ref="A8:C9"/>
    <mergeCell ref="F2:G3"/>
    <mergeCell ref="F4:G5"/>
    <mergeCell ref="F6:G7"/>
    <mergeCell ref="F8:G9"/>
    <mergeCell ref="D2:E3"/>
    <mergeCell ref="D4:E5"/>
    <mergeCell ref="D6:E7"/>
    <mergeCell ref="K2:K3"/>
    <mergeCell ref="K4:K5"/>
    <mergeCell ref="K6:K7"/>
    <mergeCell ref="K8:K9"/>
    <mergeCell ref="L10:M10"/>
    <mergeCell ref="L2:N3"/>
    <mergeCell ref="L4:N5"/>
    <mergeCell ref="L6:N7"/>
    <mergeCell ref="L8:N9"/>
    <mergeCell ref="H2:J3"/>
    <mergeCell ref="H4:J5"/>
    <mergeCell ref="H6:J7"/>
    <mergeCell ref="H8:J9"/>
  </mergeCells>
  <pageMargins left="0.393999993801117" right="0.393999993801117" top="0.59100002050399802" bottom="0.59100002050399802" header="0" footer="0"/>
  <pageSetup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Stavební rozpočet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2021-06-10T20:06:38Z</dcterms:created>
  <dcterms:modified xsi:type="dcterms:W3CDTF">2024-10-22T12:12:15Z</dcterms:modified>
</cp:coreProperties>
</file>