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salcburgerova\Desktop\Revitalizace městských bytů v Šumperku\E_Rozpočet\"/>
    </mc:Choice>
  </mc:AlternateContent>
  <xr:revisionPtr revIDLastSave="0" documentId="13_ncr:1_{0C1DBACF-E51B-4D17-AB71-9F10E7E77B97}" xr6:coauthVersionLast="47" xr6:coauthVersionMax="47" xr10:uidLastSave="{00000000-0000-0000-0000-000000000000}"/>
  <bookViews>
    <workbookView xWindow="1470" yWindow="1470" windowWidth="25110" windowHeight="11850" activeTab="1" xr2:uid="{00000000-000D-0000-FFFF-FFFF00000000}"/>
  </bookViews>
  <sheets>
    <sheet name="Krycí list rozpočtu" sheetId="3" r:id="rId1"/>
    <sheet name="Stavební rozpočet" sheetId="1" r:id="rId2"/>
    <sheet name="Výkaz výměr" sheetId="2" r:id="rId3"/>
    <sheet name="Výpis materiálu elektro" sheetId="5" r:id="rId4"/>
    <sheet name="VORN" sheetId="4" state="hidden" r:id="rId5"/>
  </sheets>
  <definedNames>
    <definedName name="vorn_sum">VORN!$I$36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4" l="1"/>
  <c r="I24" i="3" s="1"/>
  <c r="I35" i="4"/>
  <c r="I26" i="4"/>
  <c r="I25" i="4"/>
  <c r="I24" i="4"/>
  <c r="I23" i="4"/>
  <c r="I22" i="4"/>
  <c r="I21" i="4"/>
  <c r="I17" i="4"/>
  <c r="I16" i="4"/>
  <c r="I15" i="4"/>
  <c r="I18" i="4" s="1"/>
  <c r="I10" i="4"/>
  <c r="F10" i="4"/>
  <c r="C10" i="4"/>
  <c r="F8" i="4"/>
  <c r="C8" i="4"/>
  <c r="F6" i="4"/>
  <c r="C6" i="4"/>
  <c r="F4" i="4"/>
  <c r="C4" i="4"/>
  <c r="F2" i="4"/>
  <c r="C2" i="4"/>
  <c r="I19" i="3"/>
  <c r="I18" i="3"/>
  <c r="I17" i="3"/>
  <c r="I16" i="3"/>
  <c r="F16" i="3"/>
  <c r="I15" i="3"/>
  <c r="F15" i="3"/>
  <c r="I14" i="3"/>
  <c r="F14" i="3"/>
  <c r="F22" i="3" s="1"/>
  <c r="I10" i="3"/>
  <c r="F10" i="3"/>
  <c r="C10" i="3"/>
  <c r="F8" i="3"/>
  <c r="C8" i="3"/>
  <c r="F6" i="3"/>
  <c r="C6" i="3"/>
  <c r="F4" i="3"/>
  <c r="C4" i="3"/>
  <c r="F2" i="3"/>
  <c r="C2" i="3"/>
  <c r="F8" i="2"/>
  <c r="C8" i="2"/>
  <c r="F6" i="2"/>
  <c r="C6" i="2"/>
  <c r="F4" i="2"/>
  <c r="C4" i="2"/>
  <c r="F2" i="2"/>
  <c r="C2" i="2"/>
  <c r="BJ339" i="1"/>
  <c r="BI339" i="1"/>
  <c r="BF339" i="1"/>
  <c r="BD339" i="1"/>
  <c r="AP339" i="1"/>
  <c r="AX339" i="1" s="1"/>
  <c r="AO339" i="1"/>
  <c r="BH339" i="1" s="1"/>
  <c r="AL339" i="1"/>
  <c r="AK339" i="1"/>
  <c r="AJ339" i="1"/>
  <c r="AH339" i="1"/>
  <c r="AG339" i="1"/>
  <c r="AF339" i="1"/>
  <c r="AE339" i="1"/>
  <c r="AD339" i="1"/>
  <c r="AC339" i="1"/>
  <c r="AB339" i="1"/>
  <c r="Z339" i="1"/>
  <c r="J339" i="1"/>
  <c r="I339" i="1"/>
  <c r="H339" i="1"/>
  <c r="BJ337" i="1"/>
  <c r="BI337" i="1"/>
  <c r="BF337" i="1"/>
  <c r="BD337" i="1"/>
  <c r="AX337" i="1"/>
  <c r="AP337" i="1"/>
  <c r="AO337" i="1"/>
  <c r="H337" i="1" s="1"/>
  <c r="AL337" i="1"/>
  <c r="AJ337" i="1"/>
  <c r="AH337" i="1"/>
  <c r="AG337" i="1"/>
  <c r="AE337" i="1"/>
  <c r="AD337" i="1"/>
  <c r="AC337" i="1"/>
  <c r="AB337" i="1"/>
  <c r="Z337" i="1"/>
  <c r="J337" i="1"/>
  <c r="AK337" i="1" s="1"/>
  <c r="I337" i="1"/>
  <c r="BJ335" i="1"/>
  <c r="BF335" i="1"/>
  <c r="BD335" i="1"/>
  <c r="AP335" i="1"/>
  <c r="BI335" i="1" s="1"/>
  <c r="AG335" i="1" s="1"/>
  <c r="AO335" i="1"/>
  <c r="H335" i="1" s="1"/>
  <c r="AL335" i="1"/>
  <c r="AJ335" i="1"/>
  <c r="AH335" i="1"/>
  <c r="AE335" i="1"/>
  <c r="AD335" i="1"/>
  <c r="AC335" i="1"/>
  <c r="AB335" i="1"/>
  <c r="Z335" i="1"/>
  <c r="J335" i="1"/>
  <c r="AK335" i="1" s="1"/>
  <c r="I335" i="1"/>
  <c r="BJ333" i="1"/>
  <c r="BF333" i="1"/>
  <c r="BD333" i="1"/>
  <c r="AP333" i="1"/>
  <c r="BI333" i="1" s="1"/>
  <c r="AG333" i="1" s="1"/>
  <c r="AO333" i="1"/>
  <c r="AW333" i="1" s="1"/>
  <c r="AL333" i="1"/>
  <c r="AU318" i="1" s="1"/>
  <c r="AJ333" i="1"/>
  <c r="AH333" i="1"/>
  <c r="AE333" i="1"/>
  <c r="AD333" i="1"/>
  <c r="AC333" i="1"/>
  <c r="AB333" i="1"/>
  <c r="Z333" i="1"/>
  <c r="J333" i="1"/>
  <c r="AK333" i="1" s="1"/>
  <c r="I333" i="1"/>
  <c r="BJ331" i="1"/>
  <c r="BF331" i="1"/>
  <c r="BD331" i="1"/>
  <c r="AP331" i="1"/>
  <c r="AX331" i="1" s="1"/>
  <c r="AO331" i="1"/>
  <c r="AL331" i="1"/>
  <c r="AJ331" i="1"/>
  <c r="AH331" i="1"/>
  <c r="AE331" i="1"/>
  <c r="AD331" i="1"/>
  <c r="AC331" i="1"/>
  <c r="AB331" i="1"/>
  <c r="Z331" i="1"/>
  <c r="J331" i="1"/>
  <c r="AK331" i="1" s="1"/>
  <c r="BJ329" i="1"/>
  <c r="BF329" i="1"/>
  <c r="BD329" i="1"/>
  <c r="AW329" i="1"/>
  <c r="AP329" i="1"/>
  <c r="AO329" i="1"/>
  <c r="H329" i="1" s="1"/>
  <c r="AL329" i="1"/>
  <c r="AJ329" i="1"/>
  <c r="AH329" i="1"/>
  <c r="AE329" i="1"/>
  <c r="AD329" i="1"/>
  <c r="AC329" i="1"/>
  <c r="AB329" i="1"/>
  <c r="Z329" i="1"/>
  <c r="J329" i="1"/>
  <c r="AK329" i="1" s="1"/>
  <c r="BJ327" i="1"/>
  <c r="BF327" i="1"/>
  <c r="BD327" i="1"/>
  <c r="AX327" i="1"/>
  <c r="AW327" i="1"/>
  <c r="BC327" i="1" s="1"/>
  <c r="AV327" i="1"/>
  <c r="AP327" i="1"/>
  <c r="BI327" i="1" s="1"/>
  <c r="AG327" i="1" s="1"/>
  <c r="AO327" i="1"/>
  <c r="H327" i="1" s="1"/>
  <c r="AL327" i="1"/>
  <c r="AJ327" i="1"/>
  <c r="AH327" i="1"/>
  <c r="AE327" i="1"/>
  <c r="AD327" i="1"/>
  <c r="AC327" i="1"/>
  <c r="AB327" i="1"/>
  <c r="Z327" i="1"/>
  <c r="J327" i="1"/>
  <c r="AK327" i="1" s="1"/>
  <c r="I327" i="1"/>
  <c r="BJ325" i="1"/>
  <c r="BF325" i="1"/>
  <c r="BD325" i="1"/>
  <c r="AX325" i="1"/>
  <c r="AW325" i="1"/>
  <c r="AP325" i="1"/>
  <c r="BI325" i="1" s="1"/>
  <c r="AG325" i="1" s="1"/>
  <c r="AO325" i="1"/>
  <c r="H325" i="1" s="1"/>
  <c r="AL325" i="1"/>
  <c r="AJ325" i="1"/>
  <c r="AH325" i="1"/>
  <c r="AE325" i="1"/>
  <c r="AD325" i="1"/>
  <c r="AC325" i="1"/>
  <c r="AB325" i="1"/>
  <c r="Z325" i="1"/>
  <c r="J325" i="1"/>
  <c r="AK325" i="1" s="1"/>
  <c r="I325" i="1"/>
  <c r="BJ323" i="1"/>
  <c r="BF323" i="1"/>
  <c r="BD323" i="1"/>
  <c r="AX323" i="1"/>
  <c r="AW323" i="1"/>
  <c r="BC323" i="1" s="1"/>
  <c r="AP323" i="1"/>
  <c r="I323" i="1" s="1"/>
  <c r="AO323" i="1"/>
  <c r="BH323" i="1" s="1"/>
  <c r="AF323" i="1" s="1"/>
  <c r="AL323" i="1"/>
  <c r="AJ323" i="1"/>
  <c r="AH323" i="1"/>
  <c r="AE323" i="1"/>
  <c r="AD323" i="1"/>
  <c r="AC323" i="1"/>
  <c r="AB323" i="1"/>
  <c r="Z323" i="1"/>
  <c r="J323" i="1"/>
  <c r="AK323" i="1" s="1"/>
  <c r="BJ321" i="1"/>
  <c r="BH321" i="1"/>
  <c r="BF321" i="1"/>
  <c r="BD321" i="1"/>
  <c r="BC321" i="1"/>
  <c r="AX321" i="1"/>
  <c r="AV321" i="1" s="1"/>
  <c r="AW321" i="1"/>
  <c r="AP321" i="1"/>
  <c r="BI321" i="1" s="1"/>
  <c r="AG321" i="1" s="1"/>
  <c r="AO321" i="1"/>
  <c r="H321" i="1" s="1"/>
  <c r="AL321" i="1"/>
  <c r="AJ321" i="1"/>
  <c r="AH321" i="1"/>
  <c r="AF321" i="1"/>
  <c r="AE321" i="1"/>
  <c r="AD321" i="1"/>
  <c r="AC321" i="1"/>
  <c r="AB321" i="1"/>
  <c r="Z321" i="1"/>
  <c r="J321" i="1"/>
  <c r="AK321" i="1" s="1"/>
  <c r="BJ319" i="1"/>
  <c r="BI319" i="1"/>
  <c r="BH319" i="1"/>
  <c r="BF319" i="1"/>
  <c r="BD319" i="1"/>
  <c r="BC319" i="1"/>
  <c r="AX319" i="1"/>
  <c r="AW319" i="1"/>
  <c r="AV319" i="1" s="1"/>
  <c r="AP319" i="1"/>
  <c r="I319" i="1" s="1"/>
  <c r="AO319" i="1"/>
  <c r="H319" i="1" s="1"/>
  <c r="AL319" i="1"/>
  <c r="AJ319" i="1"/>
  <c r="AH319" i="1"/>
  <c r="AG319" i="1"/>
  <c r="AF319" i="1"/>
  <c r="AE319" i="1"/>
  <c r="AD319" i="1"/>
  <c r="AC319" i="1"/>
  <c r="AB319" i="1"/>
  <c r="Z319" i="1"/>
  <c r="J319" i="1"/>
  <c r="AK319" i="1" s="1"/>
  <c r="AS318" i="1"/>
  <c r="J318" i="1"/>
  <c r="BJ317" i="1"/>
  <c r="BF317" i="1"/>
  <c r="BD317" i="1"/>
  <c r="AW317" i="1"/>
  <c r="AP317" i="1"/>
  <c r="AO317" i="1"/>
  <c r="H317" i="1" s="1"/>
  <c r="AL317" i="1"/>
  <c r="AJ317" i="1"/>
  <c r="AH317" i="1"/>
  <c r="AG317" i="1"/>
  <c r="AF317" i="1"/>
  <c r="AE317" i="1"/>
  <c r="AD317" i="1"/>
  <c r="AC317" i="1"/>
  <c r="AB317" i="1"/>
  <c r="Z317" i="1"/>
  <c r="J317" i="1"/>
  <c r="AK317" i="1" s="1"/>
  <c r="BJ316" i="1"/>
  <c r="BF316" i="1"/>
  <c r="BD316" i="1"/>
  <c r="AX316" i="1"/>
  <c r="AW316" i="1"/>
  <c r="BC316" i="1" s="1"/>
  <c r="AV316" i="1"/>
  <c r="AP316" i="1"/>
  <c r="I316" i="1" s="1"/>
  <c r="AO316" i="1"/>
  <c r="BH316" i="1" s="1"/>
  <c r="AF316" i="1" s="1"/>
  <c r="AL316" i="1"/>
  <c r="AJ316" i="1"/>
  <c r="AH316" i="1"/>
  <c r="AE316" i="1"/>
  <c r="AD316" i="1"/>
  <c r="AC316" i="1"/>
  <c r="AB316" i="1"/>
  <c r="Z316" i="1"/>
  <c r="J316" i="1"/>
  <c r="AK316" i="1" s="1"/>
  <c r="H316" i="1"/>
  <c r="BJ315" i="1"/>
  <c r="BF315" i="1"/>
  <c r="BD315" i="1"/>
  <c r="AX315" i="1"/>
  <c r="AW315" i="1"/>
  <c r="AP315" i="1"/>
  <c r="BI315" i="1" s="1"/>
  <c r="AC315" i="1" s="1"/>
  <c r="AO315" i="1"/>
  <c r="H315" i="1" s="1"/>
  <c r="AL315" i="1"/>
  <c r="AJ315" i="1"/>
  <c r="AH315" i="1"/>
  <c r="AG315" i="1"/>
  <c r="AF315" i="1"/>
  <c r="AE315" i="1"/>
  <c r="AD315" i="1"/>
  <c r="Z315" i="1"/>
  <c r="J315" i="1"/>
  <c r="AK315" i="1" s="1"/>
  <c r="I315" i="1"/>
  <c r="BJ313" i="1"/>
  <c r="BF313" i="1"/>
  <c r="BD313" i="1"/>
  <c r="AX313" i="1"/>
  <c r="BC313" i="1" s="1"/>
  <c r="AW313" i="1"/>
  <c r="AV313" i="1" s="1"/>
  <c r="AP313" i="1"/>
  <c r="I313" i="1" s="1"/>
  <c r="AO313" i="1"/>
  <c r="BH313" i="1" s="1"/>
  <c r="AB313" i="1" s="1"/>
  <c r="AL313" i="1"/>
  <c r="AJ313" i="1"/>
  <c r="AH313" i="1"/>
  <c r="AG313" i="1"/>
  <c r="AF313" i="1"/>
  <c r="AE313" i="1"/>
  <c r="AD313" i="1"/>
  <c r="Z313" i="1"/>
  <c r="J313" i="1"/>
  <c r="AK313" i="1" s="1"/>
  <c r="BJ312" i="1"/>
  <c r="BH312" i="1"/>
  <c r="AB312" i="1" s="1"/>
  <c r="BF312" i="1"/>
  <c r="BD312" i="1"/>
  <c r="BC312" i="1"/>
  <c r="AX312" i="1"/>
  <c r="AV312" i="1" s="1"/>
  <c r="AW312" i="1"/>
  <c r="AP312" i="1"/>
  <c r="BI312" i="1" s="1"/>
  <c r="AC312" i="1" s="1"/>
  <c r="AO312" i="1"/>
  <c r="AL312" i="1"/>
  <c r="AJ312" i="1"/>
  <c r="AH312" i="1"/>
  <c r="AG312" i="1"/>
  <c r="AF312" i="1"/>
  <c r="AE312" i="1"/>
  <c r="AD312" i="1"/>
  <c r="Z312" i="1"/>
  <c r="J312" i="1"/>
  <c r="AK312" i="1" s="1"/>
  <c r="I312" i="1"/>
  <c r="H312" i="1"/>
  <c r="BJ311" i="1"/>
  <c r="BI311" i="1"/>
  <c r="AC311" i="1" s="1"/>
  <c r="BH311" i="1"/>
  <c r="AB311" i="1" s="1"/>
  <c r="BF311" i="1"/>
  <c r="BD311" i="1"/>
  <c r="BC311" i="1"/>
  <c r="AX311" i="1"/>
  <c r="AW311" i="1"/>
  <c r="AV311" i="1" s="1"/>
  <c r="AP311" i="1"/>
  <c r="AO311" i="1"/>
  <c r="H311" i="1" s="1"/>
  <c r="AL311" i="1"/>
  <c r="AJ311" i="1"/>
  <c r="AH311" i="1"/>
  <c r="AG311" i="1"/>
  <c r="AF311" i="1"/>
  <c r="AE311" i="1"/>
  <c r="AD311" i="1"/>
  <c r="Z311" i="1"/>
  <c r="J311" i="1"/>
  <c r="AK311" i="1" s="1"/>
  <c r="I311" i="1"/>
  <c r="BJ310" i="1"/>
  <c r="BI310" i="1"/>
  <c r="AC310" i="1" s="1"/>
  <c r="BH310" i="1"/>
  <c r="AB310" i="1" s="1"/>
  <c r="BF310" i="1"/>
  <c r="BD310" i="1"/>
  <c r="AX310" i="1"/>
  <c r="BC310" i="1" s="1"/>
  <c r="AW310" i="1"/>
  <c r="AV310" i="1" s="1"/>
  <c r="AP310" i="1"/>
  <c r="I310" i="1" s="1"/>
  <c r="AO310" i="1"/>
  <c r="AL310" i="1"/>
  <c r="AK310" i="1"/>
  <c r="AJ310" i="1"/>
  <c r="AH310" i="1"/>
  <c r="AG310" i="1"/>
  <c r="AF310" i="1"/>
  <c r="AE310" i="1"/>
  <c r="AD310" i="1"/>
  <c r="Z310" i="1"/>
  <c r="J310" i="1"/>
  <c r="H310" i="1"/>
  <c r="BJ309" i="1"/>
  <c r="BI309" i="1"/>
  <c r="AC309" i="1" s="1"/>
  <c r="BH309" i="1"/>
  <c r="AB309" i="1" s="1"/>
  <c r="BF309" i="1"/>
  <c r="BD309" i="1"/>
  <c r="BC309" i="1"/>
  <c r="AX309" i="1"/>
  <c r="AW309" i="1"/>
  <c r="AV309" i="1" s="1"/>
  <c r="AP309" i="1"/>
  <c r="AO309" i="1"/>
  <c r="AL309" i="1"/>
  <c r="AK309" i="1"/>
  <c r="AJ309" i="1"/>
  <c r="AH309" i="1"/>
  <c r="AG309" i="1"/>
  <c r="AF309" i="1"/>
  <c r="AE309" i="1"/>
  <c r="AD309" i="1"/>
  <c r="Z309" i="1"/>
  <c r="J309" i="1"/>
  <c r="I309" i="1"/>
  <c r="H309" i="1"/>
  <c r="BJ308" i="1"/>
  <c r="BI308" i="1"/>
  <c r="AC308" i="1" s="1"/>
  <c r="BF308" i="1"/>
  <c r="BD308" i="1"/>
  <c r="AX308" i="1"/>
  <c r="AP308" i="1"/>
  <c r="AO308" i="1"/>
  <c r="BH308" i="1" s="1"/>
  <c r="AB308" i="1" s="1"/>
  <c r="AL308" i="1"/>
  <c r="AJ308" i="1"/>
  <c r="AH308" i="1"/>
  <c r="AG308" i="1"/>
  <c r="AF308" i="1"/>
  <c r="AE308" i="1"/>
  <c r="AD308" i="1"/>
  <c r="Z308" i="1"/>
  <c r="J308" i="1"/>
  <c r="AK308" i="1" s="1"/>
  <c r="I308" i="1"/>
  <c r="H308" i="1"/>
  <c r="BJ307" i="1"/>
  <c r="BF307" i="1"/>
  <c r="BD307" i="1"/>
  <c r="AP307" i="1"/>
  <c r="BI307" i="1" s="1"/>
  <c r="AG307" i="1" s="1"/>
  <c r="AO307" i="1"/>
  <c r="BH307" i="1" s="1"/>
  <c r="AF307" i="1" s="1"/>
  <c r="AL307" i="1"/>
  <c r="AK307" i="1"/>
  <c r="AJ307" i="1"/>
  <c r="AH307" i="1"/>
  <c r="AE307" i="1"/>
  <c r="AD307" i="1"/>
  <c r="AC307" i="1"/>
  <c r="AB307" i="1"/>
  <c r="Z307" i="1"/>
  <c r="J307" i="1"/>
  <c r="I307" i="1"/>
  <c r="H307" i="1"/>
  <c r="BJ306" i="1"/>
  <c r="BF306" i="1"/>
  <c r="BD306" i="1"/>
  <c r="AP306" i="1"/>
  <c r="BI306" i="1" s="1"/>
  <c r="AC306" i="1" s="1"/>
  <c r="AO306" i="1"/>
  <c r="AW306" i="1" s="1"/>
  <c r="AL306" i="1"/>
  <c r="AJ306" i="1"/>
  <c r="AH306" i="1"/>
  <c r="AG306" i="1"/>
  <c r="AF306" i="1"/>
  <c r="AE306" i="1"/>
  <c r="AD306" i="1"/>
  <c r="Z306" i="1"/>
  <c r="J306" i="1"/>
  <c r="AK306" i="1" s="1"/>
  <c r="I306" i="1"/>
  <c r="H306" i="1"/>
  <c r="BJ305" i="1"/>
  <c r="BF305" i="1"/>
  <c r="BD305" i="1"/>
  <c r="AP305" i="1"/>
  <c r="AX305" i="1" s="1"/>
  <c r="AO305" i="1"/>
  <c r="AL305" i="1"/>
  <c r="AJ305" i="1"/>
  <c r="AH305" i="1"/>
  <c r="AE305" i="1"/>
  <c r="AD305" i="1"/>
  <c r="AC305" i="1"/>
  <c r="AB305" i="1"/>
  <c r="Z305" i="1"/>
  <c r="J305" i="1"/>
  <c r="AK305" i="1" s="1"/>
  <c r="I305" i="1"/>
  <c r="BJ304" i="1"/>
  <c r="BF304" i="1"/>
  <c r="BD304" i="1"/>
  <c r="AW304" i="1"/>
  <c r="AP304" i="1"/>
  <c r="AO304" i="1"/>
  <c r="H304" i="1" s="1"/>
  <c r="AL304" i="1"/>
  <c r="AJ304" i="1"/>
  <c r="AH304" i="1"/>
  <c r="AG304" i="1"/>
  <c r="AF304" i="1"/>
  <c r="AE304" i="1"/>
  <c r="AD304" i="1"/>
  <c r="Z304" i="1"/>
  <c r="J304" i="1"/>
  <c r="AK304" i="1" s="1"/>
  <c r="BJ303" i="1"/>
  <c r="BF303" i="1"/>
  <c r="BD303" i="1"/>
  <c r="AX303" i="1"/>
  <c r="AW303" i="1"/>
  <c r="BC303" i="1" s="1"/>
  <c r="AV303" i="1"/>
  <c r="AP303" i="1"/>
  <c r="I303" i="1" s="1"/>
  <c r="AO303" i="1"/>
  <c r="H303" i="1" s="1"/>
  <c r="AL303" i="1"/>
  <c r="AJ303" i="1"/>
  <c r="AH303" i="1"/>
  <c r="AG303" i="1"/>
  <c r="AF303" i="1"/>
  <c r="AE303" i="1"/>
  <c r="AD303" i="1"/>
  <c r="Z303" i="1"/>
  <c r="J303" i="1"/>
  <c r="AK303" i="1" s="1"/>
  <c r="BJ302" i="1"/>
  <c r="BF302" i="1"/>
  <c r="BD302" i="1"/>
  <c r="AX302" i="1"/>
  <c r="AW302" i="1"/>
  <c r="AP302" i="1"/>
  <c r="I302" i="1" s="1"/>
  <c r="AO302" i="1"/>
  <c r="H302" i="1" s="1"/>
  <c r="AL302" i="1"/>
  <c r="AJ302" i="1"/>
  <c r="AH302" i="1"/>
  <c r="AG302" i="1"/>
  <c r="AF302" i="1"/>
  <c r="AE302" i="1"/>
  <c r="AD302" i="1"/>
  <c r="Z302" i="1"/>
  <c r="J302" i="1"/>
  <c r="AK302" i="1" s="1"/>
  <c r="BJ301" i="1"/>
  <c r="BF301" i="1"/>
  <c r="BD301" i="1"/>
  <c r="AX301" i="1"/>
  <c r="AW301" i="1"/>
  <c r="BC301" i="1" s="1"/>
  <c r="AP301" i="1"/>
  <c r="I301" i="1" s="1"/>
  <c r="AO301" i="1"/>
  <c r="BH301" i="1" s="1"/>
  <c r="AB301" i="1" s="1"/>
  <c r="AL301" i="1"/>
  <c r="AK301" i="1"/>
  <c r="AJ301" i="1"/>
  <c r="AH301" i="1"/>
  <c r="AG301" i="1"/>
  <c r="AF301" i="1"/>
  <c r="AE301" i="1"/>
  <c r="AD301" i="1"/>
  <c r="Z301" i="1"/>
  <c r="J301" i="1"/>
  <c r="H301" i="1"/>
  <c r="BJ300" i="1"/>
  <c r="BH300" i="1"/>
  <c r="BF300" i="1"/>
  <c r="BD300" i="1"/>
  <c r="BC300" i="1"/>
  <c r="AX300" i="1"/>
  <c r="AW300" i="1"/>
  <c r="AV300" i="1" s="1"/>
  <c r="AP300" i="1"/>
  <c r="BI300" i="1" s="1"/>
  <c r="AG300" i="1" s="1"/>
  <c r="AO300" i="1"/>
  <c r="AL300" i="1"/>
  <c r="AJ300" i="1"/>
  <c r="AH300" i="1"/>
  <c r="AF300" i="1"/>
  <c r="AE300" i="1"/>
  <c r="AD300" i="1"/>
  <c r="AC300" i="1"/>
  <c r="AB300" i="1"/>
  <c r="Z300" i="1"/>
  <c r="J300" i="1"/>
  <c r="AK300" i="1" s="1"/>
  <c r="I300" i="1"/>
  <c r="H300" i="1"/>
  <c r="BJ299" i="1"/>
  <c r="BI299" i="1"/>
  <c r="AC299" i="1" s="1"/>
  <c r="BH299" i="1"/>
  <c r="AB299" i="1" s="1"/>
  <c r="BF299" i="1"/>
  <c r="BD299" i="1"/>
  <c r="BC299" i="1"/>
  <c r="AX299" i="1"/>
  <c r="AW299" i="1"/>
  <c r="AV299" i="1" s="1"/>
  <c r="AP299" i="1"/>
  <c r="AO299" i="1"/>
  <c r="H299" i="1" s="1"/>
  <c r="AL299" i="1"/>
  <c r="AJ299" i="1"/>
  <c r="AH299" i="1"/>
  <c r="AG299" i="1"/>
  <c r="AF299" i="1"/>
  <c r="AE299" i="1"/>
  <c r="AD299" i="1"/>
  <c r="Z299" i="1"/>
  <c r="J299" i="1"/>
  <c r="AK299" i="1" s="1"/>
  <c r="I299" i="1"/>
  <c r="BJ298" i="1"/>
  <c r="BI298" i="1"/>
  <c r="BH298" i="1"/>
  <c r="BF298" i="1"/>
  <c r="BD298" i="1"/>
  <c r="AX298" i="1"/>
  <c r="AP298" i="1"/>
  <c r="I298" i="1" s="1"/>
  <c r="AO298" i="1"/>
  <c r="AW298" i="1" s="1"/>
  <c r="AL298" i="1"/>
  <c r="AK298" i="1"/>
  <c r="AJ298" i="1"/>
  <c r="AH298" i="1"/>
  <c r="AG298" i="1"/>
  <c r="AF298" i="1"/>
  <c r="AE298" i="1"/>
  <c r="AD298" i="1"/>
  <c r="AC298" i="1"/>
  <c r="AB298" i="1"/>
  <c r="Z298" i="1"/>
  <c r="J298" i="1"/>
  <c r="H298" i="1"/>
  <c r="BJ296" i="1"/>
  <c r="BI296" i="1"/>
  <c r="BH296" i="1"/>
  <c r="AF296" i="1" s="1"/>
  <c r="BF296" i="1"/>
  <c r="BD296" i="1"/>
  <c r="AW296" i="1"/>
  <c r="AP296" i="1"/>
  <c r="AX296" i="1" s="1"/>
  <c r="BC296" i="1" s="1"/>
  <c r="AO296" i="1"/>
  <c r="AL296" i="1"/>
  <c r="AK296" i="1"/>
  <c r="AJ296" i="1"/>
  <c r="AH296" i="1"/>
  <c r="AG296" i="1"/>
  <c r="AE296" i="1"/>
  <c r="AD296" i="1"/>
  <c r="AC296" i="1"/>
  <c r="AB296" i="1"/>
  <c r="Z296" i="1"/>
  <c r="J296" i="1"/>
  <c r="I296" i="1"/>
  <c r="H296" i="1"/>
  <c r="BJ294" i="1"/>
  <c r="BI294" i="1"/>
  <c r="AG294" i="1" s="1"/>
  <c r="BH294" i="1"/>
  <c r="AF294" i="1" s="1"/>
  <c r="BF294" i="1"/>
  <c r="BD294" i="1"/>
  <c r="AX294" i="1"/>
  <c r="AP294" i="1"/>
  <c r="AO294" i="1"/>
  <c r="AW294" i="1" s="1"/>
  <c r="AL294" i="1"/>
  <c r="AK294" i="1"/>
  <c r="AJ294" i="1"/>
  <c r="AH294" i="1"/>
  <c r="AE294" i="1"/>
  <c r="AD294" i="1"/>
  <c r="AC294" i="1"/>
  <c r="AB294" i="1"/>
  <c r="Z294" i="1"/>
  <c r="J294" i="1"/>
  <c r="I294" i="1"/>
  <c r="H294" i="1"/>
  <c r="BJ292" i="1"/>
  <c r="BI292" i="1"/>
  <c r="AG292" i="1" s="1"/>
  <c r="BF292" i="1"/>
  <c r="BD292" i="1"/>
  <c r="AP292" i="1"/>
  <c r="AX292" i="1" s="1"/>
  <c r="AO292" i="1"/>
  <c r="BH292" i="1" s="1"/>
  <c r="AF292" i="1" s="1"/>
  <c r="AL292" i="1"/>
  <c r="AK292" i="1"/>
  <c r="AJ292" i="1"/>
  <c r="AH292" i="1"/>
  <c r="AE292" i="1"/>
  <c r="AD292" i="1"/>
  <c r="AC292" i="1"/>
  <c r="AB292" i="1"/>
  <c r="Z292" i="1"/>
  <c r="J292" i="1"/>
  <c r="I292" i="1"/>
  <c r="H292" i="1"/>
  <c r="BJ291" i="1"/>
  <c r="BF291" i="1"/>
  <c r="BD291" i="1"/>
  <c r="AP291" i="1"/>
  <c r="BI291" i="1" s="1"/>
  <c r="AC291" i="1" s="1"/>
  <c r="AO291" i="1"/>
  <c r="AW291" i="1" s="1"/>
  <c r="AL291" i="1"/>
  <c r="AK291" i="1"/>
  <c r="AJ291" i="1"/>
  <c r="AH291" i="1"/>
  <c r="AG291" i="1"/>
  <c r="AF291" i="1"/>
  <c r="AE291" i="1"/>
  <c r="AD291" i="1"/>
  <c r="Z291" i="1"/>
  <c r="J291" i="1"/>
  <c r="I291" i="1"/>
  <c r="H291" i="1"/>
  <c r="BJ290" i="1"/>
  <c r="BF290" i="1"/>
  <c r="BD290" i="1"/>
  <c r="AP290" i="1"/>
  <c r="AX290" i="1" s="1"/>
  <c r="AO290" i="1"/>
  <c r="AL290" i="1"/>
  <c r="AJ290" i="1"/>
  <c r="AH290" i="1"/>
  <c r="AG290" i="1"/>
  <c r="AF290" i="1"/>
  <c r="AE290" i="1"/>
  <c r="AD290" i="1"/>
  <c r="Z290" i="1"/>
  <c r="J290" i="1"/>
  <c r="AK290" i="1" s="1"/>
  <c r="I290" i="1"/>
  <c r="BJ289" i="1"/>
  <c r="BF289" i="1"/>
  <c r="BD289" i="1"/>
  <c r="AP289" i="1"/>
  <c r="AO289" i="1"/>
  <c r="AW289" i="1" s="1"/>
  <c r="AL289" i="1"/>
  <c r="AJ289" i="1"/>
  <c r="AH289" i="1"/>
  <c r="AG289" i="1"/>
  <c r="AF289" i="1"/>
  <c r="AE289" i="1"/>
  <c r="AD289" i="1"/>
  <c r="Z289" i="1"/>
  <c r="J289" i="1"/>
  <c r="AK289" i="1" s="1"/>
  <c r="BJ288" i="1"/>
  <c r="BF288" i="1"/>
  <c r="BD288" i="1"/>
  <c r="AX288" i="1"/>
  <c r="AW288" i="1"/>
  <c r="BC288" i="1" s="1"/>
  <c r="AV288" i="1"/>
  <c r="AP288" i="1"/>
  <c r="I288" i="1" s="1"/>
  <c r="AO288" i="1"/>
  <c r="H288" i="1" s="1"/>
  <c r="AL288" i="1"/>
  <c r="AJ288" i="1"/>
  <c r="AH288" i="1"/>
  <c r="AG288" i="1"/>
  <c r="AF288" i="1"/>
  <c r="AE288" i="1"/>
  <c r="AD288" i="1"/>
  <c r="Z288" i="1"/>
  <c r="J288" i="1"/>
  <c r="AK288" i="1" s="1"/>
  <c r="BJ287" i="1"/>
  <c r="BF287" i="1"/>
  <c r="BD287" i="1"/>
  <c r="AX287" i="1"/>
  <c r="AW287" i="1"/>
  <c r="AP287" i="1"/>
  <c r="I287" i="1" s="1"/>
  <c r="AO287" i="1"/>
  <c r="H287" i="1" s="1"/>
  <c r="AL287" i="1"/>
  <c r="AJ287" i="1"/>
  <c r="AH287" i="1"/>
  <c r="AE287" i="1"/>
  <c r="AD287" i="1"/>
  <c r="AC287" i="1"/>
  <c r="AB287" i="1"/>
  <c r="Z287" i="1"/>
  <c r="J287" i="1"/>
  <c r="AK287" i="1" s="1"/>
  <c r="BJ286" i="1"/>
  <c r="BF286" i="1"/>
  <c r="BD286" i="1"/>
  <c r="AX286" i="1"/>
  <c r="AW286" i="1"/>
  <c r="AP286" i="1"/>
  <c r="I286" i="1" s="1"/>
  <c r="AO286" i="1"/>
  <c r="BH286" i="1" s="1"/>
  <c r="AB286" i="1" s="1"/>
  <c r="AL286" i="1"/>
  <c r="AK286" i="1"/>
  <c r="AJ286" i="1"/>
  <c r="AH286" i="1"/>
  <c r="AG286" i="1"/>
  <c r="AF286" i="1"/>
  <c r="AE286" i="1"/>
  <c r="AD286" i="1"/>
  <c r="Z286" i="1"/>
  <c r="J286" i="1"/>
  <c r="H286" i="1"/>
  <c r="BJ285" i="1"/>
  <c r="BH285" i="1"/>
  <c r="BF285" i="1"/>
  <c r="BD285" i="1"/>
  <c r="BC285" i="1"/>
  <c r="AX285" i="1"/>
  <c r="AW285" i="1"/>
  <c r="AV285" i="1" s="1"/>
  <c r="AP285" i="1"/>
  <c r="BI285" i="1" s="1"/>
  <c r="AG285" i="1" s="1"/>
  <c r="AO285" i="1"/>
  <c r="AL285" i="1"/>
  <c r="AJ285" i="1"/>
  <c r="AH285" i="1"/>
  <c r="AF285" i="1"/>
  <c r="AE285" i="1"/>
  <c r="AD285" i="1"/>
  <c r="AC285" i="1"/>
  <c r="AB285" i="1"/>
  <c r="Z285" i="1"/>
  <c r="J285" i="1"/>
  <c r="AK285" i="1" s="1"/>
  <c r="I285" i="1"/>
  <c r="H285" i="1"/>
  <c r="BJ284" i="1"/>
  <c r="BI284" i="1"/>
  <c r="AC284" i="1" s="1"/>
  <c r="BH284" i="1"/>
  <c r="AB284" i="1" s="1"/>
  <c r="BF284" i="1"/>
  <c r="BD284" i="1"/>
  <c r="BC284" i="1"/>
  <c r="AX284" i="1"/>
  <c r="AW284" i="1"/>
  <c r="AV284" i="1" s="1"/>
  <c r="AP284" i="1"/>
  <c r="AO284" i="1"/>
  <c r="H284" i="1" s="1"/>
  <c r="AL284" i="1"/>
  <c r="AJ284" i="1"/>
  <c r="AH284" i="1"/>
  <c r="AG284" i="1"/>
  <c r="AF284" i="1"/>
  <c r="AE284" i="1"/>
  <c r="AD284" i="1"/>
  <c r="Z284" i="1"/>
  <c r="J284" i="1"/>
  <c r="AK284" i="1" s="1"/>
  <c r="I284" i="1"/>
  <c r="BJ283" i="1"/>
  <c r="BI283" i="1"/>
  <c r="BH283" i="1"/>
  <c r="BF283" i="1"/>
  <c r="BD283" i="1"/>
  <c r="AX283" i="1"/>
  <c r="AP283" i="1"/>
  <c r="I283" i="1" s="1"/>
  <c r="AO283" i="1"/>
  <c r="AW283" i="1" s="1"/>
  <c r="AL283" i="1"/>
  <c r="AK283" i="1"/>
  <c r="AJ283" i="1"/>
  <c r="AH283" i="1"/>
  <c r="AG283" i="1"/>
  <c r="AF283" i="1"/>
  <c r="AE283" i="1"/>
  <c r="AD283" i="1"/>
  <c r="AC283" i="1"/>
  <c r="AB283" i="1"/>
  <c r="Z283" i="1"/>
  <c r="J283" i="1"/>
  <c r="H283" i="1"/>
  <c r="BJ282" i="1"/>
  <c r="BI282" i="1"/>
  <c r="AC282" i="1" s="1"/>
  <c r="BH282" i="1"/>
  <c r="AB282" i="1" s="1"/>
  <c r="BF282" i="1"/>
  <c r="BD282" i="1"/>
  <c r="AW282" i="1"/>
  <c r="AP282" i="1"/>
  <c r="AX282" i="1" s="1"/>
  <c r="AO282" i="1"/>
  <c r="AL282" i="1"/>
  <c r="AK282" i="1"/>
  <c r="AJ282" i="1"/>
  <c r="AH282" i="1"/>
  <c r="AG282" i="1"/>
  <c r="AF282" i="1"/>
  <c r="AE282" i="1"/>
  <c r="AD282" i="1"/>
  <c r="Z282" i="1"/>
  <c r="J282" i="1"/>
  <c r="I282" i="1"/>
  <c r="H282" i="1"/>
  <c r="BJ281" i="1"/>
  <c r="BI281" i="1"/>
  <c r="AG281" i="1" s="1"/>
  <c r="BH281" i="1"/>
  <c r="AF281" i="1" s="1"/>
  <c r="BF281" i="1"/>
  <c r="BD281" i="1"/>
  <c r="AX281" i="1"/>
  <c r="AP281" i="1"/>
  <c r="AO281" i="1"/>
  <c r="AW281" i="1" s="1"/>
  <c r="AL281" i="1"/>
  <c r="AJ281" i="1"/>
  <c r="AH281" i="1"/>
  <c r="AE281" i="1"/>
  <c r="AD281" i="1"/>
  <c r="AC281" i="1"/>
  <c r="AB281" i="1"/>
  <c r="Z281" i="1"/>
  <c r="J281" i="1"/>
  <c r="AK281" i="1" s="1"/>
  <c r="I281" i="1"/>
  <c r="H281" i="1"/>
  <c r="BJ280" i="1"/>
  <c r="BI280" i="1"/>
  <c r="AG280" i="1" s="1"/>
  <c r="BF280" i="1"/>
  <c r="BD280" i="1"/>
  <c r="AP280" i="1"/>
  <c r="I280" i="1" s="1"/>
  <c r="AO280" i="1"/>
  <c r="BH280" i="1" s="1"/>
  <c r="AF280" i="1" s="1"/>
  <c r="AL280" i="1"/>
  <c r="AK280" i="1"/>
  <c r="AJ280" i="1"/>
  <c r="AH280" i="1"/>
  <c r="AE280" i="1"/>
  <c r="AD280" i="1"/>
  <c r="AC280" i="1"/>
  <c r="AB280" i="1"/>
  <c r="Z280" i="1"/>
  <c r="J280" i="1"/>
  <c r="J279" i="1" s="1"/>
  <c r="H280" i="1"/>
  <c r="BJ278" i="1"/>
  <c r="BH278" i="1"/>
  <c r="BF278" i="1"/>
  <c r="BD278" i="1"/>
  <c r="BC278" i="1"/>
  <c r="AX278" i="1"/>
  <c r="AV278" i="1" s="1"/>
  <c r="AW278" i="1"/>
  <c r="AP278" i="1"/>
  <c r="BI278" i="1" s="1"/>
  <c r="AO278" i="1"/>
  <c r="AL278" i="1"/>
  <c r="AJ278" i="1"/>
  <c r="AH278" i="1"/>
  <c r="AG278" i="1"/>
  <c r="AF278" i="1"/>
  <c r="AE278" i="1"/>
  <c r="AD278" i="1"/>
  <c r="AC278" i="1"/>
  <c r="AB278" i="1"/>
  <c r="Z278" i="1"/>
  <c r="J278" i="1"/>
  <c r="AK278" i="1" s="1"/>
  <c r="I278" i="1"/>
  <c r="H278" i="1"/>
  <c r="BJ276" i="1"/>
  <c r="BI276" i="1"/>
  <c r="BH276" i="1"/>
  <c r="AD276" i="1" s="1"/>
  <c r="BF276" i="1"/>
  <c r="BD276" i="1"/>
  <c r="BC276" i="1"/>
  <c r="AX276" i="1"/>
  <c r="AW276" i="1"/>
  <c r="AV276" i="1" s="1"/>
  <c r="AP276" i="1"/>
  <c r="AO276" i="1"/>
  <c r="H276" i="1" s="1"/>
  <c r="H275" i="1" s="1"/>
  <c r="AL276" i="1"/>
  <c r="AJ276" i="1"/>
  <c r="AH276" i="1"/>
  <c r="AG276" i="1"/>
  <c r="AF276" i="1"/>
  <c r="AE276" i="1"/>
  <c r="AC276" i="1"/>
  <c r="AB276" i="1"/>
  <c r="Z276" i="1"/>
  <c r="J276" i="1"/>
  <c r="AK276" i="1" s="1"/>
  <c r="I276" i="1"/>
  <c r="AU275" i="1"/>
  <c r="AS275" i="1"/>
  <c r="J275" i="1"/>
  <c r="I275" i="1"/>
  <c r="BJ274" i="1"/>
  <c r="BF274" i="1"/>
  <c r="BD274" i="1"/>
  <c r="AP274" i="1"/>
  <c r="AO274" i="1"/>
  <c r="AW274" i="1" s="1"/>
  <c r="AL274" i="1"/>
  <c r="AJ274" i="1"/>
  <c r="AH274" i="1"/>
  <c r="AG274" i="1"/>
  <c r="AF274" i="1"/>
  <c r="AC274" i="1"/>
  <c r="AB274" i="1"/>
  <c r="Z274" i="1"/>
  <c r="J274" i="1"/>
  <c r="AK274" i="1" s="1"/>
  <c r="BJ272" i="1"/>
  <c r="BF272" i="1"/>
  <c r="BD272" i="1"/>
  <c r="AW272" i="1"/>
  <c r="AP272" i="1"/>
  <c r="AX272" i="1" s="1"/>
  <c r="AV272" i="1" s="1"/>
  <c r="AO272" i="1"/>
  <c r="H272" i="1" s="1"/>
  <c r="AL272" i="1"/>
  <c r="AJ272" i="1"/>
  <c r="AH272" i="1"/>
  <c r="AG272" i="1"/>
  <c r="AF272" i="1"/>
  <c r="AC272" i="1"/>
  <c r="AB272" i="1"/>
  <c r="Z272" i="1"/>
  <c r="J272" i="1"/>
  <c r="AK272" i="1" s="1"/>
  <c r="BJ271" i="1"/>
  <c r="BF271" i="1"/>
  <c r="BD271" i="1"/>
  <c r="AX271" i="1"/>
  <c r="AW271" i="1"/>
  <c r="AP271" i="1"/>
  <c r="I271" i="1" s="1"/>
  <c r="AO271" i="1"/>
  <c r="H271" i="1" s="1"/>
  <c r="AL271" i="1"/>
  <c r="AJ271" i="1"/>
  <c r="AH271" i="1"/>
  <c r="AG271" i="1"/>
  <c r="AF271" i="1"/>
  <c r="AC271" i="1"/>
  <c r="AB271" i="1"/>
  <c r="Z271" i="1"/>
  <c r="J271" i="1"/>
  <c r="AK271" i="1" s="1"/>
  <c r="BJ269" i="1"/>
  <c r="BF269" i="1"/>
  <c r="BD269" i="1"/>
  <c r="AX269" i="1"/>
  <c r="AW269" i="1"/>
  <c r="AP269" i="1"/>
  <c r="I269" i="1" s="1"/>
  <c r="AO269" i="1"/>
  <c r="BH269" i="1" s="1"/>
  <c r="AL269" i="1"/>
  <c r="AK269" i="1"/>
  <c r="AJ269" i="1"/>
  <c r="AH269" i="1"/>
  <c r="AG269" i="1"/>
  <c r="AF269" i="1"/>
  <c r="AD269" i="1"/>
  <c r="AC269" i="1"/>
  <c r="AB269" i="1"/>
  <c r="Z269" i="1"/>
  <c r="J269" i="1"/>
  <c r="H269" i="1"/>
  <c r="AU268" i="1"/>
  <c r="AS268" i="1"/>
  <c r="J268" i="1"/>
  <c r="BJ267" i="1"/>
  <c r="BF267" i="1"/>
  <c r="BD267" i="1"/>
  <c r="AP267" i="1"/>
  <c r="BI267" i="1" s="1"/>
  <c r="AO267" i="1"/>
  <c r="AW267" i="1" s="1"/>
  <c r="AL267" i="1"/>
  <c r="AK267" i="1"/>
  <c r="AJ267" i="1"/>
  <c r="AH267" i="1"/>
  <c r="AG267" i="1"/>
  <c r="AF267" i="1"/>
  <c r="AE267" i="1"/>
  <c r="AD267" i="1"/>
  <c r="AC267" i="1"/>
  <c r="AB267" i="1"/>
  <c r="Z267" i="1"/>
  <c r="J267" i="1"/>
  <c r="I267" i="1"/>
  <c r="H267" i="1"/>
  <c r="BJ266" i="1"/>
  <c r="BF266" i="1"/>
  <c r="BD266" i="1"/>
  <c r="AP266" i="1"/>
  <c r="AX266" i="1" s="1"/>
  <c r="AO266" i="1"/>
  <c r="AL266" i="1"/>
  <c r="AJ266" i="1"/>
  <c r="AH266" i="1"/>
  <c r="AG266" i="1"/>
  <c r="AF266" i="1"/>
  <c r="AC266" i="1"/>
  <c r="AB266" i="1"/>
  <c r="Z266" i="1"/>
  <c r="J266" i="1"/>
  <c r="AK266" i="1" s="1"/>
  <c r="I266" i="1"/>
  <c r="BJ265" i="1"/>
  <c r="BF265" i="1"/>
  <c r="BD265" i="1"/>
  <c r="AW265" i="1"/>
  <c r="AP265" i="1"/>
  <c r="AO265" i="1"/>
  <c r="H265" i="1" s="1"/>
  <c r="AL265" i="1"/>
  <c r="AJ265" i="1"/>
  <c r="AH265" i="1"/>
  <c r="AG265" i="1"/>
  <c r="AF265" i="1"/>
  <c r="AC265" i="1"/>
  <c r="AB265" i="1"/>
  <c r="Z265" i="1"/>
  <c r="J265" i="1"/>
  <c r="AK265" i="1" s="1"/>
  <c r="BJ264" i="1"/>
  <c r="BF264" i="1"/>
  <c r="BD264" i="1"/>
  <c r="AX264" i="1"/>
  <c r="BC264" i="1" s="1"/>
  <c r="AW264" i="1"/>
  <c r="AV264" i="1"/>
  <c r="AP264" i="1"/>
  <c r="I264" i="1" s="1"/>
  <c r="AO264" i="1"/>
  <c r="H264" i="1" s="1"/>
  <c r="AL264" i="1"/>
  <c r="AJ264" i="1"/>
  <c r="AH264" i="1"/>
  <c r="AG264" i="1"/>
  <c r="AF264" i="1"/>
  <c r="AC264" i="1"/>
  <c r="AB264" i="1"/>
  <c r="Z264" i="1"/>
  <c r="J264" i="1"/>
  <c r="AK264" i="1" s="1"/>
  <c r="BJ263" i="1"/>
  <c r="BF263" i="1"/>
  <c r="BD263" i="1"/>
  <c r="AX263" i="1"/>
  <c r="AW263" i="1"/>
  <c r="AP263" i="1"/>
  <c r="I263" i="1" s="1"/>
  <c r="AO263" i="1"/>
  <c r="H263" i="1" s="1"/>
  <c r="AL263" i="1"/>
  <c r="AJ263" i="1"/>
  <c r="AH263" i="1"/>
  <c r="AG263" i="1"/>
  <c r="AF263" i="1"/>
  <c r="AC263" i="1"/>
  <c r="AB263" i="1"/>
  <c r="Z263" i="1"/>
  <c r="J263" i="1"/>
  <c r="AK263" i="1" s="1"/>
  <c r="BJ262" i="1"/>
  <c r="BF262" i="1"/>
  <c r="BD262" i="1"/>
  <c r="AX262" i="1"/>
  <c r="AW262" i="1"/>
  <c r="AP262" i="1"/>
  <c r="I262" i="1" s="1"/>
  <c r="AO262" i="1"/>
  <c r="BH262" i="1" s="1"/>
  <c r="AD262" i="1" s="1"/>
  <c r="AL262" i="1"/>
  <c r="AK262" i="1"/>
  <c r="AJ262" i="1"/>
  <c r="AH262" i="1"/>
  <c r="AG262" i="1"/>
  <c r="AF262" i="1"/>
  <c r="AC262" i="1"/>
  <c r="AB262" i="1"/>
  <c r="Z262" i="1"/>
  <c r="J262" i="1"/>
  <c r="H262" i="1"/>
  <c r="BJ261" i="1"/>
  <c r="BH261" i="1"/>
  <c r="BF261" i="1"/>
  <c r="BD261" i="1"/>
  <c r="BC261" i="1"/>
  <c r="AX261" i="1"/>
  <c r="AW261" i="1"/>
  <c r="AV261" i="1" s="1"/>
  <c r="AP261" i="1"/>
  <c r="BI261" i="1" s="1"/>
  <c r="AE261" i="1" s="1"/>
  <c r="AO261" i="1"/>
  <c r="AL261" i="1"/>
  <c r="AK261" i="1"/>
  <c r="AJ261" i="1"/>
  <c r="AH261" i="1"/>
  <c r="AG261" i="1"/>
  <c r="AF261" i="1"/>
  <c r="AD261" i="1"/>
  <c r="AC261" i="1"/>
  <c r="AB261" i="1"/>
  <c r="Z261" i="1"/>
  <c r="J261" i="1"/>
  <c r="I261" i="1"/>
  <c r="H261" i="1"/>
  <c r="BJ259" i="1"/>
  <c r="BI259" i="1"/>
  <c r="BH259" i="1"/>
  <c r="AD259" i="1" s="1"/>
  <c r="BF259" i="1"/>
  <c r="BD259" i="1"/>
  <c r="BC259" i="1"/>
  <c r="AX259" i="1"/>
  <c r="AW259" i="1"/>
  <c r="AV259" i="1" s="1"/>
  <c r="AP259" i="1"/>
  <c r="AO259" i="1"/>
  <c r="H259" i="1" s="1"/>
  <c r="AL259" i="1"/>
  <c r="AJ259" i="1"/>
  <c r="AH259" i="1"/>
  <c r="AG259" i="1"/>
  <c r="AF259" i="1"/>
  <c r="AE259" i="1"/>
  <c r="AC259" i="1"/>
  <c r="AB259" i="1"/>
  <c r="Z259" i="1"/>
  <c r="J259" i="1"/>
  <c r="AK259" i="1" s="1"/>
  <c r="I259" i="1"/>
  <c r="BJ258" i="1"/>
  <c r="Z258" i="1" s="1"/>
  <c r="BI258" i="1"/>
  <c r="BH258" i="1"/>
  <c r="BF258" i="1"/>
  <c r="BD258" i="1"/>
  <c r="AX258" i="1"/>
  <c r="AP258" i="1"/>
  <c r="I258" i="1" s="1"/>
  <c r="AO258" i="1"/>
  <c r="AW258" i="1" s="1"/>
  <c r="AL258" i="1"/>
  <c r="AK258" i="1"/>
  <c r="AJ258" i="1"/>
  <c r="AH258" i="1"/>
  <c r="AG258" i="1"/>
  <c r="AF258" i="1"/>
  <c r="AE258" i="1"/>
  <c r="AD258" i="1"/>
  <c r="AC258" i="1"/>
  <c r="AB258" i="1"/>
  <c r="J258" i="1"/>
  <c r="H258" i="1"/>
  <c r="BJ257" i="1"/>
  <c r="Z257" i="1" s="1"/>
  <c r="BI257" i="1"/>
  <c r="BH257" i="1"/>
  <c r="BF257" i="1"/>
  <c r="BD257" i="1"/>
  <c r="AW257" i="1"/>
  <c r="AP257" i="1"/>
  <c r="AX257" i="1" s="1"/>
  <c r="BC257" i="1" s="1"/>
  <c r="AO257" i="1"/>
  <c r="AL257" i="1"/>
  <c r="AK257" i="1"/>
  <c r="AJ257" i="1"/>
  <c r="AH257" i="1"/>
  <c r="AG257" i="1"/>
  <c r="AF257" i="1"/>
  <c r="AE257" i="1"/>
  <c r="AD257" i="1"/>
  <c r="AC257" i="1"/>
  <c r="AB257" i="1"/>
  <c r="J257" i="1"/>
  <c r="I257" i="1"/>
  <c r="H257" i="1"/>
  <c r="BJ256" i="1"/>
  <c r="Z256" i="1" s="1"/>
  <c r="BI256" i="1"/>
  <c r="BH256" i="1"/>
  <c r="BF256" i="1"/>
  <c r="BD256" i="1"/>
  <c r="AX256" i="1"/>
  <c r="AP256" i="1"/>
  <c r="AO256" i="1"/>
  <c r="H256" i="1" s="1"/>
  <c r="AL256" i="1"/>
  <c r="AJ256" i="1"/>
  <c r="AH256" i="1"/>
  <c r="AG256" i="1"/>
  <c r="AF256" i="1"/>
  <c r="AE256" i="1"/>
  <c r="AD256" i="1"/>
  <c r="AC256" i="1"/>
  <c r="AB256" i="1"/>
  <c r="J256" i="1"/>
  <c r="AK256" i="1" s="1"/>
  <c r="I256" i="1"/>
  <c r="BJ255" i="1"/>
  <c r="BI255" i="1"/>
  <c r="AE255" i="1" s="1"/>
  <c r="BF255" i="1"/>
  <c r="BD255" i="1"/>
  <c r="AP255" i="1"/>
  <c r="I255" i="1" s="1"/>
  <c r="AO255" i="1"/>
  <c r="BH255" i="1" s="1"/>
  <c r="AD255" i="1" s="1"/>
  <c r="AL255" i="1"/>
  <c r="AK255" i="1"/>
  <c r="AJ255" i="1"/>
  <c r="AH255" i="1"/>
  <c r="AG255" i="1"/>
  <c r="AF255" i="1"/>
  <c r="AC255" i="1"/>
  <c r="AB255" i="1"/>
  <c r="Z255" i="1"/>
  <c r="J255" i="1"/>
  <c r="H255" i="1"/>
  <c r="BJ253" i="1"/>
  <c r="BF253" i="1"/>
  <c r="BD253" i="1"/>
  <c r="AP253" i="1"/>
  <c r="BI253" i="1" s="1"/>
  <c r="AE253" i="1" s="1"/>
  <c r="AO253" i="1"/>
  <c r="AW253" i="1" s="1"/>
  <c r="AL253" i="1"/>
  <c r="AK253" i="1"/>
  <c r="AJ253" i="1"/>
  <c r="AH253" i="1"/>
  <c r="AG253" i="1"/>
  <c r="AF253" i="1"/>
  <c r="AC253" i="1"/>
  <c r="AB253" i="1"/>
  <c r="Z253" i="1"/>
  <c r="J253" i="1"/>
  <c r="I253" i="1"/>
  <c r="H253" i="1"/>
  <c r="BJ251" i="1"/>
  <c r="BF251" i="1"/>
  <c r="BD251" i="1"/>
  <c r="AP251" i="1"/>
  <c r="AX251" i="1" s="1"/>
  <c r="AO251" i="1"/>
  <c r="AL251" i="1"/>
  <c r="AU250" i="1" s="1"/>
  <c r="AJ251" i="1"/>
  <c r="AH251" i="1"/>
  <c r="AG251" i="1"/>
  <c r="AF251" i="1"/>
  <c r="AC251" i="1"/>
  <c r="AB251" i="1"/>
  <c r="Z251" i="1"/>
  <c r="J251" i="1"/>
  <c r="I251" i="1"/>
  <c r="BJ249" i="1"/>
  <c r="Z249" i="1" s="1"/>
  <c r="BI249" i="1"/>
  <c r="BH249" i="1"/>
  <c r="BF249" i="1"/>
  <c r="BD249" i="1"/>
  <c r="AX249" i="1"/>
  <c r="AP249" i="1"/>
  <c r="I249" i="1" s="1"/>
  <c r="AO249" i="1"/>
  <c r="AW249" i="1" s="1"/>
  <c r="AL249" i="1"/>
  <c r="AK249" i="1"/>
  <c r="AJ249" i="1"/>
  <c r="AH249" i="1"/>
  <c r="AG249" i="1"/>
  <c r="AF249" i="1"/>
  <c r="AE249" i="1"/>
  <c r="AD249" i="1"/>
  <c r="AC249" i="1"/>
  <c r="AB249" i="1"/>
  <c r="J249" i="1"/>
  <c r="H249" i="1"/>
  <c r="BJ248" i="1"/>
  <c r="BI248" i="1"/>
  <c r="AE248" i="1" s="1"/>
  <c r="BH248" i="1"/>
  <c r="AD248" i="1" s="1"/>
  <c r="BF248" i="1"/>
  <c r="BD248" i="1"/>
  <c r="AW248" i="1"/>
  <c r="AP248" i="1"/>
  <c r="AX248" i="1" s="1"/>
  <c r="AO248" i="1"/>
  <c r="AL248" i="1"/>
  <c r="AK248" i="1"/>
  <c r="AJ248" i="1"/>
  <c r="AH248" i="1"/>
  <c r="AG248" i="1"/>
  <c r="AF248" i="1"/>
  <c r="AC248" i="1"/>
  <c r="AB248" i="1"/>
  <c r="Z248" i="1"/>
  <c r="J248" i="1"/>
  <c r="I248" i="1"/>
  <c r="H248" i="1"/>
  <c r="BJ247" i="1"/>
  <c r="BI247" i="1"/>
  <c r="AE247" i="1" s="1"/>
  <c r="BH247" i="1"/>
  <c r="AD247" i="1" s="1"/>
  <c r="BF247" i="1"/>
  <c r="BD247" i="1"/>
  <c r="AX247" i="1"/>
  <c r="AP247" i="1"/>
  <c r="AO247" i="1"/>
  <c r="H247" i="1" s="1"/>
  <c r="AL247" i="1"/>
  <c r="AJ247" i="1"/>
  <c r="AH247" i="1"/>
  <c r="AG247" i="1"/>
  <c r="AF247" i="1"/>
  <c r="AC247" i="1"/>
  <c r="AB247" i="1"/>
  <c r="Z247" i="1"/>
  <c r="J247" i="1"/>
  <c r="AK247" i="1" s="1"/>
  <c r="I247" i="1"/>
  <c r="BJ246" i="1"/>
  <c r="BI246" i="1"/>
  <c r="AE246" i="1" s="1"/>
  <c r="BF246" i="1"/>
  <c r="BD246" i="1"/>
  <c r="AP246" i="1"/>
  <c r="I246" i="1" s="1"/>
  <c r="AO246" i="1"/>
  <c r="BH246" i="1" s="1"/>
  <c r="AD246" i="1" s="1"/>
  <c r="AL246" i="1"/>
  <c r="AK246" i="1"/>
  <c r="AJ246" i="1"/>
  <c r="AH246" i="1"/>
  <c r="AG246" i="1"/>
  <c r="AF246" i="1"/>
  <c r="AC246" i="1"/>
  <c r="AB246" i="1"/>
  <c r="Z246" i="1"/>
  <c r="J246" i="1"/>
  <c r="H246" i="1"/>
  <c r="BJ245" i="1"/>
  <c r="BF245" i="1"/>
  <c r="BD245" i="1"/>
  <c r="AP245" i="1"/>
  <c r="BI245" i="1" s="1"/>
  <c r="AE245" i="1" s="1"/>
  <c r="AO245" i="1"/>
  <c r="AW245" i="1" s="1"/>
  <c r="AL245" i="1"/>
  <c r="AK245" i="1"/>
  <c r="AJ245" i="1"/>
  <c r="AH245" i="1"/>
  <c r="AG245" i="1"/>
  <c r="AF245" i="1"/>
  <c r="AC245" i="1"/>
  <c r="AB245" i="1"/>
  <c r="Z245" i="1"/>
  <c r="J245" i="1"/>
  <c r="I245" i="1"/>
  <c r="H245" i="1"/>
  <c r="BJ244" i="1"/>
  <c r="BF244" i="1"/>
  <c r="BD244" i="1"/>
  <c r="AP244" i="1"/>
  <c r="AX244" i="1" s="1"/>
  <c r="AO244" i="1"/>
  <c r="AL244" i="1"/>
  <c r="AJ244" i="1"/>
  <c r="AH244" i="1"/>
  <c r="AG244" i="1"/>
  <c r="AF244" i="1"/>
  <c r="AC244" i="1"/>
  <c r="AB244" i="1"/>
  <c r="Z244" i="1"/>
  <c r="J244" i="1"/>
  <c r="AK244" i="1" s="1"/>
  <c r="I244" i="1"/>
  <c r="BJ243" i="1"/>
  <c r="BF243" i="1"/>
  <c r="BD243" i="1"/>
  <c r="AW243" i="1"/>
  <c r="AP243" i="1"/>
  <c r="AO243" i="1"/>
  <c r="H243" i="1" s="1"/>
  <c r="AL243" i="1"/>
  <c r="AJ243" i="1"/>
  <c r="AH243" i="1"/>
  <c r="AG243" i="1"/>
  <c r="AF243" i="1"/>
  <c r="AC243" i="1"/>
  <c r="AB243" i="1"/>
  <c r="Z243" i="1"/>
  <c r="J243" i="1"/>
  <c r="AK243" i="1" s="1"/>
  <c r="BJ242" i="1"/>
  <c r="BF242" i="1"/>
  <c r="BD242" i="1"/>
  <c r="AX242" i="1"/>
  <c r="BC242" i="1" s="1"/>
  <c r="AW242" i="1"/>
  <c r="AV242" i="1"/>
  <c r="AP242" i="1"/>
  <c r="I242" i="1" s="1"/>
  <c r="AO242" i="1"/>
  <c r="H242" i="1" s="1"/>
  <c r="AL242" i="1"/>
  <c r="AJ242" i="1"/>
  <c r="AH242" i="1"/>
  <c r="AG242" i="1"/>
  <c r="AF242" i="1"/>
  <c r="AC242" i="1"/>
  <c r="AB242" i="1"/>
  <c r="Z242" i="1"/>
  <c r="J242" i="1"/>
  <c r="AK242" i="1" s="1"/>
  <c r="BJ241" i="1"/>
  <c r="BF241" i="1"/>
  <c r="BD241" i="1"/>
  <c r="AX241" i="1"/>
  <c r="AW241" i="1"/>
  <c r="AV241" i="1" s="1"/>
  <c r="AP241" i="1"/>
  <c r="I241" i="1" s="1"/>
  <c r="AO241" i="1"/>
  <c r="H241" i="1" s="1"/>
  <c r="AL241" i="1"/>
  <c r="AJ241" i="1"/>
  <c r="AH241" i="1"/>
  <c r="AG241" i="1"/>
  <c r="AF241" i="1"/>
  <c r="AC241" i="1"/>
  <c r="AB241" i="1"/>
  <c r="Z241" i="1"/>
  <c r="J241" i="1"/>
  <c r="AK241" i="1" s="1"/>
  <c r="BJ239" i="1"/>
  <c r="BF239" i="1"/>
  <c r="BD239" i="1"/>
  <c r="AX239" i="1"/>
  <c r="AW239" i="1"/>
  <c r="AP239" i="1"/>
  <c r="I239" i="1" s="1"/>
  <c r="AO239" i="1"/>
  <c r="BH239" i="1" s="1"/>
  <c r="AL239" i="1"/>
  <c r="AK239" i="1"/>
  <c r="AJ239" i="1"/>
  <c r="AH239" i="1"/>
  <c r="AG239" i="1"/>
  <c r="AF239" i="1"/>
  <c r="AD239" i="1"/>
  <c r="AC239" i="1"/>
  <c r="AB239" i="1"/>
  <c r="Z239" i="1"/>
  <c r="J239" i="1"/>
  <c r="H239" i="1"/>
  <c r="BJ238" i="1"/>
  <c r="BH238" i="1"/>
  <c r="AD238" i="1" s="1"/>
  <c r="BF238" i="1"/>
  <c r="BD238" i="1"/>
  <c r="AX238" i="1"/>
  <c r="BC238" i="1" s="1"/>
  <c r="AW238" i="1"/>
  <c r="AP238" i="1"/>
  <c r="BI238" i="1" s="1"/>
  <c r="AO238" i="1"/>
  <c r="AL238" i="1"/>
  <c r="AK238" i="1"/>
  <c r="AJ238" i="1"/>
  <c r="AH238" i="1"/>
  <c r="AG238" i="1"/>
  <c r="AF238" i="1"/>
  <c r="AE238" i="1"/>
  <c r="AC238" i="1"/>
  <c r="AB238" i="1"/>
  <c r="Z238" i="1"/>
  <c r="J238" i="1"/>
  <c r="I238" i="1"/>
  <c r="H238" i="1"/>
  <c r="BJ237" i="1"/>
  <c r="BI237" i="1"/>
  <c r="BH237" i="1"/>
  <c r="AD237" i="1" s="1"/>
  <c r="BF237" i="1"/>
  <c r="BD237" i="1"/>
  <c r="BC237" i="1"/>
  <c r="AX237" i="1"/>
  <c r="AW237" i="1"/>
  <c r="AV237" i="1" s="1"/>
  <c r="AP237" i="1"/>
  <c r="AO237" i="1"/>
  <c r="H237" i="1" s="1"/>
  <c r="AL237" i="1"/>
  <c r="AJ237" i="1"/>
  <c r="AH237" i="1"/>
  <c r="AG237" i="1"/>
  <c r="AF237" i="1"/>
  <c r="AE237" i="1"/>
  <c r="AC237" i="1"/>
  <c r="AB237" i="1"/>
  <c r="Z237" i="1"/>
  <c r="J237" i="1"/>
  <c r="AK237" i="1" s="1"/>
  <c r="I237" i="1"/>
  <c r="BJ236" i="1"/>
  <c r="BI236" i="1"/>
  <c r="AE236" i="1" s="1"/>
  <c r="BH236" i="1"/>
  <c r="AD236" i="1" s="1"/>
  <c r="BF236" i="1"/>
  <c r="BD236" i="1"/>
  <c r="AX236" i="1"/>
  <c r="AP236" i="1"/>
  <c r="I236" i="1" s="1"/>
  <c r="AO236" i="1"/>
  <c r="AW236" i="1" s="1"/>
  <c r="AL236" i="1"/>
  <c r="AK236" i="1"/>
  <c r="AJ236" i="1"/>
  <c r="AH236" i="1"/>
  <c r="AG236" i="1"/>
  <c r="AF236" i="1"/>
  <c r="AC236" i="1"/>
  <c r="AB236" i="1"/>
  <c r="Z236" i="1"/>
  <c r="J236" i="1"/>
  <c r="H236" i="1"/>
  <c r="BJ234" i="1"/>
  <c r="BI234" i="1"/>
  <c r="AE234" i="1" s="1"/>
  <c r="BH234" i="1"/>
  <c r="AD234" i="1" s="1"/>
  <c r="BF234" i="1"/>
  <c r="BD234" i="1"/>
  <c r="AW234" i="1"/>
  <c r="AV234" i="1" s="1"/>
  <c r="AP234" i="1"/>
  <c r="AX234" i="1" s="1"/>
  <c r="BC234" i="1" s="1"/>
  <c r="AO234" i="1"/>
  <c r="AL234" i="1"/>
  <c r="AK234" i="1"/>
  <c r="AJ234" i="1"/>
  <c r="AH234" i="1"/>
  <c r="AG234" i="1"/>
  <c r="AF234" i="1"/>
  <c r="AC234" i="1"/>
  <c r="AB234" i="1"/>
  <c r="Z234" i="1"/>
  <c r="J234" i="1"/>
  <c r="I234" i="1"/>
  <c r="H234" i="1"/>
  <c r="BJ233" i="1"/>
  <c r="Z233" i="1" s="1"/>
  <c r="BI233" i="1"/>
  <c r="BF233" i="1"/>
  <c r="BD233" i="1"/>
  <c r="AX233" i="1"/>
  <c r="AP233" i="1"/>
  <c r="AO233" i="1"/>
  <c r="AW233" i="1" s="1"/>
  <c r="AL233" i="1"/>
  <c r="AJ233" i="1"/>
  <c r="AH233" i="1"/>
  <c r="AG233" i="1"/>
  <c r="AF233" i="1"/>
  <c r="AE233" i="1"/>
  <c r="AD233" i="1"/>
  <c r="AC233" i="1"/>
  <c r="AB233" i="1"/>
  <c r="J233" i="1"/>
  <c r="AK233" i="1" s="1"/>
  <c r="I233" i="1"/>
  <c r="BJ232" i="1"/>
  <c r="Z232" i="1" s="1"/>
  <c r="BF232" i="1"/>
  <c r="BD232" i="1"/>
  <c r="AP232" i="1"/>
  <c r="AX232" i="1" s="1"/>
  <c r="AO232" i="1"/>
  <c r="AW232" i="1" s="1"/>
  <c r="AL232" i="1"/>
  <c r="AK232" i="1"/>
  <c r="AJ232" i="1"/>
  <c r="AH232" i="1"/>
  <c r="AG232" i="1"/>
  <c r="AF232" i="1"/>
  <c r="AE232" i="1"/>
  <c r="AD232" i="1"/>
  <c r="AC232" i="1"/>
  <c r="AB232" i="1"/>
  <c r="J232" i="1"/>
  <c r="I232" i="1"/>
  <c r="H232" i="1"/>
  <c r="BJ231" i="1"/>
  <c r="Z231" i="1" s="1"/>
  <c r="BI231" i="1"/>
  <c r="BF231" i="1"/>
  <c r="BD231" i="1"/>
  <c r="AP231" i="1"/>
  <c r="AX231" i="1" s="1"/>
  <c r="AO231" i="1"/>
  <c r="AW231" i="1" s="1"/>
  <c r="AL231" i="1"/>
  <c r="AK231" i="1"/>
  <c r="AJ231" i="1"/>
  <c r="AH231" i="1"/>
  <c r="AG231" i="1"/>
  <c r="AF231" i="1"/>
  <c r="AE231" i="1"/>
  <c r="AD231" i="1"/>
  <c r="AC231" i="1"/>
  <c r="AB231" i="1"/>
  <c r="J231" i="1"/>
  <c r="J228" i="1" s="1"/>
  <c r="I231" i="1"/>
  <c r="H231" i="1"/>
  <c r="BJ230" i="1"/>
  <c r="BI230" i="1"/>
  <c r="AE230" i="1" s="1"/>
  <c r="BF230" i="1"/>
  <c r="BD230" i="1"/>
  <c r="AP230" i="1"/>
  <c r="AX230" i="1" s="1"/>
  <c r="AO230" i="1"/>
  <c r="BH230" i="1" s="1"/>
  <c r="AD230" i="1" s="1"/>
  <c r="AL230" i="1"/>
  <c r="AK230" i="1"/>
  <c r="AJ230" i="1"/>
  <c r="AH230" i="1"/>
  <c r="AG230" i="1"/>
  <c r="AF230" i="1"/>
  <c r="AC230" i="1"/>
  <c r="AB230" i="1"/>
  <c r="Z230" i="1"/>
  <c r="J230" i="1"/>
  <c r="I230" i="1"/>
  <c r="H230" i="1"/>
  <c r="BJ229" i="1"/>
  <c r="BH229" i="1"/>
  <c r="BF229" i="1"/>
  <c r="BD229" i="1"/>
  <c r="AX229" i="1"/>
  <c r="AW229" i="1"/>
  <c r="AV229" i="1"/>
  <c r="AP229" i="1"/>
  <c r="BI229" i="1" s="1"/>
  <c r="AE229" i="1" s="1"/>
  <c r="AO229" i="1"/>
  <c r="AL229" i="1"/>
  <c r="AJ229" i="1"/>
  <c r="AH229" i="1"/>
  <c r="AG229" i="1"/>
  <c r="AF229" i="1"/>
  <c r="AD229" i="1"/>
  <c r="AC229" i="1"/>
  <c r="AB229" i="1"/>
  <c r="Z229" i="1"/>
  <c r="J229" i="1"/>
  <c r="AK229" i="1" s="1"/>
  <c r="H229" i="1"/>
  <c r="BJ227" i="1"/>
  <c r="BI227" i="1"/>
  <c r="BH227" i="1"/>
  <c r="BF227" i="1"/>
  <c r="BD227" i="1"/>
  <c r="AW227" i="1"/>
  <c r="AP227" i="1"/>
  <c r="AX227" i="1" s="1"/>
  <c r="BC227" i="1" s="1"/>
  <c r="AO227" i="1"/>
  <c r="AL227" i="1"/>
  <c r="AK227" i="1"/>
  <c r="AJ227" i="1"/>
  <c r="AH227" i="1"/>
  <c r="AG227" i="1"/>
  <c r="AF227" i="1"/>
  <c r="AE227" i="1"/>
  <c r="AD227" i="1"/>
  <c r="AC227" i="1"/>
  <c r="AB227" i="1"/>
  <c r="Z227" i="1"/>
  <c r="J227" i="1"/>
  <c r="I227" i="1"/>
  <c r="H227" i="1"/>
  <c r="BJ225" i="1"/>
  <c r="BI225" i="1"/>
  <c r="AE225" i="1" s="1"/>
  <c r="BH225" i="1"/>
  <c r="BF225" i="1"/>
  <c r="BD225" i="1"/>
  <c r="AX225" i="1"/>
  <c r="AP225" i="1"/>
  <c r="AO225" i="1"/>
  <c r="AW225" i="1" s="1"/>
  <c r="AL225" i="1"/>
  <c r="AK225" i="1"/>
  <c r="AJ225" i="1"/>
  <c r="AH225" i="1"/>
  <c r="AG225" i="1"/>
  <c r="AF225" i="1"/>
  <c r="AD225" i="1"/>
  <c r="AC225" i="1"/>
  <c r="AB225" i="1"/>
  <c r="Z225" i="1"/>
  <c r="J225" i="1"/>
  <c r="I225" i="1"/>
  <c r="BJ224" i="1"/>
  <c r="BI224" i="1"/>
  <c r="BH224" i="1"/>
  <c r="BF224" i="1"/>
  <c r="BD224" i="1"/>
  <c r="AX224" i="1"/>
  <c r="AP224" i="1"/>
  <c r="AO224" i="1"/>
  <c r="AW224" i="1" s="1"/>
  <c r="AL224" i="1"/>
  <c r="AJ224" i="1"/>
  <c r="AH224" i="1"/>
  <c r="AG224" i="1"/>
  <c r="AF224" i="1"/>
  <c r="AE224" i="1"/>
  <c r="AD224" i="1"/>
  <c r="AC224" i="1"/>
  <c r="AB224" i="1"/>
  <c r="Z224" i="1"/>
  <c r="J224" i="1"/>
  <c r="AK224" i="1" s="1"/>
  <c r="I224" i="1"/>
  <c r="BJ222" i="1"/>
  <c r="BI222" i="1"/>
  <c r="BH222" i="1"/>
  <c r="BF222" i="1"/>
  <c r="BD222" i="1"/>
  <c r="BC222" i="1"/>
  <c r="AX222" i="1"/>
  <c r="AP222" i="1"/>
  <c r="AO222" i="1"/>
  <c r="AW222" i="1" s="1"/>
  <c r="AV222" i="1" s="1"/>
  <c r="AL222" i="1"/>
  <c r="AJ222" i="1"/>
  <c r="AH222" i="1"/>
  <c r="AG222" i="1"/>
  <c r="AF222" i="1"/>
  <c r="AE222" i="1"/>
  <c r="AD222" i="1"/>
  <c r="AC222" i="1"/>
  <c r="AB222" i="1"/>
  <c r="Z222" i="1"/>
  <c r="J222" i="1"/>
  <c r="AK222" i="1" s="1"/>
  <c r="I222" i="1"/>
  <c r="H222" i="1"/>
  <c r="BJ220" i="1"/>
  <c r="BH220" i="1"/>
  <c r="AD220" i="1" s="1"/>
  <c r="BF220" i="1"/>
  <c r="BD220" i="1"/>
  <c r="AP220" i="1"/>
  <c r="AX220" i="1" s="1"/>
  <c r="BC220" i="1" s="1"/>
  <c r="AO220" i="1"/>
  <c r="AW220" i="1" s="1"/>
  <c r="AL220" i="1"/>
  <c r="AK220" i="1"/>
  <c r="AJ220" i="1"/>
  <c r="AH220" i="1"/>
  <c r="AG220" i="1"/>
  <c r="AF220" i="1"/>
  <c r="AC220" i="1"/>
  <c r="AB220" i="1"/>
  <c r="Z220" i="1"/>
  <c r="J220" i="1"/>
  <c r="H220" i="1"/>
  <c r="BJ219" i="1"/>
  <c r="BI219" i="1"/>
  <c r="AE219" i="1" s="1"/>
  <c r="BH219" i="1"/>
  <c r="AD219" i="1" s="1"/>
  <c r="BF219" i="1"/>
  <c r="BD219" i="1"/>
  <c r="AP219" i="1"/>
  <c r="AX219" i="1" s="1"/>
  <c r="AO219" i="1"/>
  <c r="AW219" i="1" s="1"/>
  <c r="AL219" i="1"/>
  <c r="AU216" i="1" s="1"/>
  <c r="AJ219" i="1"/>
  <c r="AS216" i="1" s="1"/>
  <c r="AH219" i="1"/>
  <c r="AG219" i="1"/>
  <c r="AF219" i="1"/>
  <c r="AC219" i="1"/>
  <c r="AB219" i="1"/>
  <c r="Z219" i="1"/>
  <c r="J219" i="1"/>
  <c r="AK219" i="1" s="1"/>
  <c r="I219" i="1"/>
  <c r="H219" i="1"/>
  <c r="BJ217" i="1"/>
  <c r="BI217" i="1"/>
  <c r="AE217" i="1" s="1"/>
  <c r="BF217" i="1"/>
  <c r="BD217" i="1"/>
  <c r="AP217" i="1"/>
  <c r="AX217" i="1" s="1"/>
  <c r="AO217" i="1"/>
  <c r="AL217" i="1"/>
  <c r="AJ217" i="1"/>
  <c r="AH217" i="1"/>
  <c r="AG217" i="1"/>
  <c r="AF217" i="1"/>
  <c r="AC217" i="1"/>
  <c r="AB217" i="1"/>
  <c r="Z217" i="1"/>
  <c r="J217" i="1"/>
  <c r="J216" i="1" s="1"/>
  <c r="I217" i="1"/>
  <c r="H217" i="1"/>
  <c r="BJ215" i="1"/>
  <c r="BI215" i="1"/>
  <c r="BH215" i="1"/>
  <c r="BF215" i="1"/>
  <c r="BD215" i="1"/>
  <c r="BC215" i="1"/>
  <c r="AX215" i="1"/>
  <c r="AW215" i="1"/>
  <c r="AV215" i="1"/>
  <c r="AP215" i="1"/>
  <c r="I215" i="1" s="1"/>
  <c r="I211" i="1" s="1"/>
  <c r="AO215" i="1"/>
  <c r="AL215" i="1"/>
  <c r="AK215" i="1"/>
  <c r="AJ215" i="1"/>
  <c r="AH215" i="1"/>
  <c r="AG215" i="1"/>
  <c r="AF215" i="1"/>
  <c r="AE215" i="1"/>
  <c r="AD215" i="1"/>
  <c r="AC215" i="1"/>
  <c r="AB215" i="1"/>
  <c r="Z215" i="1"/>
  <c r="J215" i="1"/>
  <c r="H215" i="1"/>
  <c r="BJ214" i="1"/>
  <c r="BI214" i="1"/>
  <c r="BH214" i="1"/>
  <c r="AD214" i="1" s="1"/>
  <c r="BF214" i="1"/>
  <c r="BD214" i="1"/>
  <c r="AX214" i="1"/>
  <c r="AW214" i="1"/>
  <c r="AP214" i="1"/>
  <c r="AO214" i="1"/>
  <c r="AL214" i="1"/>
  <c r="AK214" i="1"/>
  <c r="AJ214" i="1"/>
  <c r="AH214" i="1"/>
  <c r="AG214" i="1"/>
  <c r="AF214" i="1"/>
  <c r="AE214" i="1"/>
  <c r="AC214" i="1"/>
  <c r="AB214" i="1"/>
  <c r="Z214" i="1"/>
  <c r="J214" i="1"/>
  <c r="I214" i="1"/>
  <c r="H214" i="1"/>
  <c r="BJ212" i="1"/>
  <c r="BI212" i="1"/>
  <c r="AE212" i="1" s="1"/>
  <c r="BF212" i="1"/>
  <c r="BD212" i="1"/>
  <c r="AX212" i="1"/>
  <c r="BC212" i="1" s="1"/>
  <c r="AW212" i="1"/>
  <c r="AP212" i="1"/>
  <c r="AO212" i="1"/>
  <c r="H212" i="1" s="1"/>
  <c r="H211" i="1" s="1"/>
  <c r="AL212" i="1"/>
  <c r="AJ212" i="1"/>
  <c r="AH212" i="1"/>
  <c r="AG212" i="1"/>
  <c r="AF212" i="1"/>
  <c r="AC212" i="1"/>
  <c r="AB212" i="1"/>
  <c r="Z212" i="1"/>
  <c r="J212" i="1"/>
  <c r="AK212" i="1" s="1"/>
  <c r="AT211" i="1" s="1"/>
  <c r="I212" i="1"/>
  <c r="AU211" i="1"/>
  <c r="AS211" i="1"/>
  <c r="J211" i="1"/>
  <c r="BJ210" i="1"/>
  <c r="BF210" i="1"/>
  <c r="BD210" i="1"/>
  <c r="AX210" i="1"/>
  <c r="AP210" i="1"/>
  <c r="BI210" i="1" s="1"/>
  <c r="AO210" i="1"/>
  <c r="H210" i="1" s="1"/>
  <c r="AL210" i="1"/>
  <c r="AU206" i="1" s="1"/>
  <c r="AJ210" i="1"/>
  <c r="AH210" i="1"/>
  <c r="AG210" i="1"/>
  <c r="AF210" i="1"/>
  <c r="AE210" i="1"/>
  <c r="AD210" i="1"/>
  <c r="AC210" i="1"/>
  <c r="AB210" i="1"/>
  <c r="Z210" i="1"/>
  <c r="J210" i="1"/>
  <c r="AK210" i="1" s="1"/>
  <c r="I210" i="1"/>
  <c r="BJ209" i="1"/>
  <c r="BF209" i="1"/>
  <c r="BD209" i="1"/>
  <c r="AW209" i="1"/>
  <c r="AP209" i="1"/>
  <c r="I209" i="1" s="1"/>
  <c r="AO209" i="1"/>
  <c r="AL209" i="1"/>
  <c r="AJ209" i="1"/>
  <c r="AH209" i="1"/>
  <c r="AG209" i="1"/>
  <c r="AF209" i="1"/>
  <c r="AC209" i="1"/>
  <c r="AB209" i="1"/>
  <c r="Z209" i="1"/>
  <c r="J209" i="1"/>
  <c r="AK209" i="1" s="1"/>
  <c r="BJ207" i="1"/>
  <c r="BH207" i="1"/>
  <c r="BF207" i="1"/>
  <c r="BD207" i="1"/>
  <c r="AW207" i="1"/>
  <c r="AP207" i="1"/>
  <c r="AO207" i="1"/>
  <c r="H207" i="1" s="1"/>
  <c r="AL207" i="1"/>
  <c r="AJ207" i="1"/>
  <c r="AH207" i="1"/>
  <c r="AF207" i="1"/>
  <c r="AE207" i="1"/>
  <c r="AD207" i="1"/>
  <c r="AC207" i="1"/>
  <c r="AB207" i="1"/>
  <c r="Z207" i="1"/>
  <c r="J207" i="1"/>
  <c r="AK207" i="1" s="1"/>
  <c r="AS206" i="1"/>
  <c r="J206" i="1"/>
  <c r="BJ205" i="1"/>
  <c r="BH205" i="1"/>
  <c r="BF205" i="1"/>
  <c r="BD205" i="1"/>
  <c r="AW205" i="1"/>
  <c r="AP205" i="1"/>
  <c r="I205" i="1" s="1"/>
  <c r="AO205" i="1"/>
  <c r="AL205" i="1"/>
  <c r="AK205" i="1"/>
  <c r="AJ205" i="1"/>
  <c r="AH205" i="1"/>
  <c r="AG205" i="1"/>
  <c r="AF205" i="1"/>
  <c r="AE205" i="1"/>
  <c r="AD205" i="1"/>
  <c r="AC205" i="1"/>
  <c r="AB205" i="1"/>
  <c r="Z205" i="1"/>
  <c r="J205" i="1"/>
  <c r="H205" i="1"/>
  <c r="BJ204" i="1"/>
  <c r="BI204" i="1"/>
  <c r="AE204" i="1" s="1"/>
  <c r="BF204" i="1"/>
  <c r="BD204" i="1"/>
  <c r="AX204" i="1"/>
  <c r="AP204" i="1"/>
  <c r="AO204" i="1"/>
  <c r="AL204" i="1"/>
  <c r="AJ204" i="1"/>
  <c r="AS199" i="1" s="1"/>
  <c r="AH204" i="1"/>
  <c r="AG204" i="1"/>
  <c r="AF204" i="1"/>
  <c r="AC204" i="1"/>
  <c r="AB204" i="1"/>
  <c r="Z204" i="1"/>
  <c r="J204" i="1"/>
  <c r="AK204" i="1" s="1"/>
  <c r="I204" i="1"/>
  <c r="BJ203" i="1"/>
  <c r="BF203" i="1"/>
  <c r="BD203" i="1"/>
  <c r="AW203" i="1"/>
  <c r="AP203" i="1"/>
  <c r="AO203" i="1"/>
  <c r="BH203" i="1" s="1"/>
  <c r="AD203" i="1" s="1"/>
  <c r="AL203" i="1"/>
  <c r="AK203" i="1"/>
  <c r="AJ203" i="1"/>
  <c r="AH203" i="1"/>
  <c r="AG203" i="1"/>
  <c r="AF203" i="1"/>
  <c r="AC203" i="1"/>
  <c r="AB203" i="1"/>
  <c r="Z203" i="1"/>
  <c r="J203" i="1"/>
  <c r="H203" i="1"/>
  <c r="BJ201" i="1"/>
  <c r="BF201" i="1"/>
  <c r="BD201" i="1"/>
  <c r="AX201" i="1"/>
  <c r="AP201" i="1"/>
  <c r="BI201" i="1" s="1"/>
  <c r="AE201" i="1" s="1"/>
  <c r="AO201" i="1"/>
  <c r="H201" i="1" s="1"/>
  <c r="AL201" i="1"/>
  <c r="AJ201" i="1"/>
  <c r="AH201" i="1"/>
  <c r="AG201" i="1"/>
  <c r="AF201" i="1"/>
  <c r="AC201" i="1"/>
  <c r="AB201" i="1"/>
  <c r="Z201" i="1"/>
  <c r="J201" i="1"/>
  <c r="AK201" i="1" s="1"/>
  <c r="I201" i="1"/>
  <c r="BJ200" i="1"/>
  <c r="BF200" i="1"/>
  <c r="BD200" i="1"/>
  <c r="AW200" i="1"/>
  <c r="AP200" i="1"/>
  <c r="I200" i="1" s="1"/>
  <c r="AO200" i="1"/>
  <c r="AL200" i="1"/>
  <c r="AJ200" i="1"/>
  <c r="AH200" i="1"/>
  <c r="AG200" i="1"/>
  <c r="AF200" i="1"/>
  <c r="AC200" i="1"/>
  <c r="AB200" i="1"/>
  <c r="Z200" i="1"/>
  <c r="J200" i="1"/>
  <c r="BJ198" i="1"/>
  <c r="Z198" i="1" s="1"/>
  <c r="BI198" i="1"/>
  <c r="BF198" i="1"/>
  <c r="BD198" i="1"/>
  <c r="AP198" i="1"/>
  <c r="AX198" i="1" s="1"/>
  <c r="AO198" i="1"/>
  <c r="AL198" i="1"/>
  <c r="AK198" i="1"/>
  <c r="AJ198" i="1"/>
  <c r="AH198" i="1"/>
  <c r="AG198" i="1"/>
  <c r="AF198" i="1"/>
  <c r="AE198" i="1"/>
  <c r="AD198" i="1"/>
  <c r="AC198" i="1"/>
  <c r="AB198" i="1"/>
  <c r="J198" i="1"/>
  <c r="H198" i="1"/>
  <c r="BJ197" i="1"/>
  <c r="BH197" i="1"/>
  <c r="AD197" i="1" s="1"/>
  <c r="BF197" i="1"/>
  <c r="BD197" i="1"/>
  <c r="AW197" i="1"/>
  <c r="AP197" i="1"/>
  <c r="AO197" i="1"/>
  <c r="AL197" i="1"/>
  <c r="AK197" i="1"/>
  <c r="AJ197" i="1"/>
  <c r="AH197" i="1"/>
  <c r="AG197" i="1"/>
  <c r="AF197" i="1"/>
  <c r="AC197" i="1"/>
  <c r="AB197" i="1"/>
  <c r="Z197" i="1"/>
  <c r="J197" i="1"/>
  <c r="I197" i="1"/>
  <c r="H197" i="1"/>
  <c r="BJ196" i="1"/>
  <c r="BI196" i="1"/>
  <c r="AE196" i="1" s="1"/>
  <c r="BF196" i="1"/>
  <c r="BD196" i="1"/>
  <c r="AX196" i="1"/>
  <c r="AP196" i="1"/>
  <c r="AO196" i="1"/>
  <c r="AL196" i="1"/>
  <c r="AJ196" i="1"/>
  <c r="AH196" i="1"/>
  <c r="AG196" i="1"/>
  <c r="AF196" i="1"/>
  <c r="AC196" i="1"/>
  <c r="AB196" i="1"/>
  <c r="Z196" i="1"/>
  <c r="J196" i="1"/>
  <c r="AK196" i="1" s="1"/>
  <c r="I196" i="1"/>
  <c r="BJ195" i="1"/>
  <c r="BF195" i="1"/>
  <c r="BD195" i="1"/>
  <c r="AW195" i="1"/>
  <c r="AP195" i="1"/>
  <c r="AO195" i="1"/>
  <c r="BH195" i="1" s="1"/>
  <c r="AD195" i="1" s="1"/>
  <c r="AL195" i="1"/>
  <c r="AK195" i="1"/>
  <c r="AJ195" i="1"/>
  <c r="AH195" i="1"/>
  <c r="AG195" i="1"/>
  <c r="AF195" i="1"/>
  <c r="AC195" i="1"/>
  <c r="AB195" i="1"/>
  <c r="Z195" i="1"/>
  <c r="J195" i="1"/>
  <c r="H195" i="1"/>
  <c r="BJ194" i="1"/>
  <c r="BF194" i="1"/>
  <c r="BD194" i="1"/>
  <c r="AX194" i="1"/>
  <c r="AP194" i="1"/>
  <c r="BI194" i="1" s="1"/>
  <c r="AE194" i="1" s="1"/>
  <c r="AO194" i="1"/>
  <c r="H194" i="1" s="1"/>
  <c r="AL194" i="1"/>
  <c r="AU189" i="1" s="1"/>
  <c r="AJ194" i="1"/>
  <c r="AH194" i="1"/>
  <c r="AG194" i="1"/>
  <c r="AF194" i="1"/>
  <c r="AC194" i="1"/>
  <c r="AB194" i="1"/>
  <c r="Z194" i="1"/>
  <c r="J194" i="1"/>
  <c r="AK194" i="1" s="1"/>
  <c r="I194" i="1"/>
  <c r="BJ193" i="1"/>
  <c r="BF193" i="1"/>
  <c r="BD193" i="1"/>
  <c r="AW193" i="1"/>
  <c r="AP193" i="1"/>
  <c r="I193" i="1" s="1"/>
  <c r="AO193" i="1"/>
  <c r="AL193" i="1"/>
  <c r="AJ193" i="1"/>
  <c r="AH193" i="1"/>
  <c r="AG193" i="1"/>
  <c r="AF193" i="1"/>
  <c r="AC193" i="1"/>
  <c r="AB193" i="1"/>
  <c r="Z193" i="1"/>
  <c r="J193" i="1"/>
  <c r="BJ192" i="1"/>
  <c r="BH192" i="1"/>
  <c r="BF192" i="1"/>
  <c r="BD192" i="1"/>
  <c r="AX192" i="1"/>
  <c r="AW192" i="1"/>
  <c r="AP192" i="1"/>
  <c r="AO192" i="1"/>
  <c r="H192" i="1" s="1"/>
  <c r="AL192" i="1"/>
  <c r="AJ192" i="1"/>
  <c r="AH192" i="1"/>
  <c r="AG192" i="1"/>
  <c r="AF192" i="1"/>
  <c r="AD192" i="1"/>
  <c r="AC192" i="1"/>
  <c r="AB192" i="1"/>
  <c r="Z192" i="1"/>
  <c r="J192" i="1"/>
  <c r="AK192" i="1" s="1"/>
  <c r="BJ190" i="1"/>
  <c r="BI190" i="1"/>
  <c r="BH190" i="1"/>
  <c r="BF190" i="1"/>
  <c r="BD190" i="1"/>
  <c r="BC190" i="1"/>
  <c r="AX190" i="1"/>
  <c r="AW190" i="1"/>
  <c r="AV190" i="1"/>
  <c r="AP190" i="1"/>
  <c r="I190" i="1" s="1"/>
  <c r="AO190" i="1"/>
  <c r="AL190" i="1"/>
  <c r="AK190" i="1"/>
  <c r="AJ190" i="1"/>
  <c r="AH190" i="1"/>
  <c r="AG190" i="1"/>
  <c r="AF190" i="1"/>
  <c r="AE190" i="1"/>
  <c r="AD190" i="1"/>
  <c r="AC190" i="1"/>
  <c r="AB190" i="1"/>
  <c r="Z190" i="1"/>
  <c r="J190" i="1"/>
  <c r="H190" i="1"/>
  <c r="AS189" i="1"/>
  <c r="BJ188" i="1"/>
  <c r="Z188" i="1" s="1"/>
  <c r="BI188" i="1"/>
  <c r="BF188" i="1"/>
  <c r="BD188" i="1"/>
  <c r="AX188" i="1"/>
  <c r="AP188" i="1"/>
  <c r="AO188" i="1"/>
  <c r="AL188" i="1"/>
  <c r="AJ188" i="1"/>
  <c r="AS183" i="1" s="1"/>
  <c r="AH188" i="1"/>
  <c r="AG188" i="1"/>
  <c r="AF188" i="1"/>
  <c r="AE188" i="1"/>
  <c r="AD188" i="1"/>
  <c r="AC188" i="1"/>
  <c r="AB188" i="1"/>
  <c r="J188" i="1"/>
  <c r="AK188" i="1" s="1"/>
  <c r="I188" i="1"/>
  <c r="BJ187" i="1"/>
  <c r="BF187" i="1"/>
  <c r="BD187" i="1"/>
  <c r="AW187" i="1"/>
  <c r="AP187" i="1"/>
  <c r="AO187" i="1"/>
  <c r="BH187" i="1" s="1"/>
  <c r="AD187" i="1" s="1"/>
  <c r="AL187" i="1"/>
  <c r="AK187" i="1"/>
  <c r="AJ187" i="1"/>
  <c r="AH187" i="1"/>
  <c r="AG187" i="1"/>
  <c r="AF187" i="1"/>
  <c r="AC187" i="1"/>
  <c r="AB187" i="1"/>
  <c r="Z187" i="1"/>
  <c r="J187" i="1"/>
  <c r="H187" i="1"/>
  <c r="BJ185" i="1"/>
  <c r="BF185" i="1"/>
  <c r="BD185" i="1"/>
  <c r="AX185" i="1"/>
  <c r="AP185" i="1"/>
  <c r="BI185" i="1" s="1"/>
  <c r="AE185" i="1" s="1"/>
  <c r="AO185" i="1"/>
  <c r="H185" i="1" s="1"/>
  <c r="AL185" i="1"/>
  <c r="AJ185" i="1"/>
  <c r="AH185" i="1"/>
  <c r="AG185" i="1"/>
  <c r="AF185" i="1"/>
  <c r="AC185" i="1"/>
  <c r="AB185" i="1"/>
  <c r="Z185" i="1"/>
  <c r="J185" i="1"/>
  <c r="AK185" i="1" s="1"/>
  <c r="I185" i="1"/>
  <c r="BJ184" i="1"/>
  <c r="BF184" i="1"/>
  <c r="BD184" i="1"/>
  <c r="AP184" i="1"/>
  <c r="I184" i="1" s="1"/>
  <c r="AO184" i="1"/>
  <c r="AL184" i="1"/>
  <c r="AJ184" i="1"/>
  <c r="AH184" i="1"/>
  <c r="AG184" i="1"/>
  <c r="AF184" i="1"/>
  <c r="AC184" i="1"/>
  <c r="AB184" i="1"/>
  <c r="Z184" i="1"/>
  <c r="J184" i="1"/>
  <c r="BJ182" i="1"/>
  <c r="BI182" i="1"/>
  <c r="AE182" i="1" s="1"/>
  <c r="BF182" i="1"/>
  <c r="BD182" i="1"/>
  <c r="AP182" i="1"/>
  <c r="AX182" i="1" s="1"/>
  <c r="AO182" i="1"/>
  <c r="AL182" i="1"/>
  <c r="AK182" i="1"/>
  <c r="AT181" i="1" s="1"/>
  <c r="AJ182" i="1"/>
  <c r="AH182" i="1"/>
  <c r="AG182" i="1"/>
  <c r="AF182" i="1"/>
  <c r="AC182" i="1"/>
  <c r="AB182" i="1"/>
  <c r="Z182" i="1"/>
  <c r="J182" i="1"/>
  <c r="J181" i="1" s="1"/>
  <c r="AU181" i="1"/>
  <c r="AS181" i="1"/>
  <c r="BJ180" i="1"/>
  <c r="BI180" i="1"/>
  <c r="BH180" i="1"/>
  <c r="BF180" i="1"/>
  <c r="BD180" i="1"/>
  <c r="BC180" i="1"/>
  <c r="AX180" i="1"/>
  <c r="AW180" i="1"/>
  <c r="AV180" i="1"/>
  <c r="AP180" i="1"/>
  <c r="I180" i="1" s="1"/>
  <c r="AO180" i="1"/>
  <c r="AL180" i="1"/>
  <c r="AK180" i="1"/>
  <c r="AJ180" i="1"/>
  <c r="AH180" i="1"/>
  <c r="AG180" i="1"/>
  <c r="AF180" i="1"/>
  <c r="AE180" i="1"/>
  <c r="AD180" i="1"/>
  <c r="AC180" i="1"/>
  <c r="AB180" i="1"/>
  <c r="Z180" i="1"/>
  <c r="J180" i="1"/>
  <c r="H180" i="1"/>
  <c r="BJ179" i="1"/>
  <c r="BI179" i="1"/>
  <c r="BH179" i="1"/>
  <c r="AD179" i="1" s="1"/>
  <c r="BF179" i="1"/>
  <c r="BD179" i="1"/>
  <c r="AX179" i="1"/>
  <c r="AW179" i="1"/>
  <c r="AP179" i="1"/>
  <c r="AO179" i="1"/>
  <c r="AL179" i="1"/>
  <c r="AK179" i="1"/>
  <c r="AJ179" i="1"/>
  <c r="AH179" i="1"/>
  <c r="AG179" i="1"/>
  <c r="AF179" i="1"/>
  <c r="AE179" i="1"/>
  <c r="AC179" i="1"/>
  <c r="AB179" i="1"/>
  <c r="Z179" i="1"/>
  <c r="J179" i="1"/>
  <c r="I179" i="1"/>
  <c r="H179" i="1"/>
  <c r="BJ178" i="1"/>
  <c r="BI178" i="1"/>
  <c r="AE178" i="1" s="1"/>
  <c r="BF178" i="1"/>
  <c r="BD178" i="1"/>
  <c r="AX178" i="1"/>
  <c r="AP178" i="1"/>
  <c r="AO178" i="1"/>
  <c r="AW178" i="1" s="1"/>
  <c r="AL178" i="1"/>
  <c r="AK178" i="1"/>
  <c r="AJ178" i="1"/>
  <c r="AH178" i="1"/>
  <c r="AG178" i="1"/>
  <c r="AF178" i="1"/>
  <c r="AC178" i="1"/>
  <c r="AB178" i="1"/>
  <c r="Z178" i="1"/>
  <c r="J178" i="1"/>
  <c r="I178" i="1"/>
  <c r="H178" i="1"/>
  <c r="BJ177" i="1"/>
  <c r="BH177" i="1"/>
  <c r="AD177" i="1" s="1"/>
  <c r="BF177" i="1"/>
  <c r="BD177" i="1"/>
  <c r="AP177" i="1"/>
  <c r="AX177" i="1" s="1"/>
  <c r="AO177" i="1"/>
  <c r="AW177" i="1" s="1"/>
  <c r="AV177" i="1" s="1"/>
  <c r="AL177" i="1"/>
  <c r="AK177" i="1"/>
  <c r="AJ177" i="1"/>
  <c r="AH177" i="1"/>
  <c r="AG177" i="1"/>
  <c r="AF177" i="1"/>
  <c r="AC177" i="1"/>
  <c r="AB177" i="1"/>
  <c r="Z177" i="1"/>
  <c r="J177" i="1"/>
  <c r="I177" i="1"/>
  <c r="H177" i="1"/>
  <c r="BJ176" i="1"/>
  <c r="BI176" i="1"/>
  <c r="AE176" i="1" s="1"/>
  <c r="BH176" i="1"/>
  <c r="AD176" i="1" s="1"/>
  <c r="BF176" i="1"/>
  <c r="BD176" i="1"/>
  <c r="AP176" i="1"/>
  <c r="AX176" i="1" s="1"/>
  <c r="AO176" i="1"/>
  <c r="AW176" i="1" s="1"/>
  <c r="AL176" i="1"/>
  <c r="AJ176" i="1"/>
  <c r="AH176" i="1"/>
  <c r="AG176" i="1"/>
  <c r="AF176" i="1"/>
  <c r="AC176" i="1"/>
  <c r="AB176" i="1"/>
  <c r="Z176" i="1"/>
  <c r="J176" i="1"/>
  <c r="AK176" i="1" s="1"/>
  <c r="I176" i="1"/>
  <c r="BJ175" i="1"/>
  <c r="BI175" i="1"/>
  <c r="AE175" i="1" s="1"/>
  <c r="BF175" i="1"/>
  <c r="BD175" i="1"/>
  <c r="AP175" i="1"/>
  <c r="AX175" i="1" s="1"/>
  <c r="AO175" i="1"/>
  <c r="AL175" i="1"/>
  <c r="AJ175" i="1"/>
  <c r="AH175" i="1"/>
  <c r="AG175" i="1"/>
  <c r="AF175" i="1"/>
  <c r="AC175" i="1"/>
  <c r="AB175" i="1"/>
  <c r="Z175" i="1"/>
  <c r="J175" i="1"/>
  <c r="AK175" i="1" s="1"/>
  <c r="BJ174" i="1"/>
  <c r="BH174" i="1"/>
  <c r="AD174" i="1" s="1"/>
  <c r="BF174" i="1"/>
  <c r="BD174" i="1"/>
  <c r="AW174" i="1"/>
  <c r="AP174" i="1"/>
  <c r="AO174" i="1"/>
  <c r="AL174" i="1"/>
  <c r="AK174" i="1"/>
  <c r="AJ174" i="1"/>
  <c r="AH174" i="1"/>
  <c r="AG174" i="1"/>
  <c r="AF174" i="1"/>
  <c r="AC174" i="1"/>
  <c r="AB174" i="1"/>
  <c r="Z174" i="1"/>
  <c r="J174" i="1"/>
  <c r="I174" i="1"/>
  <c r="H174" i="1"/>
  <c r="BJ173" i="1"/>
  <c r="BI173" i="1"/>
  <c r="AE173" i="1" s="1"/>
  <c r="BF173" i="1"/>
  <c r="BD173" i="1"/>
  <c r="AX173" i="1"/>
  <c r="AP173" i="1"/>
  <c r="AO173" i="1"/>
  <c r="AL173" i="1"/>
  <c r="AJ173" i="1"/>
  <c r="AS172" i="1" s="1"/>
  <c r="AH173" i="1"/>
  <c r="AG173" i="1"/>
  <c r="AF173" i="1"/>
  <c r="AC173" i="1"/>
  <c r="AB173" i="1"/>
  <c r="Z173" i="1"/>
  <c r="J173" i="1"/>
  <c r="I173" i="1"/>
  <c r="AU172" i="1"/>
  <c r="BJ171" i="1"/>
  <c r="Z171" i="1" s="1"/>
  <c r="BI171" i="1"/>
  <c r="BF171" i="1"/>
  <c r="BD171" i="1"/>
  <c r="AX171" i="1"/>
  <c r="BC171" i="1" s="1"/>
  <c r="AW171" i="1"/>
  <c r="AV171" i="1" s="1"/>
  <c r="AP171" i="1"/>
  <c r="AO171" i="1"/>
  <c r="BH171" i="1" s="1"/>
  <c r="AL171" i="1"/>
  <c r="AK171" i="1"/>
  <c r="AJ171" i="1"/>
  <c r="AH171" i="1"/>
  <c r="AG171" i="1"/>
  <c r="AF171" i="1"/>
  <c r="AE171" i="1"/>
  <c r="AD171" i="1"/>
  <c r="AC171" i="1"/>
  <c r="AB171" i="1"/>
  <c r="J171" i="1"/>
  <c r="I171" i="1"/>
  <c r="H171" i="1"/>
  <c r="BJ170" i="1"/>
  <c r="BH170" i="1"/>
  <c r="AD170" i="1" s="1"/>
  <c r="BF170" i="1"/>
  <c r="BD170" i="1"/>
  <c r="BC170" i="1"/>
  <c r="AX170" i="1"/>
  <c r="AP170" i="1"/>
  <c r="BI170" i="1" s="1"/>
  <c r="AE170" i="1" s="1"/>
  <c r="AO170" i="1"/>
  <c r="AW170" i="1" s="1"/>
  <c r="AV170" i="1" s="1"/>
  <c r="AL170" i="1"/>
  <c r="AK170" i="1"/>
  <c r="AJ170" i="1"/>
  <c r="AH170" i="1"/>
  <c r="AG170" i="1"/>
  <c r="AF170" i="1"/>
  <c r="AC170" i="1"/>
  <c r="AB170" i="1"/>
  <c r="Z170" i="1"/>
  <c r="J170" i="1"/>
  <c r="I170" i="1"/>
  <c r="H170" i="1"/>
  <c r="BJ169" i="1"/>
  <c r="BI169" i="1"/>
  <c r="AE169" i="1" s="1"/>
  <c r="BH169" i="1"/>
  <c r="AD169" i="1" s="1"/>
  <c r="BF169" i="1"/>
  <c r="BD169" i="1"/>
  <c r="AP169" i="1"/>
  <c r="AX169" i="1" s="1"/>
  <c r="AO169" i="1"/>
  <c r="AW169" i="1" s="1"/>
  <c r="AL169" i="1"/>
  <c r="AJ169" i="1"/>
  <c r="AH169" i="1"/>
  <c r="AG169" i="1"/>
  <c r="AF169" i="1"/>
  <c r="AC169" i="1"/>
  <c r="AB169" i="1"/>
  <c r="Z169" i="1"/>
  <c r="J169" i="1"/>
  <c r="AK169" i="1" s="1"/>
  <c r="I169" i="1"/>
  <c r="BJ168" i="1"/>
  <c r="BI168" i="1"/>
  <c r="AE168" i="1" s="1"/>
  <c r="BF168" i="1"/>
  <c r="BD168" i="1"/>
  <c r="AP168" i="1"/>
  <c r="AX168" i="1" s="1"/>
  <c r="AO168" i="1"/>
  <c r="AL168" i="1"/>
  <c r="AJ168" i="1"/>
  <c r="AH168" i="1"/>
  <c r="AG168" i="1"/>
  <c r="AF168" i="1"/>
  <c r="AC168" i="1"/>
  <c r="AB168" i="1"/>
  <c r="Z168" i="1"/>
  <c r="J168" i="1"/>
  <c r="AK168" i="1" s="1"/>
  <c r="H168" i="1"/>
  <c r="BJ167" i="1"/>
  <c r="BH167" i="1"/>
  <c r="AD167" i="1" s="1"/>
  <c r="BF167" i="1"/>
  <c r="BD167" i="1"/>
  <c r="AW167" i="1"/>
  <c r="AP167" i="1"/>
  <c r="AO167" i="1"/>
  <c r="AL167" i="1"/>
  <c r="AK167" i="1"/>
  <c r="AJ167" i="1"/>
  <c r="AH167" i="1"/>
  <c r="AG167" i="1"/>
  <c r="AF167" i="1"/>
  <c r="AC167" i="1"/>
  <c r="AB167" i="1"/>
  <c r="Z167" i="1"/>
  <c r="J167" i="1"/>
  <c r="I167" i="1"/>
  <c r="H167" i="1"/>
  <c r="BJ166" i="1"/>
  <c r="BI166" i="1"/>
  <c r="AE166" i="1" s="1"/>
  <c r="BF166" i="1"/>
  <c r="BD166" i="1"/>
  <c r="AX166" i="1"/>
  <c r="AP166" i="1"/>
  <c r="AO166" i="1"/>
  <c r="AL166" i="1"/>
  <c r="AJ166" i="1"/>
  <c r="AH166" i="1"/>
  <c r="AG166" i="1"/>
  <c r="AF166" i="1"/>
  <c r="AC166" i="1"/>
  <c r="AB166" i="1"/>
  <c r="Z166" i="1"/>
  <c r="J166" i="1"/>
  <c r="AK166" i="1" s="1"/>
  <c r="I166" i="1"/>
  <c r="BJ165" i="1"/>
  <c r="BF165" i="1"/>
  <c r="BD165" i="1"/>
  <c r="AW165" i="1"/>
  <c r="AP165" i="1"/>
  <c r="AO165" i="1"/>
  <c r="BH165" i="1" s="1"/>
  <c r="AD165" i="1" s="1"/>
  <c r="AL165" i="1"/>
  <c r="AK165" i="1"/>
  <c r="AJ165" i="1"/>
  <c r="AH165" i="1"/>
  <c r="AG165" i="1"/>
  <c r="AF165" i="1"/>
  <c r="AC165" i="1"/>
  <c r="AB165" i="1"/>
  <c r="Z165" i="1"/>
  <c r="J165" i="1"/>
  <c r="H165" i="1"/>
  <c r="BJ164" i="1"/>
  <c r="BF164" i="1"/>
  <c r="BD164" i="1"/>
  <c r="AX164" i="1"/>
  <c r="AP164" i="1"/>
  <c r="BI164" i="1" s="1"/>
  <c r="AE164" i="1" s="1"/>
  <c r="AO164" i="1"/>
  <c r="H164" i="1" s="1"/>
  <c r="AL164" i="1"/>
  <c r="AJ164" i="1"/>
  <c r="AH164" i="1"/>
  <c r="AG164" i="1"/>
  <c r="AF164" i="1"/>
  <c r="AC164" i="1"/>
  <c r="AB164" i="1"/>
  <c r="Z164" i="1"/>
  <c r="J164" i="1"/>
  <c r="AK164" i="1" s="1"/>
  <c r="I164" i="1"/>
  <c r="BJ163" i="1"/>
  <c r="BF163" i="1"/>
  <c r="BD163" i="1"/>
  <c r="AP163" i="1"/>
  <c r="I163" i="1" s="1"/>
  <c r="AO163" i="1"/>
  <c r="AL163" i="1"/>
  <c r="AJ163" i="1"/>
  <c r="AH163" i="1"/>
  <c r="AG163" i="1"/>
  <c r="AF163" i="1"/>
  <c r="AC163" i="1"/>
  <c r="AB163" i="1"/>
  <c r="Z163" i="1"/>
  <c r="J163" i="1"/>
  <c r="AK163" i="1" s="1"/>
  <c r="BJ162" i="1"/>
  <c r="BH162" i="1"/>
  <c r="BF162" i="1"/>
  <c r="BD162" i="1"/>
  <c r="AW162" i="1"/>
  <c r="AP162" i="1"/>
  <c r="AO162" i="1"/>
  <c r="H162" i="1" s="1"/>
  <c r="AL162" i="1"/>
  <c r="AJ162" i="1"/>
  <c r="AH162" i="1"/>
  <c r="AG162" i="1"/>
  <c r="AF162" i="1"/>
  <c r="AD162" i="1"/>
  <c r="AC162" i="1"/>
  <c r="AB162" i="1"/>
  <c r="Z162" i="1"/>
  <c r="J162" i="1"/>
  <c r="AK162" i="1" s="1"/>
  <c r="BJ161" i="1"/>
  <c r="BI161" i="1"/>
  <c r="BH161" i="1"/>
  <c r="BF161" i="1"/>
  <c r="BD161" i="1"/>
  <c r="BC161" i="1"/>
  <c r="AX161" i="1"/>
  <c r="AW161" i="1"/>
  <c r="AV161" i="1"/>
  <c r="AP161" i="1"/>
  <c r="I161" i="1" s="1"/>
  <c r="AO161" i="1"/>
  <c r="AL161" i="1"/>
  <c r="AK161" i="1"/>
  <c r="AJ161" i="1"/>
  <c r="AH161" i="1"/>
  <c r="AG161" i="1"/>
  <c r="AF161" i="1"/>
  <c r="AE161" i="1"/>
  <c r="AD161" i="1"/>
  <c r="AC161" i="1"/>
  <c r="AB161" i="1"/>
  <c r="Z161" i="1"/>
  <c r="J161" i="1"/>
  <c r="H161" i="1"/>
  <c r="AS160" i="1"/>
  <c r="BJ159" i="1"/>
  <c r="Z159" i="1" s="1"/>
  <c r="BI159" i="1"/>
  <c r="BF159" i="1"/>
  <c r="BD159" i="1"/>
  <c r="AX159" i="1"/>
  <c r="AP159" i="1"/>
  <c r="AO159" i="1"/>
  <c r="AL159" i="1"/>
  <c r="AJ159" i="1"/>
  <c r="AH159" i="1"/>
  <c r="AG159" i="1"/>
  <c r="AF159" i="1"/>
  <c r="AE159" i="1"/>
  <c r="AD159" i="1"/>
  <c r="AC159" i="1"/>
  <c r="AB159" i="1"/>
  <c r="J159" i="1"/>
  <c r="AK159" i="1" s="1"/>
  <c r="I159" i="1"/>
  <c r="BJ158" i="1"/>
  <c r="BF158" i="1"/>
  <c r="BD158" i="1"/>
  <c r="AW158" i="1"/>
  <c r="AP158" i="1"/>
  <c r="AO158" i="1"/>
  <c r="BH158" i="1" s="1"/>
  <c r="AD158" i="1" s="1"/>
  <c r="AL158" i="1"/>
  <c r="AK158" i="1"/>
  <c r="AJ158" i="1"/>
  <c r="AH158" i="1"/>
  <c r="AG158" i="1"/>
  <c r="AF158" i="1"/>
  <c r="AC158" i="1"/>
  <c r="AB158" i="1"/>
  <c r="Z158" i="1"/>
  <c r="J158" i="1"/>
  <c r="H158" i="1"/>
  <c r="BJ156" i="1"/>
  <c r="BF156" i="1"/>
  <c r="BD156" i="1"/>
  <c r="AX156" i="1"/>
  <c r="AP156" i="1"/>
  <c r="BI156" i="1" s="1"/>
  <c r="AE156" i="1" s="1"/>
  <c r="AO156" i="1"/>
  <c r="H156" i="1" s="1"/>
  <c r="AL156" i="1"/>
  <c r="AJ156" i="1"/>
  <c r="AH156" i="1"/>
  <c r="AG156" i="1"/>
  <c r="AF156" i="1"/>
  <c r="AC156" i="1"/>
  <c r="AB156" i="1"/>
  <c r="Z156" i="1"/>
  <c r="J156" i="1"/>
  <c r="AK156" i="1" s="1"/>
  <c r="I156" i="1"/>
  <c r="BJ155" i="1"/>
  <c r="BF155" i="1"/>
  <c r="BD155" i="1"/>
  <c r="AW155" i="1"/>
  <c r="AP155" i="1"/>
  <c r="I155" i="1" s="1"/>
  <c r="AO155" i="1"/>
  <c r="AL155" i="1"/>
  <c r="AJ155" i="1"/>
  <c r="AH155" i="1"/>
  <c r="AG155" i="1"/>
  <c r="AF155" i="1"/>
  <c r="AC155" i="1"/>
  <c r="AB155" i="1"/>
  <c r="Z155" i="1"/>
  <c r="J155" i="1"/>
  <c r="AK155" i="1" s="1"/>
  <c r="BJ154" i="1"/>
  <c r="BH154" i="1"/>
  <c r="BF154" i="1"/>
  <c r="BD154" i="1"/>
  <c r="AW154" i="1"/>
  <c r="AP154" i="1"/>
  <c r="AO154" i="1"/>
  <c r="H154" i="1" s="1"/>
  <c r="AL154" i="1"/>
  <c r="AJ154" i="1"/>
  <c r="AH154" i="1"/>
  <c r="AG154" i="1"/>
  <c r="AF154" i="1"/>
  <c r="AD154" i="1"/>
  <c r="AC154" i="1"/>
  <c r="AB154" i="1"/>
  <c r="Z154" i="1"/>
  <c r="J154" i="1"/>
  <c r="AK154" i="1" s="1"/>
  <c r="BJ153" i="1"/>
  <c r="BI153" i="1"/>
  <c r="BH153" i="1"/>
  <c r="BF153" i="1"/>
  <c r="BD153" i="1"/>
  <c r="BC153" i="1"/>
  <c r="AX153" i="1"/>
  <c r="AW153" i="1"/>
  <c r="AV153" i="1"/>
  <c r="AP153" i="1"/>
  <c r="I153" i="1" s="1"/>
  <c r="AO153" i="1"/>
  <c r="AL153" i="1"/>
  <c r="AK153" i="1"/>
  <c r="AJ153" i="1"/>
  <c r="AH153" i="1"/>
  <c r="AG153" i="1"/>
  <c r="AF153" i="1"/>
  <c r="AE153" i="1"/>
  <c r="AD153" i="1"/>
  <c r="AC153" i="1"/>
  <c r="AB153" i="1"/>
  <c r="Z153" i="1"/>
  <c r="J153" i="1"/>
  <c r="H153" i="1"/>
  <c r="BJ152" i="1"/>
  <c r="BI152" i="1"/>
  <c r="BH152" i="1"/>
  <c r="AD152" i="1" s="1"/>
  <c r="BF152" i="1"/>
  <c r="BD152" i="1"/>
  <c r="AX152" i="1"/>
  <c r="AW152" i="1"/>
  <c r="AP152" i="1"/>
  <c r="AO152" i="1"/>
  <c r="AL152" i="1"/>
  <c r="AK152" i="1"/>
  <c r="AJ152" i="1"/>
  <c r="AH152" i="1"/>
  <c r="AG152" i="1"/>
  <c r="AF152" i="1"/>
  <c r="AE152" i="1"/>
  <c r="AC152" i="1"/>
  <c r="AB152" i="1"/>
  <c r="Z152" i="1"/>
  <c r="J152" i="1"/>
  <c r="I152" i="1"/>
  <c r="H152" i="1"/>
  <c r="BJ151" i="1"/>
  <c r="BI151" i="1"/>
  <c r="AE151" i="1" s="1"/>
  <c r="BF151" i="1"/>
  <c r="BD151" i="1"/>
  <c r="AX151" i="1"/>
  <c r="BC151" i="1" s="1"/>
  <c r="AW151" i="1"/>
  <c r="AP151" i="1"/>
  <c r="AO151" i="1"/>
  <c r="BH151" i="1" s="1"/>
  <c r="AD151" i="1" s="1"/>
  <c r="AL151" i="1"/>
  <c r="AJ151" i="1"/>
  <c r="AH151" i="1"/>
  <c r="AG151" i="1"/>
  <c r="AF151" i="1"/>
  <c r="AC151" i="1"/>
  <c r="AB151" i="1"/>
  <c r="Z151" i="1"/>
  <c r="J151" i="1"/>
  <c r="AK151" i="1" s="1"/>
  <c r="I151" i="1"/>
  <c r="H151" i="1"/>
  <c r="BJ150" i="1"/>
  <c r="BH150" i="1"/>
  <c r="AD150" i="1" s="1"/>
  <c r="BF150" i="1"/>
  <c r="BD150" i="1"/>
  <c r="AX150" i="1"/>
  <c r="AP150" i="1"/>
  <c r="BI150" i="1" s="1"/>
  <c r="AE150" i="1" s="1"/>
  <c r="AO150" i="1"/>
  <c r="AW150" i="1" s="1"/>
  <c r="AL150" i="1"/>
  <c r="AK150" i="1"/>
  <c r="AJ150" i="1"/>
  <c r="AH150" i="1"/>
  <c r="AG150" i="1"/>
  <c r="AF150" i="1"/>
  <c r="AC150" i="1"/>
  <c r="AB150" i="1"/>
  <c r="Z150" i="1"/>
  <c r="J150" i="1"/>
  <c r="I150" i="1"/>
  <c r="H150" i="1"/>
  <c r="BJ149" i="1"/>
  <c r="BI149" i="1"/>
  <c r="AE149" i="1" s="1"/>
  <c r="BH149" i="1"/>
  <c r="AD149" i="1" s="1"/>
  <c r="BF149" i="1"/>
  <c r="BD149" i="1"/>
  <c r="AP149" i="1"/>
  <c r="AX149" i="1" s="1"/>
  <c r="AO149" i="1"/>
  <c r="AW149" i="1" s="1"/>
  <c r="AL149" i="1"/>
  <c r="AJ149" i="1"/>
  <c r="AH149" i="1"/>
  <c r="AG149" i="1"/>
  <c r="AF149" i="1"/>
  <c r="AC149" i="1"/>
  <c r="AB149" i="1"/>
  <c r="Z149" i="1"/>
  <c r="J149" i="1"/>
  <c r="AK149" i="1" s="1"/>
  <c r="I149" i="1"/>
  <c r="BJ148" i="1"/>
  <c r="BI148" i="1"/>
  <c r="AE148" i="1" s="1"/>
  <c r="BF148" i="1"/>
  <c r="BD148" i="1"/>
  <c r="AP148" i="1"/>
  <c r="AX148" i="1" s="1"/>
  <c r="AO148" i="1"/>
  <c r="AL148" i="1"/>
  <c r="AK148" i="1"/>
  <c r="AJ148" i="1"/>
  <c r="AH148" i="1"/>
  <c r="AG148" i="1"/>
  <c r="AF148" i="1"/>
  <c r="AC148" i="1"/>
  <c r="AB148" i="1"/>
  <c r="Z148" i="1"/>
  <c r="J148" i="1"/>
  <c r="BJ147" i="1"/>
  <c r="BH147" i="1"/>
  <c r="AD147" i="1" s="1"/>
  <c r="BF147" i="1"/>
  <c r="BD147" i="1"/>
  <c r="AW147" i="1"/>
  <c r="AP147" i="1"/>
  <c r="AO147" i="1"/>
  <c r="AL147" i="1"/>
  <c r="AK147" i="1"/>
  <c r="AJ147" i="1"/>
  <c r="AH147" i="1"/>
  <c r="AG147" i="1"/>
  <c r="AF147" i="1"/>
  <c r="AC147" i="1"/>
  <c r="AB147" i="1"/>
  <c r="Z147" i="1"/>
  <c r="J147" i="1"/>
  <c r="I147" i="1"/>
  <c r="H147" i="1"/>
  <c r="BJ146" i="1"/>
  <c r="BI146" i="1"/>
  <c r="AE146" i="1" s="1"/>
  <c r="BF146" i="1"/>
  <c r="BD146" i="1"/>
  <c r="AX146" i="1"/>
  <c r="AP146" i="1"/>
  <c r="AO146" i="1"/>
  <c r="AL146" i="1"/>
  <c r="AJ146" i="1"/>
  <c r="AH146" i="1"/>
  <c r="AG146" i="1"/>
  <c r="AF146" i="1"/>
  <c r="AC146" i="1"/>
  <c r="AB146" i="1"/>
  <c r="Z146" i="1"/>
  <c r="J146" i="1"/>
  <c r="AK146" i="1" s="1"/>
  <c r="I146" i="1"/>
  <c r="BJ145" i="1"/>
  <c r="BF145" i="1"/>
  <c r="BD145" i="1"/>
  <c r="AW145" i="1"/>
  <c r="AP145" i="1"/>
  <c r="AO145" i="1"/>
  <c r="BH145" i="1" s="1"/>
  <c r="AD145" i="1" s="1"/>
  <c r="AL145" i="1"/>
  <c r="AK145" i="1"/>
  <c r="AJ145" i="1"/>
  <c r="AH145" i="1"/>
  <c r="AG145" i="1"/>
  <c r="AF145" i="1"/>
  <c r="AC145" i="1"/>
  <c r="AB145" i="1"/>
  <c r="Z145" i="1"/>
  <c r="J145" i="1"/>
  <c r="H145" i="1"/>
  <c r="BJ144" i="1"/>
  <c r="BF144" i="1"/>
  <c r="BD144" i="1"/>
  <c r="AX144" i="1"/>
  <c r="AP144" i="1"/>
  <c r="BI144" i="1" s="1"/>
  <c r="AE144" i="1" s="1"/>
  <c r="AO144" i="1"/>
  <c r="H144" i="1" s="1"/>
  <c r="AL144" i="1"/>
  <c r="AJ144" i="1"/>
  <c r="AH144" i="1"/>
  <c r="AG144" i="1"/>
  <c r="AF144" i="1"/>
  <c r="AC144" i="1"/>
  <c r="AB144" i="1"/>
  <c r="Z144" i="1"/>
  <c r="J144" i="1"/>
  <c r="AK144" i="1" s="1"/>
  <c r="I144" i="1"/>
  <c r="BJ143" i="1"/>
  <c r="BF143" i="1"/>
  <c r="BD143" i="1"/>
  <c r="AW143" i="1"/>
  <c r="AP143" i="1"/>
  <c r="I143" i="1" s="1"/>
  <c r="AO143" i="1"/>
  <c r="AL143" i="1"/>
  <c r="AJ143" i="1"/>
  <c r="AH143" i="1"/>
  <c r="AG143" i="1"/>
  <c r="AF143" i="1"/>
  <c r="AC143" i="1"/>
  <c r="AB143" i="1"/>
  <c r="Z143" i="1"/>
  <c r="J143" i="1"/>
  <c r="BJ142" i="1"/>
  <c r="BH142" i="1"/>
  <c r="BF142" i="1"/>
  <c r="BD142" i="1"/>
  <c r="AX142" i="1"/>
  <c r="AP142" i="1"/>
  <c r="AO142" i="1"/>
  <c r="H142" i="1" s="1"/>
  <c r="AL142" i="1"/>
  <c r="AJ142" i="1"/>
  <c r="AH142" i="1"/>
  <c r="AG142" i="1"/>
  <c r="AF142" i="1"/>
  <c r="AD142" i="1"/>
  <c r="AC142" i="1"/>
  <c r="AB142" i="1"/>
  <c r="Z142" i="1"/>
  <c r="J142" i="1"/>
  <c r="AK142" i="1" s="1"/>
  <c r="BJ141" i="1"/>
  <c r="BI141" i="1"/>
  <c r="BH141" i="1"/>
  <c r="BF141" i="1"/>
  <c r="BD141" i="1"/>
  <c r="AW141" i="1"/>
  <c r="AP141" i="1"/>
  <c r="I141" i="1" s="1"/>
  <c r="AO141" i="1"/>
  <c r="AL141" i="1"/>
  <c r="AK141" i="1"/>
  <c r="AJ141" i="1"/>
  <c r="AH141" i="1"/>
  <c r="AG141" i="1"/>
  <c r="AF141" i="1"/>
  <c r="AE141" i="1"/>
  <c r="AD141" i="1"/>
  <c r="AC141" i="1"/>
  <c r="AB141" i="1"/>
  <c r="Z141" i="1"/>
  <c r="J141" i="1"/>
  <c r="H141" i="1"/>
  <c r="BJ140" i="1"/>
  <c r="BI140" i="1"/>
  <c r="BH140" i="1"/>
  <c r="AD140" i="1" s="1"/>
  <c r="BF140" i="1"/>
  <c r="BD140" i="1"/>
  <c r="AX140" i="1"/>
  <c r="AW140" i="1"/>
  <c r="AP140" i="1"/>
  <c r="AO140" i="1"/>
  <c r="AL140" i="1"/>
  <c r="AK140" i="1"/>
  <c r="AJ140" i="1"/>
  <c r="AH140" i="1"/>
  <c r="AG140" i="1"/>
  <c r="AF140" i="1"/>
  <c r="AE140" i="1"/>
  <c r="AC140" i="1"/>
  <c r="AB140" i="1"/>
  <c r="Z140" i="1"/>
  <c r="J140" i="1"/>
  <c r="I140" i="1"/>
  <c r="H140" i="1"/>
  <c r="BJ139" i="1"/>
  <c r="BI139" i="1"/>
  <c r="AE139" i="1" s="1"/>
  <c r="BF139" i="1"/>
  <c r="BD139" i="1"/>
  <c r="AX139" i="1"/>
  <c r="BC139" i="1" s="1"/>
  <c r="AW139" i="1"/>
  <c r="AV139" i="1" s="1"/>
  <c r="AP139" i="1"/>
  <c r="AO139" i="1"/>
  <c r="BH139" i="1" s="1"/>
  <c r="AL139" i="1"/>
  <c r="AK139" i="1"/>
  <c r="AJ139" i="1"/>
  <c r="AH139" i="1"/>
  <c r="AG139" i="1"/>
  <c r="AF139" i="1"/>
  <c r="AD139" i="1"/>
  <c r="AC139" i="1"/>
  <c r="AB139" i="1"/>
  <c r="Z139" i="1"/>
  <c r="J139" i="1"/>
  <c r="I139" i="1"/>
  <c r="H139" i="1"/>
  <c r="BJ138" i="1"/>
  <c r="BH138" i="1"/>
  <c r="AD138" i="1" s="1"/>
  <c r="BF138" i="1"/>
  <c r="BD138" i="1"/>
  <c r="AX138" i="1"/>
  <c r="AP138" i="1"/>
  <c r="BI138" i="1" s="1"/>
  <c r="AO138" i="1"/>
  <c r="AW138" i="1" s="1"/>
  <c r="AV138" i="1" s="1"/>
  <c r="AL138" i="1"/>
  <c r="AK138" i="1"/>
  <c r="AJ138" i="1"/>
  <c r="AH138" i="1"/>
  <c r="AG138" i="1"/>
  <c r="AF138" i="1"/>
  <c r="AE138" i="1"/>
  <c r="AC138" i="1"/>
  <c r="AB138" i="1"/>
  <c r="Z138" i="1"/>
  <c r="J138" i="1"/>
  <c r="I138" i="1"/>
  <c r="H138" i="1"/>
  <c r="BJ137" i="1"/>
  <c r="BI137" i="1"/>
  <c r="AE137" i="1" s="1"/>
  <c r="BH137" i="1"/>
  <c r="AD137" i="1" s="1"/>
  <c r="BF137" i="1"/>
  <c r="BD137" i="1"/>
  <c r="AP137" i="1"/>
  <c r="AX137" i="1" s="1"/>
  <c r="AO137" i="1"/>
  <c r="AW137" i="1" s="1"/>
  <c r="AL137" i="1"/>
  <c r="AJ137" i="1"/>
  <c r="AH137" i="1"/>
  <c r="AG137" i="1"/>
  <c r="AF137" i="1"/>
  <c r="AC137" i="1"/>
  <c r="AB137" i="1"/>
  <c r="Z137" i="1"/>
  <c r="J137" i="1"/>
  <c r="AK137" i="1" s="1"/>
  <c r="I137" i="1"/>
  <c r="BJ136" i="1"/>
  <c r="BI136" i="1"/>
  <c r="AE136" i="1" s="1"/>
  <c r="BF136" i="1"/>
  <c r="BD136" i="1"/>
  <c r="AP136" i="1"/>
  <c r="AX136" i="1" s="1"/>
  <c r="AO136" i="1"/>
  <c r="AL136" i="1"/>
  <c r="AJ136" i="1"/>
  <c r="AH136" i="1"/>
  <c r="AG136" i="1"/>
  <c r="AF136" i="1"/>
  <c r="AC136" i="1"/>
  <c r="AB136" i="1"/>
  <c r="Z136" i="1"/>
  <c r="J136" i="1"/>
  <c r="AK136" i="1" s="1"/>
  <c r="BJ135" i="1"/>
  <c r="BH135" i="1"/>
  <c r="AD135" i="1" s="1"/>
  <c r="BF135" i="1"/>
  <c r="BD135" i="1"/>
  <c r="AW135" i="1"/>
  <c r="AP135" i="1"/>
  <c r="AO135" i="1"/>
  <c r="AL135" i="1"/>
  <c r="AK135" i="1"/>
  <c r="AJ135" i="1"/>
  <c r="AH135" i="1"/>
  <c r="AG135" i="1"/>
  <c r="AF135" i="1"/>
  <c r="AC135" i="1"/>
  <c r="AB135" i="1"/>
  <c r="Z135" i="1"/>
  <c r="J135" i="1"/>
  <c r="I135" i="1"/>
  <c r="H135" i="1"/>
  <c r="BJ134" i="1"/>
  <c r="BI134" i="1"/>
  <c r="AE134" i="1" s="1"/>
  <c r="BF134" i="1"/>
  <c r="BD134" i="1"/>
  <c r="AX134" i="1"/>
  <c r="AP134" i="1"/>
  <c r="AO134" i="1"/>
  <c r="AL134" i="1"/>
  <c r="AJ134" i="1"/>
  <c r="AH134" i="1"/>
  <c r="AG134" i="1"/>
  <c r="AF134" i="1"/>
  <c r="AC134" i="1"/>
  <c r="AB134" i="1"/>
  <c r="Z134" i="1"/>
  <c r="J134" i="1"/>
  <c r="AK134" i="1" s="1"/>
  <c r="I134" i="1"/>
  <c r="BJ133" i="1"/>
  <c r="BF133" i="1"/>
  <c r="BD133" i="1"/>
  <c r="AW133" i="1"/>
  <c r="AP133" i="1"/>
  <c r="AO133" i="1"/>
  <c r="BH133" i="1" s="1"/>
  <c r="AD133" i="1" s="1"/>
  <c r="AL133" i="1"/>
  <c r="AK133" i="1"/>
  <c r="AJ133" i="1"/>
  <c r="AH133" i="1"/>
  <c r="AG133" i="1"/>
  <c r="AF133" i="1"/>
  <c r="AC133" i="1"/>
  <c r="AB133" i="1"/>
  <c r="Z133" i="1"/>
  <c r="J133" i="1"/>
  <c r="H133" i="1"/>
  <c r="BJ132" i="1"/>
  <c r="BF132" i="1"/>
  <c r="BD132" i="1"/>
  <c r="AX132" i="1"/>
  <c r="AP132" i="1"/>
  <c r="BI132" i="1" s="1"/>
  <c r="AE132" i="1" s="1"/>
  <c r="AO132" i="1"/>
  <c r="H132" i="1" s="1"/>
  <c r="AL132" i="1"/>
  <c r="AU124" i="1" s="1"/>
  <c r="AJ132" i="1"/>
  <c r="AH132" i="1"/>
  <c r="AG132" i="1"/>
  <c r="AF132" i="1"/>
  <c r="AC132" i="1"/>
  <c r="AB132" i="1"/>
  <c r="Z132" i="1"/>
  <c r="J132" i="1"/>
  <c r="AK132" i="1" s="1"/>
  <c r="I132" i="1"/>
  <c r="BJ130" i="1"/>
  <c r="BF130" i="1"/>
  <c r="BD130" i="1"/>
  <c r="AW130" i="1"/>
  <c r="AP130" i="1"/>
  <c r="I130" i="1" s="1"/>
  <c r="AO130" i="1"/>
  <c r="AL130" i="1"/>
  <c r="AJ130" i="1"/>
  <c r="AH130" i="1"/>
  <c r="AG130" i="1"/>
  <c r="AF130" i="1"/>
  <c r="AC130" i="1"/>
  <c r="AB130" i="1"/>
  <c r="Z130" i="1"/>
  <c r="J130" i="1"/>
  <c r="AK130" i="1" s="1"/>
  <c r="BJ129" i="1"/>
  <c r="BF129" i="1"/>
  <c r="BD129" i="1"/>
  <c r="AP129" i="1"/>
  <c r="AO129" i="1"/>
  <c r="H129" i="1" s="1"/>
  <c r="AL129" i="1"/>
  <c r="AJ129" i="1"/>
  <c r="AH129" i="1"/>
  <c r="AG129" i="1"/>
  <c r="AF129" i="1"/>
  <c r="AC129" i="1"/>
  <c r="AB129" i="1"/>
  <c r="Z129" i="1"/>
  <c r="J129" i="1"/>
  <c r="AK129" i="1" s="1"/>
  <c r="BJ128" i="1"/>
  <c r="BH128" i="1"/>
  <c r="AD128" i="1" s="1"/>
  <c r="BF128" i="1"/>
  <c r="BD128" i="1"/>
  <c r="AW128" i="1"/>
  <c r="BC128" i="1" s="1"/>
  <c r="AV128" i="1"/>
  <c r="AP128" i="1"/>
  <c r="AX128" i="1" s="1"/>
  <c r="AO128" i="1"/>
  <c r="AL128" i="1"/>
  <c r="AK128" i="1"/>
  <c r="AJ128" i="1"/>
  <c r="AH128" i="1"/>
  <c r="AG128" i="1"/>
  <c r="AF128" i="1"/>
  <c r="AC128" i="1"/>
  <c r="AB128" i="1"/>
  <c r="Z128" i="1"/>
  <c r="J128" i="1"/>
  <c r="I128" i="1"/>
  <c r="H128" i="1"/>
  <c r="BJ127" i="1"/>
  <c r="BH127" i="1"/>
  <c r="AD127" i="1" s="1"/>
  <c r="BF127" i="1"/>
  <c r="BD127" i="1"/>
  <c r="AX127" i="1"/>
  <c r="AW127" i="1"/>
  <c r="AP127" i="1"/>
  <c r="I127" i="1" s="1"/>
  <c r="AO127" i="1"/>
  <c r="AL127" i="1"/>
  <c r="AK127" i="1"/>
  <c r="AJ127" i="1"/>
  <c r="AH127" i="1"/>
  <c r="AG127" i="1"/>
  <c r="AF127" i="1"/>
  <c r="AC127" i="1"/>
  <c r="AB127" i="1"/>
  <c r="Z127" i="1"/>
  <c r="J127" i="1"/>
  <c r="H127" i="1"/>
  <c r="BJ126" i="1"/>
  <c r="BI126" i="1"/>
  <c r="AE126" i="1" s="1"/>
  <c r="BH126" i="1"/>
  <c r="BF126" i="1"/>
  <c r="BD126" i="1"/>
  <c r="AX126" i="1"/>
  <c r="AW126" i="1"/>
  <c r="AP126" i="1"/>
  <c r="AO126" i="1"/>
  <c r="AL126" i="1"/>
  <c r="AJ126" i="1"/>
  <c r="AH126" i="1"/>
  <c r="AG126" i="1"/>
  <c r="AF126" i="1"/>
  <c r="AD126" i="1"/>
  <c r="AC126" i="1"/>
  <c r="AB126" i="1"/>
  <c r="Z126" i="1"/>
  <c r="J126" i="1"/>
  <c r="AK126" i="1" s="1"/>
  <c r="I126" i="1"/>
  <c r="H126" i="1"/>
  <c r="BJ125" i="1"/>
  <c r="BI125" i="1"/>
  <c r="BF125" i="1"/>
  <c r="BD125" i="1"/>
  <c r="BC125" i="1"/>
  <c r="AX125" i="1"/>
  <c r="AP125" i="1"/>
  <c r="AO125" i="1"/>
  <c r="AW125" i="1" s="1"/>
  <c r="AV125" i="1" s="1"/>
  <c r="AL125" i="1"/>
  <c r="AK125" i="1"/>
  <c r="AJ125" i="1"/>
  <c r="AS124" i="1" s="1"/>
  <c r="AH125" i="1"/>
  <c r="AG125" i="1"/>
  <c r="AF125" i="1"/>
  <c r="AE125" i="1"/>
  <c r="AC125" i="1"/>
  <c r="AB125" i="1"/>
  <c r="Z125" i="1"/>
  <c r="J125" i="1"/>
  <c r="I125" i="1"/>
  <c r="H125" i="1"/>
  <c r="BJ123" i="1"/>
  <c r="BF123" i="1"/>
  <c r="BD123" i="1"/>
  <c r="AX123" i="1"/>
  <c r="AP123" i="1"/>
  <c r="I123" i="1" s="1"/>
  <c r="AO123" i="1"/>
  <c r="AL123" i="1"/>
  <c r="AJ123" i="1"/>
  <c r="AH123" i="1"/>
  <c r="AG123" i="1"/>
  <c r="AF123" i="1"/>
  <c r="AE123" i="1"/>
  <c r="AD123" i="1"/>
  <c r="AC123" i="1"/>
  <c r="AB123" i="1"/>
  <c r="Z123" i="1"/>
  <c r="J123" i="1"/>
  <c r="BJ122" i="1"/>
  <c r="BH122" i="1"/>
  <c r="BF122" i="1"/>
  <c r="BD122" i="1"/>
  <c r="AW122" i="1"/>
  <c r="AP122" i="1"/>
  <c r="AO122" i="1"/>
  <c r="AL122" i="1"/>
  <c r="AK122" i="1"/>
  <c r="AJ122" i="1"/>
  <c r="AH122" i="1"/>
  <c r="AG122" i="1"/>
  <c r="AF122" i="1"/>
  <c r="AD122" i="1"/>
  <c r="AC122" i="1"/>
  <c r="AB122" i="1"/>
  <c r="Z122" i="1"/>
  <c r="J122" i="1"/>
  <c r="H122" i="1"/>
  <c r="BJ121" i="1"/>
  <c r="BI121" i="1"/>
  <c r="BF121" i="1"/>
  <c r="BD121" i="1"/>
  <c r="AX121" i="1"/>
  <c r="AW121" i="1"/>
  <c r="BC121" i="1" s="1"/>
  <c r="AV121" i="1"/>
  <c r="AP121" i="1"/>
  <c r="AO121" i="1"/>
  <c r="H121" i="1" s="1"/>
  <c r="AL121" i="1"/>
  <c r="AJ121" i="1"/>
  <c r="AH121" i="1"/>
  <c r="AG121" i="1"/>
  <c r="AF121" i="1"/>
  <c r="AE121" i="1"/>
  <c r="AC121" i="1"/>
  <c r="AB121" i="1"/>
  <c r="Z121" i="1"/>
  <c r="J121" i="1"/>
  <c r="AK121" i="1" s="1"/>
  <c r="I121" i="1"/>
  <c r="BJ120" i="1"/>
  <c r="BH120" i="1"/>
  <c r="AD120" i="1" s="1"/>
  <c r="BF120" i="1"/>
  <c r="BD120" i="1"/>
  <c r="AX120" i="1"/>
  <c r="AW120" i="1"/>
  <c r="AP120" i="1"/>
  <c r="I120" i="1" s="1"/>
  <c r="AO120" i="1"/>
  <c r="AL120" i="1"/>
  <c r="AK120" i="1"/>
  <c r="AJ120" i="1"/>
  <c r="AH120" i="1"/>
  <c r="AG120" i="1"/>
  <c r="AF120" i="1"/>
  <c r="AC120" i="1"/>
  <c r="AB120" i="1"/>
  <c r="Z120" i="1"/>
  <c r="J120" i="1"/>
  <c r="H120" i="1"/>
  <c r="BJ119" i="1"/>
  <c r="BI119" i="1"/>
  <c r="AE119" i="1" s="1"/>
  <c r="BH119" i="1"/>
  <c r="BF119" i="1"/>
  <c r="BD119" i="1"/>
  <c r="AX119" i="1"/>
  <c r="AW119" i="1"/>
  <c r="AP119" i="1"/>
  <c r="AO119" i="1"/>
  <c r="AL119" i="1"/>
  <c r="AJ119" i="1"/>
  <c r="AS118" i="1" s="1"/>
  <c r="AH119" i="1"/>
  <c r="AG119" i="1"/>
  <c r="AF119" i="1"/>
  <c r="AD119" i="1"/>
  <c r="AC119" i="1"/>
  <c r="AB119" i="1"/>
  <c r="Z119" i="1"/>
  <c r="J119" i="1"/>
  <c r="AK119" i="1" s="1"/>
  <c r="I119" i="1"/>
  <c r="H119" i="1"/>
  <c r="AU118" i="1"/>
  <c r="BJ117" i="1"/>
  <c r="BF117" i="1"/>
  <c r="BD117" i="1"/>
  <c r="AX117" i="1"/>
  <c r="AW117" i="1"/>
  <c r="AP117" i="1"/>
  <c r="BI117" i="1" s="1"/>
  <c r="AO117" i="1"/>
  <c r="H117" i="1" s="1"/>
  <c r="AL117" i="1"/>
  <c r="AJ117" i="1"/>
  <c r="AH117" i="1"/>
  <c r="AG117" i="1"/>
  <c r="AF117" i="1"/>
  <c r="AE117" i="1"/>
  <c r="AD117" i="1"/>
  <c r="AC117" i="1"/>
  <c r="AB117" i="1"/>
  <c r="Z117" i="1"/>
  <c r="J117" i="1"/>
  <c r="AK117" i="1" s="1"/>
  <c r="I117" i="1"/>
  <c r="BJ116" i="1"/>
  <c r="BF116" i="1"/>
  <c r="BD116" i="1"/>
  <c r="AX116" i="1"/>
  <c r="AP116" i="1"/>
  <c r="I116" i="1" s="1"/>
  <c r="AO116" i="1"/>
  <c r="AL116" i="1"/>
  <c r="AJ116" i="1"/>
  <c r="AH116" i="1"/>
  <c r="AG116" i="1"/>
  <c r="AF116" i="1"/>
  <c r="AC116" i="1"/>
  <c r="AB116" i="1"/>
  <c r="Z116" i="1"/>
  <c r="J116" i="1"/>
  <c r="AK116" i="1" s="1"/>
  <c r="BJ115" i="1"/>
  <c r="BH115" i="1"/>
  <c r="BF115" i="1"/>
  <c r="BD115" i="1"/>
  <c r="AW115" i="1"/>
  <c r="AP115" i="1"/>
  <c r="AO115" i="1"/>
  <c r="AL115" i="1"/>
  <c r="AK115" i="1"/>
  <c r="AJ115" i="1"/>
  <c r="AH115" i="1"/>
  <c r="AG115" i="1"/>
  <c r="AF115" i="1"/>
  <c r="AD115" i="1"/>
  <c r="AC115" i="1"/>
  <c r="AB115" i="1"/>
  <c r="Z115" i="1"/>
  <c r="J115" i="1"/>
  <c r="H115" i="1"/>
  <c r="BJ114" i="1"/>
  <c r="BI114" i="1"/>
  <c r="BF114" i="1"/>
  <c r="BD114" i="1"/>
  <c r="AX114" i="1"/>
  <c r="AW114" i="1"/>
  <c r="BC114" i="1" s="1"/>
  <c r="AV114" i="1"/>
  <c r="AP114" i="1"/>
  <c r="AO114" i="1"/>
  <c r="H114" i="1" s="1"/>
  <c r="AL114" i="1"/>
  <c r="AJ114" i="1"/>
  <c r="AH114" i="1"/>
  <c r="AG114" i="1"/>
  <c r="AF114" i="1"/>
  <c r="AE114" i="1"/>
  <c r="AC114" i="1"/>
  <c r="AB114" i="1"/>
  <c r="Z114" i="1"/>
  <c r="J114" i="1"/>
  <c r="AK114" i="1" s="1"/>
  <c r="I114" i="1"/>
  <c r="BJ113" i="1"/>
  <c r="BH113" i="1"/>
  <c r="AD113" i="1" s="1"/>
  <c r="BF113" i="1"/>
  <c r="BD113" i="1"/>
  <c r="AX113" i="1"/>
  <c r="AW113" i="1"/>
  <c r="AP113" i="1"/>
  <c r="I113" i="1" s="1"/>
  <c r="AO113" i="1"/>
  <c r="AL113" i="1"/>
  <c r="AK113" i="1"/>
  <c r="AJ113" i="1"/>
  <c r="AH113" i="1"/>
  <c r="AG113" i="1"/>
  <c r="AF113" i="1"/>
  <c r="AC113" i="1"/>
  <c r="AB113" i="1"/>
  <c r="Z113" i="1"/>
  <c r="J113" i="1"/>
  <c r="H113" i="1"/>
  <c r="BJ112" i="1"/>
  <c r="BI112" i="1"/>
  <c r="AE112" i="1" s="1"/>
  <c r="BH112" i="1"/>
  <c r="BF112" i="1"/>
  <c r="BD112" i="1"/>
  <c r="AX112" i="1"/>
  <c r="AW112" i="1"/>
  <c r="AP112" i="1"/>
  <c r="AO112" i="1"/>
  <c r="AL112" i="1"/>
  <c r="AJ112" i="1"/>
  <c r="AH112" i="1"/>
  <c r="AG112" i="1"/>
  <c r="AF112" i="1"/>
  <c r="AD112" i="1"/>
  <c r="AC112" i="1"/>
  <c r="AB112" i="1"/>
  <c r="Z112" i="1"/>
  <c r="J112" i="1"/>
  <c r="AK112" i="1" s="1"/>
  <c r="I112" i="1"/>
  <c r="H112" i="1"/>
  <c r="BJ111" i="1"/>
  <c r="BI111" i="1"/>
  <c r="BF111" i="1"/>
  <c r="BD111" i="1"/>
  <c r="AX111" i="1"/>
  <c r="AP111" i="1"/>
  <c r="AO111" i="1"/>
  <c r="AW111" i="1" s="1"/>
  <c r="AV111" i="1" s="1"/>
  <c r="AL111" i="1"/>
  <c r="AK111" i="1"/>
  <c r="AJ111" i="1"/>
  <c r="AH111" i="1"/>
  <c r="AG111" i="1"/>
  <c r="AF111" i="1"/>
  <c r="AE111" i="1"/>
  <c r="AC111" i="1"/>
  <c r="AB111" i="1"/>
  <c r="Z111" i="1"/>
  <c r="J111" i="1"/>
  <c r="I111" i="1"/>
  <c r="H111" i="1"/>
  <c r="BJ110" i="1"/>
  <c r="BH110" i="1"/>
  <c r="AD110" i="1" s="1"/>
  <c r="BF110" i="1"/>
  <c r="BD110" i="1"/>
  <c r="AW110" i="1"/>
  <c r="AP110" i="1"/>
  <c r="AX110" i="1" s="1"/>
  <c r="AO110" i="1"/>
  <c r="AL110" i="1"/>
  <c r="AK110" i="1"/>
  <c r="AJ110" i="1"/>
  <c r="AH110" i="1"/>
  <c r="AG110" i="1"/>
  <c r="AF110" i="1"/>
  <c r="AC110" i="1"/>
  <c r="AB110" i="1"/>
  <c r="Z110" i="1"/>
  <c r="J110" i="1"/>
  <c r="I110" i="1"/>
  <c r="H110" i="1"/>
  <c r="BJ109" i="1"/>
  <c r="BI109" i="1"/>
  <c r="AE109" i="1" s="1"/>
  <c r="BF109" i="1"/>
  <c r="BD109" i="1"/>
  <c r="AX109" i="1"/>
  <c r="AP109" i="1"/>
  <c r="AO109" i="1"/>
  <c r="AW109" i="1" s="1"/>
  <c r="AL109" i="1"/>
  <c r="AJ109" i="1"/>
  <c r="AH109" i="1"/>
  <c r="AG109" i="1"/>
  <c r="AF109" i="1"/>
  <c r="AC109" i="1"/>
  <c r="AB109" i="1"/>
  <c r="Z109" i="1"/>
  <c r="J109" i="1"/>
  <c r="AK109" i="1" s="1"/>
  <c r="I109" i="1"/>
  <c r="BJ108" i="1"/>
  <c r="BF108" i="1"/>
  <c r="BD108" i="1"/>
  <c r="AP108" i="1"/>
  <c r="AX108" i="1" s="1"/>
  <c r="AO108" i="1"/>
  <c r="AL108" i="1"/>
  <c r="AJ108" i="1"/>
  <c r="AH108" i="1"/>
  <c r="AG108" i="1"/>
  <c r="AF108" i="1"/>
  <c r="AC108" i="1"/>
  <c r="AB108" i="1"/>
  <c r="Z108" i="1"/>
  <c r="J108" i="1"/>
  <c r="AK108" i="1" s="1"/>
  <c r="BJ106" i="1"/>
  <c r="BF106" i="1"/>
  <c r="BD106" i="1"/>
  <c r="AP106" i="1"/>
  <c r="AO106" i="1"/>
  <c r="BH106" i="1" s="1"/>
  <c r="AD106" i="1" s="1"/>
  <c r="AL106" i="1"/>
  <c r="AK106" i="1"/>
  <c r="AJ106" i="1"/>
  <c r="AS99" i="1" s="1"/>
  <c r="AH106" i="1"/>
  <c r="AG106" i="1"/>
  <c r="AF106" i="1"/>
  <c r="AC106" i="1"/>
  <c r="AB106" i="1"/>
  <c r="Z106" i="1"/>
  <c r="J106" i="1"/>
  <c r="H106" i="1"/>
  <c r="BJ104" i="1"/>
  <c r="BF104" i="1"/>
  <c r="BD104" i="1"/>
  <c r="AW104" i="1"/>
  <c r="AP104" i="1"/>
  <c r="BI104" i="1" s="1"/>
  <c r="AE104" i="1" s="1"/>
  <c r="AO104" i="1"/>
  <c r="BH104" i="1" s="1"/>
  <c r="AD104" i="1" s="1"/>
  <c r="AL104" i="1"/>
  <c r="AK104" i="1"/>
  <c r="AJ104" i="1"/>
  <c r="AH104" i="1"/>
  <c r="AG104" i="1"/>
  <c r="AF104" i="1"/>
  <c r="AC104" i="1"/>
  <c r="AB104" i="1"/>
  <c r="Z104" i="1"/>
  <c r="J104" i="1"/>
  <c r="I104" i="1"/>
  <c r="H104" i="1"/>
  <c r="BJ103" i="1"/>
  <c r="BF103" i="1"/>
  <c r="BD103" i="1"/>
  <c r="AX103" i="1"/>
  <c r="AW103" i="1"/>
  <c r="AP103" i="1"/>
  <c r="BI103" i="1" s="1"/>
  <c r="AE103" i="1" s="1"/>
  <c r="AO103" i="1"/>
  <c r="H103" i="1" s="1"/>
  <c r="AL103" i="1"/>
  <c r="AU99" i="1" s="1"/>
  <c r="AJ103" i="1"/>
  <c r="AH103" i="1"/>
  <c r="AG103" i="1"/>
  <c r="AF103" i="1"/>
  <c r="AC103" i="1"/>
  <c r="AB103" i="1"/>
  <c r="Z103" i="1"/>
  <c r="J103" i="1"/>
  <c r="AK103" i="1" s="1"/>
  <c r="I103" i="1"/>
  <c r="BJ102" i="1"/>
  <c r="BF102" i="1"/>
  <c r="BD102" i="1"/>
  <c r="AX102" i="1"/>
  <c r="AP102" i="1"/>
  <c r="I102" i="1" s="1"/>
  <c r="AO102" i="1"/>
  <c r="AL102" i="1"/>
  <c r="AJ102" i="1"/>
  <c r="AH102" i="1"/>
  <c r="AG102" i="1"/>
  <c r="AF102" i="1"/>
  <c r="AC102" i="1"/>
  <c r="AB102" i="1"/>
  <c r="Z102" i="1"/>
  <c r="J102" i="1"/>
  <c r="AK102" i="1" s="1"/>
  <c r="BJ101" i="1"/>
  <c r="BH101" i="1"/>
  <c r="AD101" i="1" s="1"/>
  <c r="BF101" i="1"/>
  <c r="BD101" i="1"/>
  <c r="AW101" i="1"/>
  <c r="AP101" i="1"/>
  <c r="AO101" i="1"/>
  <c r="AL101" i="1"/>
  <c r="AK101" i="1"/>
  <c r="AJ101" i="1"/>
  <c r="AH101" i="1"/>
  <c r="AG101" i="1"/>
  <c r="AF101" i="1"/>
  <c r="AC101" i="1"/>
  <c r="AB101" i="1"/>
  <c r="Z101" i="1"/>
  <c r="J101" i="1"/>
  <c r="H101" i="1"/>
  <c r="BJ100" i="1"/>
  <c r="BI100" i="1"/>
  <c r="AE100" i="1" s="1"/>
  <c r="BF100" i="1"/>
  <c r="BD100" i="1"/>
  <c r="AX100" i="1"/>
  <c r="AW100" i="1"/>
  <c r="BC100" i="1" s="1"/>
  <c r="AV100" i="1"/>
  <c r="AP100" i="1"/>
  <c r="AO100" i="1"/>
  <c r="H100" i="1" s="1"/>
  <c r="AL100" i="1"/>
  <c r="AJ100" i="1"/>
  <c r="AH100" i="1"/>
  <c r="AG100" i="1"/>
  <c r="AF100" i="1"/>
  <c r="AC100" i="1"/>
  <c r="AB100" i="1"/>
  <c r="Z100" i="1"/>
  <c r="J100" i="1"/>
  <c r="AK100" i="1" s="1"/>
  <c r="I100" i="1"/>
  <c r="BJ98" i="1"/>
  <c r="BI98" i="1"/>
  <c r="BF98" i="1"/>
  <c r="BD98" i="1"/>
  <c r="AP98" i="1"/>
  <c r="AO98" i="1"/>
  <c r="BH98" i="1" s="1"/>
  <c r="AL98" i="1"/>
  <c r="AK98" i="1"/>
  <c r="AJ98" i="1"/>
  <c r="AH98" i="1"/>
  <c r="AG98" i="1"/>
  <c r="AF98" i="1"/>
  <c r="AE98" i="1"/>
  <c r="AD98" i="1"/>
  <c r="AC98" i="1"/>
  <c r="AB98" i="1"/>
  <c r="Z98" i="1"/>
  <c r="J98" i="1"/>
  <c r="H98" i="1"/>
  <c r="BJ97" i="1"/>
  <c r="BF97" i="1"/>
  <c r="BD97" i="1"/>
  <c r="AW97" i="1"/>
  <c r="AP97" i="1"/>
  <c r="BI97" i="1" s="1"/>
  <c r="AE97" i="1" s="1"/>
  <c r="AO97" i="1"/>
  <c r="BH97" i="1" s="1"/>
  <c r="AD97" i="1" s="1"/>
  <c r="AL97" i="1"/>
  <c r="AK97" i="1"/>
  <c r="AJ97" i="1"/>
  <c r="AH97" i="1"/>
  <c r="AG97" i="1"/>
  <c r="AF97" i="1"/>
  <c r="AC97" i="1"/>
  <c r="AB97" i="1"/>
  <c r="Z97" i="1"/>
  <c r="J97" i="1"/>
  <c r="I97" i="1"/>
  <c r="H97" i="1"/>
  <c r="BJ96" i="1"/>
  <c r="BF96" i="1"/>
  <c r="BD96" i="1"/>
  <c r="AX96" i="1"/>
  <c r="AW96" i="1"/>
  <c r="AP96" i="1"/>
  <c r="BI96" i="1" s="1"/>
  <c r="AE96" i="1" s="1"/>
  <c r="AO96" i="1"/>
  <c r="H96" i="1" s="1"/>
  <c r="AL96" i="1"/>
  <c r="AU90" i="1" s="1"/>
  <c r="AJ96" i="1"/>
  <c r="AH96" i="1"/>
  <c r="AG96" i="1"/>
  <c r="AF96" i="1"/>
  <c r="AC96" i="1"/>
  <c r="AB96" i="1"/>
  <c r="Z96" i="1"/>
  <c r="J96" i="1"/>
  <c r="AK96" i="1" s="1"/>
  <c r="I96" i="1"/>
  <c r="BJ95" i="1"/>
  <c r="BF95" i="1"/>
  <c r="BD95" i="1"/>
  <c r="AX95" i="1"/>
  <c r="AP95" i="1"/>
  <c r="I95" i="1" s="1"/>
  <c r="AO95" i="1"/>
  <c r="AL95" i="1"/>
  <c r="AJ95" i="1"/>
  <c r="AH95" i="1"/>
  <c r="AG95" i="1"/>
  <c r="AF95" i="1"/>
  <c r="AC95" i="1"/>
  <c r="AB95" i="1"/>
  <c r="Z95" i="1"/>
  <c r="J95" i="1"/>
  <c r="BJ94" i="1"/>
  <c r="BH94" i="1"/>
  <c r="AD94" i="1" s="1"/>
  <c r="BF94" i="1"/>
  <c r="BD94" i="1"/>
  <c r="AW94" i="1"/>
  <c r="AP94" i="1"/>
  <c r="AO94" i="1"/>
  <c r="AL94" i="1"/>
  <c r="AK94" i="1"/>
  <c r="AJ94" i="1"/>
  <c r="AH94" i="1"/>
  <c r="AG94" i="1"/>
  <c r="AF94" i="1"/>
  <c r="AC94" i="1"/>
  <c r="AB94" i="1"/>
  <c r="Z94" i="1"/>
  <c r="J94" i="1"/>
  <c r="H94" i="1"/>
  <c r="BJ93" i="1"/>
  <c r="BI93" i="1"/>
  <c r="AE93" i="1" s="1"/>
  <c r="BF93" i="1"/>
  <c r="BD93" i="1"/>
  <c r="AX93" i="1"/>
  <c r="AW93" i="1"/>
  <c r="BC93" i="1" s="1"/>
  <c r="AV93" i="1"/>
  <c r="AP93" i="1"/>
  <c r="AO93" i="1"/>
  <c r="H93" i="1" s="1"/>
  <c r="AL93" i="1"/>
  <c r="AJ93" i="1"/>
  <c r="AH93" i="1"/>
  <c r="AG93" i="1"/>
  <c r="AF93" i="1"/>
  <c r="AC93" i="1"/>
  <c r="AB93" i="1"/>
  <c r="Z93" i="1"/>
  <c r="J93" i="1"/>
  <c r="AK93" i="1" s="1"/>
  <c r="I93" i="1"/>
  <c r="BJ92" i="1"/>
  <c r="BH92" i="1"/>
  <c r="AD92" i="1" s="1"/>
  <c r="BF92" i="1"/>
  <c r="BD92" i="1"/>
  <c r="AX92" i="1"/>
  <c r="AW92" i="1"/>
  <c r="AP92" i="1"/>
  <c r="I92" i="1" s="1"/>
  <c r="AO92" i="1"/>
  <c r="AL92" i="1"/>
  <c r="AK92" i="1"/>
  <c r="AJ92" i="1"/>
  <c r="AH92" i="1"/>
  <c r="AG92" i="1"/>
  <c r="AF92" i="1"/>
  <c r="AC92" i="1"/>
  <c r="AB92" i="1"/>
  <c r="Z92" i="1"/>
  <c r="J92" i="1"/>
  <c r="H92" i="1"/>
  <c r="BJ91" i="1"/>
  <c r="BI91" i="1"/>
  <c r="AE91" i="1" s="1"/>
  <c r="BH91" i="1"/>
  <c r="BF91" i="1"/>
  <c r="BD91" i="1"/>
  <c r="AX91" i="1"/>
  <c r="AW91" i="1"/>
  <c r="AP91" i="1"/>
  <c r="AO91" i="1"/>
  <c r="AL91" i="1"/>
  <c r="AJ91" i="1"/>
  <c r="AS90" i="1" s="1"/>
  <c r="AH91" i="1"/>
  <c r="AG91" i="1"/>
  <c r="AF91" i="1"/>
  <c r="AD91" i="1"/>
  <c r="AC91" i="1"/>
  <c r="AB91" i="1"/>
  <c r="Z91" i="1"/>
  <c r="J91" i="1"/>
  <c r="AK91" i="1" s="1"/>
  <c r="I91" i="1"/>
  <c r="H91" i="1"/>
  <c r="BJ89" i="1"/>
  <c r="BF89" i="1"/>
  <c r="BD89" i="1"/>
  <c r="AX89" i="1"/>
  <c r="AW89" i="1"/>
  <c r="AP89" i="1"/>
  <c r="BI89" i="1" s="1"/>
  <c r="AO89" i="1"/>
  <c r="H89" i="1" s="1"/>
  <c r="AL89" i="1"/>
  <c r="AJ89" i="1"/>
  <c r="AH89" i="1"/>
  <c r="AG89" i="1"/>
  <c r="AF89" i="1"/>
  <c r="AE89" i="1"/>
  <c r="AD89" i="1"/>
  <c r="AC89" i="1"/>
  <c r="AB89" i="1"/>
  <c r="Z89" i="1"/>
  <c r="J89" i="1"/>
  <c r="AK89" i="1" s="1"/>
  <c r="I89" i="1"/>
  <c r="BJ87" i="1"/>
  <c r="BF87" i="1"/>
  <c r="BD87" i="1"/>
  <c r="AX87" i="1"/>
  <c r="AP87" i="1"/>
  <c r="I87" i="1" s="1"/>
  <c r="AO87" i="1"/>
  <c r="AL87" i="1"/>
  <c r="AJ87" i="1"/>
  <c r="AH87" i="1"/>
  <c r="AG87" i="1"/>
  <c r="AF87" i="1"/>
  <c r="AE87" i="1"/>
  <c r="AD87" i="1"/>
  <c r="Z87" i="1"/>
  <c r="J87" i="1"/>
  <c r="AK87" i="1" s="1"/>
  <c r="BJ86" i="1"/>
  <c r="BH86" i="1"/>
  <c r="BF86" i="1"/>
  <c r="BD86" i="1"/>
  <c r="AW86" i="1"/>
  <c r="AP86" i="1"/>
  <c r="AO86" i="1"/>
  <c r="AL86" i="1"/>
  <c r="AK86" i="1"/>
  <c r="AJ86" i="1"/>
  <c r="AH86" i="1"/>
  <c r="AG86" i="1"/>
  <c r="AF86" i="1"/>
  <c r="AE86" i="1"/>
  <c r="AD86" i="1"/>
  <c r="AB86" i="1"/>
  <c r="Z86" i="1"/>
  <c r="J86" i="1"/>
  <c r="H86" i="1"/>
  <c r="BJ85" i="1"/>
  <c r="BI85" i="1"/>
  <c r="BF85" i="1"/>
  <c r="BD85" i="1"/>
  <c r="AX85" i="1"/>
  <c r="AW85" i="1"/>
  <c r="BC85" i="1" s="1"/>
  <c r="AV85" i="1"/>
  <c r="AP85" i="1"/>
  <c r="AO85" i="1"/>
  <c r="H85" i="1" s="1"/>
  <c r="AL85" i="1"/>
  <c r="AJ85" i="1"/>
  <c r="AH85" i="1"/>
  <c r="AG85" i="1"/>
  <c r="AF85" i="1"/>
  <c r="AE85" i="1"/>
  <c r="AD85" i="1"/>
  <c r="AC85" i="1"/>
  <c r="Z85" i="1"/>
  <c r="J85" i="1"/>
  <c r="AK85" i="1" s="1"/>
  <c r="I85" i="1"/>
  <c r="BJ84" i="1"/>
  <c r="BH84" i="1"/>
  <c r="AB84" i="1" s="1"/>
  <c r="BF84" i="1"/>
  <c r="BD84" i="1"/>
  <c r="AX84" i="1"/>
  <c r="AW84" i="1"/>
  <c r="AP84" i="1"/>
  <c r="I84" i="1" s="1"/>
  <c r="AO84" i="1"/>
  <c r="AL84" i="1"/>
  <c r="AK84" i="1"/>
  <c r="AJ84" i="1"/>
  <c r="AH84" i="1"/>
  <c r="AG84" i="1"/>
  <c r="AF84" i="1"/>
  <c r="AE84" i="1"/>
  <c r="AD84" i="1"/>
  <c r="Z84" i="1"/>
  <c r="J84" i="1"/>
  <c r="H84" i="1"/>
  <c r="BJ83" i="1"/>
  <c r="BI83" i="1"/>
  <c r="AC83" i="1" s="1"/>
  <c r="BH83" i="1"/>
  <c r="AB83" i="1" s="1"/>
  <c r="BF83" i="1"/>
  <c r="BD83" i="1"/>
  <c r="AX83" i="1"/>
  <c r="AW83" i="1"/>
  <c r="AP83" i="1"/>
  <c r="AO83" i="1"/>
  <c r="AL83" i="1"/>
  <c r="AJ83" i="1"/>
  <c r="AH83" i="1"/>
  <c r="AG83" i="1"/>
  <c r="AF83" i="1"/>
  <c r="AE83" i="1"/>
  <c r="AD83" i="1"/>
  <c r="Z83" i="1"/>
  <c r="J83" i="1"/>
  <c r="AK83" i="1" s="1"/>
  <c r="I83" i="1"/>
  <c r="H83" i="1"/>
  <c r="BJ82" i="1"/>
  <c r="BI82" i="1"/>
  <c r="AC82" i="1" s="1"/>
  <c r="BH82" i="1"/>
  <c r="AB82" i="1" s="1"/>
  <c r="BF82" i="1"/>
  <c r="BD82" i="1"/>
  <c r="BC82" i="1"/>
  <c r="AX82" i="1"/>
  <c r="AP82" i="1"/>
  <c r="AO82" i="1"/>
  <c r="AW82" i="1" s="1"/>
  <c r="AV82" i="1" s="1"/>
  <c r="AL82" i="1"/>
  <c r="AK82" i="1"/>
  <c r="AJ82" i="1"/>
  <c r="AS78" i="1" s="1"/>
  <c r="AH82" i="1"/>
  <c r="AG82" i="1"/>
  <c r="AF82" i="1"/>
  <c r="AE82" i="1"/>
  <c r="AD82" i="1"/>
  <c r="Z82" i="1"/>
  <c r="J82" i="1"/>
  <c r="I82" i="1"/>
  <c r="H82" i="1"/>
  <c r="BJ80" i="1"/>
  <c r="BI80" i="1"/>
  <c r="AC80" i="1" s="1"/>
  <c r="BH80" i="1"/>
  <c r="AB80" i="1" s="1"/>
  <c r="BF80" i="1"/>
  <c r="BD80" i="1"/>
  <c r="AW80" i="1"/>
  <c r="BC80" i="1" s="1"/>
  <c r="AP80" i="1"/>
  <c r="AX80" i="1" s="1"/>
  <c r="AO80" i="1"/>
  <c r="AL80" i="1"/>
  <c r="AK80" i="1"/>
  <c r="AJ80" i="1"/>
  <c r="AH80" i="1"/>
  <c r="AG80" i="1"/>
  <c r="AF80" i="1"/>
  <c r="AE80" i="1"/>
  <c r="AD80" i="1"/>
  <c r="Z80" i="1"/>
  <c r="J80" i="1"/>
  <c r="I80" i="1"/>
  <c r="H80" i="1"/>
  <c r="BJ79" i="1"/>
  <c r="BI79" i="1"/>
  <c r="AC79" i="1" s="1"/>
  <c r="BF79" i="1"/>
  <c r="BD79" i="1"/>
  <c r="AX79" i="1"/>
  <c r="AP79" i="1"/>
  <c r="AO79" i="1"/>
  <c r="AW79" i="1" s="1"/>
  <c r="AL79" i="1"/>
  <c r="AU78" i="1" s="1"/>
  <c r="AJ79" i="1"/>
  <c r="AH79" i="1"/>
  <c r="AG79" i="1"/>
  <c r="AF79" i="1"/>
  <c r="AE79" i="1"/>
  <c r="AD79" i="1"/>
  <c r="Z79" i="1"/>
  <c r="J79" i="1"/>
  <c r="I79" i="1"/>
  <c r="BJ77" i="1"/>
  <c r="BI77" i="1"/>
  <c r="BF77" i="1"/>
  <c r="BD77" i="1"/>
  <c r="AX77" i="1"/>
  <c r="AW77" i="1"/>
  <c r="BC77" i="1" s="1"/>
  <c r="AV77" i="1"/>
  <c r="AP77" i="1"/>
  <c r="AO77" i="1"/>
  <c r="H77" i="1" s="1"/>
  <c r="AL77" i="1"/>
  <c r="AJ77" i="1"/>
  <c r="AH77" i="1"/>
  <c r="AG77" i="1"/>
  <c r="AF77" i="1"/>
  <c r="AE77" i="1"/>
  <c r="AD77" i="1"/>
  <c r="AC77" i="1"/>
  <c r="AB77" i="1"/>
  <c r="Z77" i="1"/>
  <c r="J77" i="1"/>
  <c r="AK77" i="1" s="1"/>
  <c r="I77" i="1"/>
  <c r="BJ75" i="1"/>
  <c r="BH75" i="1"/>
  <c r="AB75" i="1" s="1"/>
  <c r="BF75" i="1"/>
  <c r="BD75" i="1"/>
  <c r="AX75" i="1"/>
  <c r="AW75" i="1"/>
  <c r="AP75" i="1"/>
  <c r="I75" i="1" s="1"/>
  <c r="AO75" i="1"/>
  <c r="AL75" i="1"/>
  <c r="AK75" i="1"/>
  <c r="AJ75" i="1"/>
  <c r="AH75" i="1"/>
  <c r="AG75" i="1"/>
  <c r="AF75" i="1"/>
  <c r="AE75" i="1"/>
  <c r="AD75" i="1"/>
  <c r="Z75" i="1"/>
  <c r="J75" i="1"/>
  <c r="H75" i="1"/>
  <c r="BJ74" i="1"/>
  <c r="BI74" i="1"/>
  <c r="AC74" i="1" s="1"/>
  <c r="BH74" i="1"/>
  <c r="AB74" i="1" s="1"/>
  <c r="BF74" i="1"/>
  <c r="BD74" i="1"/>
  <c r="AX74" i="1"/>
  <c r="AW74" i="1"/>
  <c r="AP74" i="1"/>
  <c r="AO74" i="1"/>
  <c r="AL74" i="1"/>
  <c r="AJ74" i="1"/>
  <c r="AH74" i="1"/>
  <c r="AG74" i="1"/>
  <c r="AF74" i="1"/>
  <c r="AE74" i="1"/>
  <c r="AD74" i="1"/>
  <c r="Z74" i="1"/>
  <c r="J74" i="1"/>
  <c r="AK74" i="1" s="1"/>
  <c r="I74" i="1"/>
  <c r="H74" i="1"/>
  <c r="BJ72" i="1"/>
  <c r="BI72" i="1"/>
  <c r="AC72" i="1" s="1"/>
  <c r="BH72" i="1"/>
  <c r="AB72" i="1" s="1"/>
  <c r="BF72" i="1"/>
  <c r="BD72" i="1"/>
  <c r="BC72" i="1"/>
  <c r="AX72" i="1"/>
  <c r="AW72" i="1"/>
  <c r="AV72" i="1" s="1"/>
  <c r="AP72" i="1"/>
  <c r="AO72" i="1"/>
  <c r="AL72" i="1"/>
  <c r="AK72" i="1"/>
  <c r="AJ72" i="1"/>
  <c r="AH72" i="1"/>
  <c r="AG72" i="1"/>
  <c r="AF72" i="1"/>
  <c r="AE72" i="1"/>
  <c r="AD72" i="1"/>
  <c r="Z72" i="1"/>
  <c r="J72" i="1"/>
  <c r="I72" i="1"/>
  <c r="H72" i="1"/>
  <c r="BJ71" i="1"/>
  <c r="BI71" i="1"/>
  <c r="AC71" i="1" s="1"/>
  <c r="BH71" i="1"/>
  <c r="AB71" i="1" s="1"/>
  <c r="BF71" i="1"/>
  <c r="BD71" i="1"/>
  <c r="AX71" i="1"/>
  <c r="AW71" i="1"/>
  <c r="BC71" i="1" s="1"/>
  <c r="AP71" i="1"/>
  <c r="AO71" i="1"/>
  <c r="AL71" i="1"/>
  <c r="AK71" i="1"/>
  <c r="AJ71" i="1"/>
  <c r="AH71" i="1"/>
  <c r="AG71" i="1"/>
  <c r="AF71" i="1"/>
  <c r="AE71" i="1"/>
  <c r="AD71" i="1"/>
  <c r="Z71" i="1"/>
  <c r="J71" i="1"/>
  <c r="I71" i="1"/>
  <c r="H71" i="1"/>
  <c r="BJ70" i="1"/>
  <c r="BI70" i="1"/>
  <c r="AC70" i="1" s="1"/>
  <c r="BF70" i="1"/>
  <c r="BD70" i="1"/>
  <c r="AX70" i="1"/>
  <c r="AP70" i="1"/>
  <c r="AO70" i="1"/>
  <c r="AW70" i="1" s="1"/>
  <c r="AL70" i="1"/>
  <c r="AJ70" i="1"/>
  <c r="AH70" i="1"/>
  <c r="AG70" i="1"/>
  <c r="AF70" i="1"/>
  <c r="AE70" i="1"/>
  <c r="AD70" i="1"/>
  <c r="Z70" i="1"/>
  <c r="J70" i="1"/>
  <c r="AK70" i="1" s="1"/>
  <c r="I70" i="1"/>
  <c r="BJ68" i="1"/>
  <c r="BF68" i="1"/>
  <c r="BD68" i="1"/>
  <c r="AP68" i="1"/>
  <c r="AO68" i="1"/>
  <c r="BH68" i="1" s="1"/>
  <c r="AB68" i="1" s="1"/>
  <c r="AL68" i="1"/>
  <c r="AJ68" i="1"/>
  <c r="AH68" i="1"/>
  <c r="AG68" i="1"/>
  <c r="AF68" i="1"/>
  <c r="AE68" i="1"/>
  <c r="AD68" i="1"/>
  <c r="Z68" i="1"/>
  <c r="J68" i="1"/>
  <c r="AK68" i="1" s="1"/>
  <c r="BJ67" i="1"/>
  <c r="BI67" i="1"/>
  <c r="AC67" i="1" s="1"/>
  <c r="BF67" i="1"/>
  <c r="BD67" i="1"/>
  <c r="AP67" i="1"/>
  <c r="AO67" i="1"/>
  <c r="BH67" i="1" s="1"/>
  <c r="AL67" i="1"/>
  <c r="AK67" i="1"/>
  <c r="AJ67" i="1"/>
  <c r="AH67" i="1"/>
  <c r="AG67" i="1"/>
  <c r="AF67" i="1"/>
  <c r="AE67" i="1"/>
  <c r="AD67" i="1"/>
  <c r="AB67" i="1"/>
  <c r="Z67" i="1"/>
  <c r="J67" i="1"/>
  <c r="H67" i="1"/>
  <c r="BJ66" i="1"/>
  <c r="BF66" i="1"/>
  <c r="BD66" i="1"/>
  <c r="AW66" i="1"/>
  <c r="AP66" i="1"/>
  <c r="BI66" i="1" s="1"/>
  <c r="AC66" i="1" s="1"/>
  <c r="AO66" i="1"/>
  <c r="BH66" i="1" s="1"/>
  <c r="AB66" i="1" s="1"/>
  <c r="AL66" i="1"/>
  <c r="AK66" i="1"/>
  <c r="AJ66" i="1"/>
  <c r="AH66" i="1"/>
  <c r="AG66" i="1"/>
  <c r="AF66" i="1"/>
  <c r="AE66" i="1"/>
  <c r="AD66" i="1"/>
  <c r="Z66" i="1"/>
  <c r="J66" i="1"/>
  <c r="I66" i="1"/>
  <c r="H66" i="1"/>
  <c r="BJ65" i="1"/>
  <c r="BI65" i="1"/>
  <c r="BF65" i="1"/>
  <c r="BD65" i="1"/>
  <c r="AX65" i="1"/>
  <c r="AW65" i="1"/>
  <c r="AP65" i="1"/>
  <c r="AO65" i="1"/>
  <c r="H65" i="1" s="1"/>
  <c r="AL65" i="1"/>
  <c r="AJ65" i="1"/>
  <c r="AH65" i="1"/>
  <c r="AG65" i="1"/>
  <c r="AF65" i="1"/>
  <c r="AE65" i="1"/>
  <c r="AD65" i="1"/>
  <c r="AC65" i="1"/>
  <c r="Z65" i="1"/>
  <c r="J65" i="1"/>
  <c r="AK65" i="1" s="1"/>
  <c r="I65" i="1"/>
  <c r="BJ64" i="1"/>
  <c r="BF64" i="1"/>
  <c r="BD64" i="1"/>
  <c r="AX64" i="1"/>
  <c r="AP64" i="1"/>
  <c r="I64" i="1" s="1"/>
  <c r="AO64" i="1"/>
  <c r="AL64" i="1"/>
  <c r="AJ64" i="1"/>
  <c r="AH64" i="1"/>
  <c r="AG64" i="1"/>
  <c r="AF64" i="1"/>
  <c r="AE64" i="1"/>
  <c r="AD64" i="1"/>
  <c r="Z64" i="1"/>
  <c r="J64" i="1"/>
  <c r="AK64" i="1" s="1"/>
  <c r="BJ63" i="1"/>
  <c r="BH63" i="1"/>
  <c r="BF63" i="1"/>
  <c r="BD63" i="1"/>
  <c r="AW63" i="1"/>
  <c r="AP63" i="1"/>
  <c r="AO63" i="1"/>
  <c r="AL63" i="1"/>
  <c r="AJ63" i="1"/>
  <c r="AH63" i="1"/>
  <c r="AG63" i="1"/>
  <c r="AF63" i="1"/>
  <c r="AE63" i="1"/>
  <c r="AD63" i="1"/>
  <c r="AB63" i="1"/>
  <c r="Z63" i="1"/>
  <c r="J63" i="1"/>
  <c r="AK63" i="1" s="1"/>
  <c r="H63" i="1"/>
  <c r="BJ62" i="1"/>
  <c r="BI62" i="1"/>
  <c r="BF62" i="1"/>
  <c r="BD62" i="1"/>
  <c r="AX62" i="1"/>
  <c r="AW62" i="1"/>
  <c r="BC62" i="1" s="1"/>
  <c r="AV62" i="1"/>
  <c r="AP62" i="1"/>
  <c r="AO62" i="1"/>
  <c r="H62" i="1" s="1"/>
  <c r="AL62" i="1"/>
  <c r="AJ62" i="1"/>
  <c r="AH62" i="1"/>
  <c r="AG62" i="1"/>
  <c r="AF62" i="1"/>
  <c r="AE62" i="1"/>
  <c r="AD62" i="1"/>
  <c r="AC62" i="1"/>
  <c r="Z62" i="1"/>
  <c r="J62" i="1"/>
  <c r="AK62" i="1" s="1"/>
  <c r="I62" i="1"/>
  <c r="BJ60" i="1"/>
  <c r="BH60" i="1"/>
  <c r="AB60" i="1" s="1"/>
  <c r="BF60" i="1"/>
  <c r="BD60" i="1"/>
  <c r="AX60" i="1"/>
  <c r="AW60" i="1"/>
  <c r="AP60" i="1"/>
  <c r="I60" i="1" s="1"/>
  <c r="AO60" i="1"/>
  <c r="AL60" i="1"/>
  <c r="AK60" i="1"/>
  <c r="AJ60" i="1"/>
  <c r="AH60" i="1"/>
  <c r="AG60" i="1"/>
  <c r="AF60" i="1"/>
  <c r="AE60" i="1"/>
  <c r="AD60" i="1"/>
  <c r="Z60" i="1"/>
  <c r="J60" i="1"/>
  <c r="H60" i="1"/>
  <c r="BJ59" i="1"/>
  <c r="BI59" i="1"/>
  <c r="BH59" i="1"/>
  <c r="BF59" i="1"/>
  <c r="BD59" i="1"/>
  <c r="AX59" i="1"/>
  <c r="AW59" i="1"/>
  <c r="AP59" i="1"/>
  <c r="AO59" i="1"/>
  <c r="AL59" i="1"/>
  <c r="AJ59" i="1"/>
  <c r="AH59" i="1"/>
  <c r="AG59" i="1"/>
  <c r="AF59" i="1"/>
  <c r="AE59" i="1"/>
  <c r="AD59" i="1"/>
  <c r="AC59" i="1"/>
  <c r="AB59" i="1"/>
  <c r="Z59" i="1"/>
  <c r="J59" i="1"/>
  <c r="AK59" i="1" s="1"/>
  <c r="I59" i="1"/>
  <c r="H59" i="1"/>
  <c r="BJ58" i="1"/>
  <c r="Z58" i="1" s="1"/>
  <c r="BI58" i="1"/>
  <c r="BH58" i="1"/>
  <c r="BF58" i="1"/>
  <c r="BD58" i="1"/>
  <c r="BC58" i="1"/>
  <c r="AX58" i="1"/>
  <c r="AW58" i="1"/>
  <c r="AV58" i="1" s="1"/>
  <c r="AP58" i="1"/>
  <c r="AO58" i="1"/>
  <c r="AL58" i="1"/>
  <c r="AK58" i="1"/>
  <c r="AJ58" i="1"/>
  <c r="AH58" i="1"/>
  <c r="AG58" i="1"/>
  <c r="AF58" i="1"/>
  <c r="AE58" i="1"/>
  <c r="AD58" i="1"/>
  <c r="AC58" i="1"/>
  <c r="AB58" i="1"/>
  <c r="J58" i="1"/>
  <c r="I58" i="1"/>
  <c r="H58" i="1"/>
  <c r="BJ57" i="1"/>
  <c r="Z57" i="1" s="1"/>
  <c r="BI57" i="1"/>
  <c r="BH57" i="1"/>
  <c r="BF57" i="1"/>
  <c r="BD57" i="1"/>
  <c r="AX57" i="1"/>
  <c r="AW57" i="1"/>
  <c r="BC57" i="1" s="1"/>
  <c r="AP57" i="1"/>
  <c r="AO57" i="1"/>
  <c r="AL57" i="1"/>
  <c r="AK57" i="1"/>
  <c r="AJ57" i="1"/>
  <c r="AH57" i="1"/>
  <c r="AG57" i="1"/>
  <c r="AF57" i="1"/>
  <c r="AE57" i="1"/>
  <c r="AD57" i="1"/>
  <c r="AC57" i="1"/>
  <c r="AB57" i="1"/>
  <c r="J57" i="1"/>
  <c r="I57" i="1"/>
  <c r="H57" i="1"/>
  <c r="BJ56" i="1"/>
  <c r="BI56" i="1"/>
  <c r="AC56" i="1" s="1"/>
  <c r="BF56" i="1"/>
  <c r="BD56" i="1"/>
  <c r="AX56" i="1"/>
  <c r="AP56" i="1"/>
  <c r="AO56" i="1"/>
  <c r="AL56" i="1"/>
  <c r="AJ56" i="1"/>
  <c r="AH56" i="1"/>
  <c r="AG56" i="1"/>
  <c r="AF56" i="1"/>
  <c r="AE56" i="1"/>
  <c r="AD56" i="1"/>
  <c r="Z56" i="1"/>
  <c r="J56" i="1"/>
  <c r="AK56" i="1" s="1"/>
  <c r="I56" i="1"/>
  <c r="BJ55" i="1"/>
  <c r="BF55" i="1"/>
  <c r="BD55" i="1"/>
  <c r="AP55" i="1"/>
  <c r="AO55" i="1"/>
  <c r="AL55" i="1"/>
  <c r="AJ55" i="1"/>
  <c r="AH55" i="1"/>
  <c r="AG55" i="1"/>
  <c r="AF55" i="1"/>
  <c r="AE55" i="1"/>
  <c r="AD55" i="1"/>
  <c r="Z55" i="1"/>
  <c r="J55" i="1"/>
  <c r="BJ53" i="1"/>
  <c r="BH53" i="1"/>
  <c r="BF53" i="1"/>
  <c r="BD53" i="1"/>
  <c r="AX53" i="1"/>
  <c r="AW53" i="1"/>
  <c r="AP53" i="1"/>
  <c r="I53" i="1" s="1"/>
  <c r="AO53" i="1"/>
  <c r="AL53" i="1"/>
  <c r="AK53" i="1"/>
  <c r="AJ53" i="1"/>
  <c r="AH53" i="1"/>
  <c r="AG53" i="1"/>
  <c r="AF53" i="1"/>
  <c r="AE53" i="1"/>
  <c r="AD53" i="1"/>
  <c r="AC53" i="1"/>
  <c r="AB53" i="1"/>
  <c r="Z53" i="1"/>
  <c r="J53" i="1"/>
  <c r="H53" i="1"/>
  <c r="BJ51" i="1"/>
  <c r="BI51" i="1"/>
  <c r="AC51" i="1" s="1"/>
  <c r="BH51" i="1"/>
  <c r="AB51" i="1" s="1"/>
  <c r="BF51" i="1"/>
  <c r="BD51" i="1"/>
  <c r="AX51" i="1"/>
  <c r="AW51" i="1"/>
  <c r="AP51" i="1"/>
  <c r="AO51" i="1"/>
  <c r="AL51" i="1"/>
  <c r="AJ51" i="1"/>
  <c r="AH51" i="1"/>
  <c r="AG51" i="1"/>
  <c r="AF51" i="1"/>
  <c r="AE51" i="1"/>
  <c r="AD51" i="1"/>
  <c r="Z51" i="1"/>
  <c r="J51" i="1"/>
  <c r="AK51" i="1" s="1"/>
  <c r="I51" i="1"/>
  <c r="H51" i="1"/>
  <c r="BJ49" i="1"/>
  <c r="BI49" i="1"/>
  <c r="AC49" i="1" s="1"/>
  <c r="BF49" i="1"/>
  <c r="BD49" i="1"/>
  <c r="BC49" i="1"/>
  <c r="AX49" i="1"/>
  <c r="AW49" i="1"/>
  <c r="AV49" i="1" s="1"/>
  <c r="AP49" i="1"/>
  <c r="AO49" i="1"/>
  <c r="BH49" i="1" s="1"/>
  <c r="AB49" i="1" s="1"/>
  <c r="AL49" i="1"/>
  <c r="AK49" i="1"/>
  <c r="AJ49" i="1"/>
  <c r="AH49" i="1"/>
  <c r="AG49" i="1"/>
  <c r="AF49" i="1"/>
  <c r="AE49" i="1"/>
  <c r="AD49" i="1"/>
  <c r="Z49" i="1"/>
  <c r="J49" i="1"/>
  <c r="I49" i="1"/>
  <c r="H49" i="1"/>
  <c r="BJ48" i="1"/>
  <c r="BH48" i="1"/>
  <c r="AB48" i="1" s="1"/>
  <c r="BF48" i="1"/>
  <c r="BD48" i="1"/>
  <c r="AX48" i="1"/>
  <c r="AW48" i="1"/>
  <c r="BC48" i="1" s="1"/>
  <c r="AP48" i="1"/>
  <c r="BI48" i="1" s="1"/>
  <c r="AC48" i="1" s="1"/>
  <c r="AO48" i="1"/>
  <c r="AL48" i="1"/>
  <c r="AK48" i="1"/>
  <c r="AJ48" i="1"/>
  <c r="AH48" i="1"/>
  <c r="AG48" i="1"/>
  <c r="AF48" i="1"/>
  <c r="AE48" i="1"/>
  <c r="AD48" i="1"/>
  <c r="Z48" i="1"/>
  <c r="J48" i="1"/>
  <c r="I48" i="1"/>
  <c r="H48" i="1"/>
  <c r="BJ46" i="1"/>
  <c r="BI46" i="1"/>
  <c r="AC46" i="1" s="1"/>
  <c r="BF46" i="1"/>
  <c r="BD46" i="1"/>
  <c r="AX46" i="1"/>
  <c r="AP46" i="1"/>
  <c r="AO46" i="1"/>
  <c r="AL46" i="1"/>
  <c r="AJ46" i="1"/>
  <c r="AH46" i="1"/>
  <c r="AG46" i="1"/>
  <c r="AF46" i="1"/>
  <c r="AE46" i="1"/>
  <c r="AD46" i="1"/>
  <c r="Z46" i="1"/>
  <c r="J46" i="1"/>
  <c r="AK46" i="1" s="1"/>
  <c r="I46" i="1"/>
  <c r="BJ44" i="1"/>
  <c r="BH44" i="1"/>
  <c r="AB44" i="1" s="1"/>
  <c r="BF44" i="1"/>
  <c r="BD44" i="1"/>
  <c r="AP44" i="1"/>
  <c r="AO44" i="1"/>
  <c r="AL44" i="1"/>
  <c r="AJ44" i="1"/>
  <c r="AH44" i="1"/>
  <c r="AG44" i="1"/>
  <c r="AF44" i="1"/>
  <c r="AE44" i="1"/>
  <c r="AD44" i="1"/>
  <c r="Z44" i="1"/>
  <c r="J44" i="1"/>
  <c r="AK44" i="1" s="1"/>
  <c r="BJ43" i="1"/>
  <c r="BF43" i="1"/>
  <c r="BD43" i="1"/>
  <c r="AP43" i="1"/>
  <c r="AO43" i="1"/>
  <c r="BH43" i="1" s="1"/>
  <c r="AB43" i="1" s="1"/>
  <c r="AL43" i="1"/>
  <c r="AK43" i="1"/>
  <c r="AJ43" i="1"/>
  <c r="AH43" i="1"/>
  <c r="AG43" i="1"/>
  <c r="AF43" i="1"/>
  <c r="AE43" i="1"/>
  <c r="AD43" i="1"/>
  <c r="Z43" i="1"/>
  <c r="J43" i="1"/>
  <c r="H43" i="1"/>
  <c r="BJ42" i="1"/>
  <c r="BH42" i="1"/>
  <c r="BF42" i="1"/>
  <c r="BD42" i="1"/>
  <c r="AW42" i="1"/>
  <c r="AP42" i="1"/>
  <c r="BI42" i="1" s="1"/>
  <c r="AO42" i="1"/>
  <c r="AL42" i="1"/>
  <c r="AK42" i="1"/>
  <c r="AJ42" i="1"/>
  <c r="AH42" i="1"/>
  <c r="AG42" i="1"/>
  <c r="AF42" i="1"/>
  <c r="AE42" i="1"/>
  <c r="AD42" i="1"/>
  <c r="AC42" i="1"/>
  <c r="AB42" i="1"/>
  <c r="Z42" i="1"/>
  <c r="J42" i="1"/>
  <c r="I42" i="1"/>
  <c r="H42" i="1"/>
  <c r="BJ41" i="1"/>
  <c r="BI41" i="1"/>
  <c r="BF41" i="1"/>
  <c r="BD41" i="1"/>
  <c r="AX41" i="1"/>
  <c r="AW41" i="1"/>
  <c r="AP41" i="1"/>
  <c r="AO41" i="1"/>
  <c r="H41" i="1" s="1"/>
  <c r="AL41" i="1"/>
  <c r="AJ41" i="1"/>
  <c r="AH41" i="1"/>
  <c r="AG41" i="1"/>
  <c r="AF41" i="1"/>
  <c r="AE41" i="1"/>
  <c r="AD41" i="1"/>
  <c r="AC41" i="1"/>
  <c r="Z41" i="1"/>
  <c r="J41" i="1"/>
  <c r="AK41" i="1" s="1"/>
  <c r="I41" i="1"/>
  <c r="BJ39" i="1"/>
  <c r="BF39" i="1"/>
  <c r="BD39" i="1"/>
  <c r="AX39" i="1"/>
  <c r="AP39" i="1"/>
  <c r="I39" i="1" s="1"/>
  <c r="AO39" i="1"/>
  <c r="AL39" i="1"/>
  <c r="AJ39" i="1"/>
  <c r="AH39" i="1"/>
  <c r="AG39" i="1"/>
  <c r="AF39" i="1"/>
  <c r="AE39" i="1"/>
  <c r="AD39" i="1"/>
  <c r="Z39" i="1"/>
  <c r="J39" i="1"/>
  <c r="AK39" i="1" s="1"/>
  <c r="BJ38" i="1"/>
  <c r="BH38" i="1"/>
  <c r="BF38" i="1"/>
  <c r="BD38" i="1"/>
  <c r="AW38" i="1"/>
  <c r="AP38" i="1"/>
  <c r="AO38" i="1"/>
  <c r="AL38" i="1"/>
  <c r="AK38" i="1"/>
  <c r="AJ38" i="1"/>
  <c r="AH38" i="1"/>
  <c r="AG38" i="1"/>
  <c r="AF38" i="1"/>
  <c r="AE38" i="1"/>
  <c r="AD38" i="1"/>
  <c r="AB38" i="1"/>
  <c r="Z38" i="1"/>
  <c r="J38" i="1"/>
  <c r="H38" i="1"/>
  <c r="BJ36" i="1"/>
  <c r="BI36" i="1"/>
  <c r="BF36" i="1"/>
  <c r="BD36" i="1"/>
  <c r="AX36" i="1"/>
  <c r="AP36" i="1"/>
  <c r="AO36" i="1"/>
  <c r="H36" i="1" s="1"/>
  <c r="AL36" i="1"/>
  <c r="AJ36" i="1"/>
  <c r="AH36" i="1"/>
  <c r="AG36" i="1"/>
  <c r="AF36" i="1"/>
  <c r="AE36" i="1"/>
  <c r="AD36" i="1"/>
  <c r="AC36" i="1"/>
  <c r="Z36" i="1"/>
  <c r="J36" i="1"/>
  <c r="AK36" i="1" s="1"/>
  <c r="I36" i="1"/>
  <c r="BJ35" i="1"/>
  <c r="BH35" i="1"/>
  <c r="AB35" i="1" s="1"/>
  <c r="BF35" i="1"/>
  <c r="BD35" i="1"/>
  <c r="AW35" i="1"/>
  <c r="AP35" i="1"/>
  <c r="I35" i="1" s="1"/>
  <c r="AO35" i="1"/>
  <c r="AL35" i="1"/>
  <c r="AK35" i="1"/>
  <c r="AJ35" i="1"/>
  <c r="AH35" i="1"/>
  <c r="AG35" i="1"/>
  <c r="AF35" i="1"/>
  <c r="AE35" i="1"/>
  <c r="AD35" i="1"/>
  <c r="Z35" i="1"/>
  <c r="J35" i="1"/>
  <c r="H35" i="1"/>
  <c r="BJ33" i="1"/>
  <c r="BI33" i="1"/>
  <c r="AC33" i="1" s="1"/>
  <c r="BH33" i="1"/>
  <c r="AB33" i="1" s="1"/>
  <c r="BF33" i="1"/>
  <c r="BD33" i="1"/>
  <c r="AX33" i="1"/>
  <c r="AW33" i="1"/>
  <c r="AP33" i="1"/>
  <c r="AO33" i="1"/>
  <c r="AL33" i="1"/>
  <c r="AJ33" i="1"/>
  <c r="AH33" i="1"/>
  <c r="AG33" i="1"/>
  <c r="AF33" i="1"/>
  <c r="AE33" i="1"/>
  <c r="AD33" i="1"/>
  <c r="Z33" i="1"/>
  <c r="J33" i="1"/>
  <c r="AK33" i="1" s="1"/>
  <c r="I33" i="1"/>
  <c r="H33" i="1"/>
  <c r="BJ32" i="1"/>
  <c r="Z32" i="1" s="1"/>
  <c r="BI32" i="1"/>
  <c r="BF32" i="1"/>
  <c r="BD32" i="1"/>
  <c r="BC32" i="1"/>
  <c r="AX32" i="1"/>
  <c r="AW32" i="1"/>
  <c r="AV32" i="1" s="1"/>
  <c r="AP32" i="1"/>
  <c r="AO32" i="1"/>
  <c r="BH32" i="1" s="1"/>
  <c r="AL32" i="1"/>
  <c r="AK32" i="1"/>
  <c r="AJ32" i="1"/>
  <c r="AH32" i="1"/>
  <c r="AG32" i="1"/>
  <c r="AF32" i="1"/>
  <c r="AE32" i="1"/>
  <c r="AD32" i="1"/>
  <c r="AC32" i="1"/>
  <c r="AB32" i="1"/>
  <c r="J32" i="1"/>
  <c r="I32" i="1"/>
  <c r="H32" i="1"/>
  <c r="BJ31" i="1"/>
  <c r="Z31" i="1" s="1"/>
  <c r="BH31" i="1"/>
  <c r="BF31" i="1"/>
  <c r="BD31" i="1"/>
  <c r="AX31" i="1"/>
  <c r="AW31" i="1"/>
  <c r="BC31" i="1" s="1"/>
  <c r="AP31" i="1"/>
  <c r="BI31" i="1" s="1"/>
  <c r="AO31" i="1"/>
  <c r="AL31" i="1"/>
  <c r="AK31" i="1"/>
  <c r="AJ31" i="1"/>
  <c r="AH31" i="1"/>
  <c r="AG31" i="1"/>
  <c r="AF31" i="1"/>
  <c r="AE31" i="1"/>
  <c r="AD31" i="1"/>
  <c r="AC31" i="1"/>
  <c r="AB31" i="1"/>
  <c r="J31" i="1"/>
  <c r="I31" i="1"/>
  <c r="H31" i="1"/>
  <c r="BJ30" i="1"/>
  <c r="Z30" i="1" s="1"/>
  <c r="BI30" i="1"/>
  <c r="BF30" i="1"/>
  <c r="BD30" i="1"/>
  <c r="AX30" i="1"/>
  <c r="AP30" i="1"/>
  <c r="AO30" i="1"/>
  <c r="AL30" i="1"/>
  <c r="AJ30" i="1"/>
  <c r="AH30" i="1"/>
  <c r="AG30" i="1"/>
  <c r="AF30" i="1"/>
  <c r="AE30" i="1"/>
  <c r="AD30" i="1"/>
  <c r="AC30" i="1"/>
  <c r="AB30" i="1"/>
  <c r="J30" i="1"/>
  <c r="AK30" i="1" s="1"/>
  <c r="I30" i="1"/>
  <c r="BJ29" i="1"/>
  <c r="BF29" i="1"/>
  <c r="BD29" i="1"/>
  <c r="AP29" i="1"/>
  <c r="AO29" i="1"/>
  <c r="AL29" i="1"/>
  <c r="AJ29" i="1"/>
  <c r="AH29" i="1"/>
  <c r="AG29" i="1"/>
  <c r="AF29" i="1"/>
  <c r="AE29" i="1"/>
  <c r="AD29" i="1"/>
  <c r="Z29" i="1"/>
  <c r="J29" i="1"/>
  <c r="AK29" i="1" s="1"/>
  <c r="BJ28" i="1"/>
  <c r="BF28" i="1"/>
  <c r="BD28" i="1"/>
  <c r="AP28" i="1"/>
  <c r="AO28" i="1"/>
  <c r="BH28" i="1" s="1"/>
  <c r="AL28" i="1"/>
  <c r="AJ28" i="1"/>
  <c r="AH28" i="1"/>
  <c r="AG28" i="1"/>
  <c r="AF28" i="1"/>
  <c r="AE28" i="1"/>
  <c r="AD28" i="1"/>
  <c r="AB28" i="1"/>
  <c r="Z28" i="1"/>
  <c r="J28" i="1"/>
  <c r="AK28" i="1" s="1"/>
  <c r="H28" i="1"/>
  <c r="BJ27" i="1"/>
  <c r="BH27" i="1"/>
  <c r="BF27" i="1"/>
  <c r="BD27" i="1"/>
  <c r="AW27" i="1"/>
  <c r="AP27" i="1"/>
  <c r="BI27" i="1" s="1"/>
  <c r="AO27" i="1"/>
  <c r="AL27" i="1"/>
  <c r="AK27" i="1"/>
  <c r="AJ27" i="1"/>
  <c r="AH27" i="1"/>
  <c r="AG27" i="1"/>
  <c r="AF27" i="1"/>
  <c r="AE27" i="1"/>
  <c r="AD27" i="1"/>
  <c r="AC27" i="1"/>
  <c r="AB27" i="1"/>
  <c r="Z27" i="1"/>
  <c r="J27" i="1"/>
  <c r="I27" i="1"/>
  <c r="H27" i="1"/>
  <c r="BJ26" i="1"/>
  <c r="BI26" i="1"/>
  <c r="BH26" i="1"/>
  <c r="AB26" i="1" s="1"/>
  <c r="BF26" i="1"/>
  <c r="BD26" i="1"/>
  <c r="AX26" i="1"/>
  <c r="AW26" i="1"/>
  <c r="AP26" i="1"/>
  <c r="AO26" i="1"/>
  <c r="AL26" i="1"/>
  <c r="AJ26" i="1"/>
  <c r="AH26" i="1"/>
  <c r="AG26" i="1"/>
  <c r="AF26" i="1"/>
  <c r="AE26" i="1"/>
  <c r="AD26" i="1"/>
  <c r="AC26" i="1"/>
  <c r="Z26" i="1"/>
  <c r="J26" i="1"/>
  <c r="AK26" i="1" s="1"/>
  <c r="I26" i="1"/>
  <c r="H26" i="1"/>
  <c r="BJ24" i="1"/>
  <c r="BI24" i="1"/>
  <c r="BF24" i="1"/>
  <c r="BD24" i="1"/>
  <c r="AX24" i="1"/>
  <c r="AP24" i="1"/>
  <c r="AO24" i="1"/>
  <c r="AL24" i="1"/>
  <c r="AJ24" i="1"/>
  <c r="AH24" i="1"/>
  <c r="AG24" i="1"/>
  <c r="AE24" i="1"/>
  <c r="AD24" i="1"/>
  <c r="AC24" i="1"/>
  <c r="AB24" i="1"/>
  <c r="Z24" i="1"/>
  <c r="J24" i="1"/>
  <c r="AK24" i="1" s="1"/>
  <c r="I24" i="1"/>
  <c r="H24" i="1"/>
  <c r="BJ22" i="1"/>
  <c r="BH22" i="1"/>
  <c r="BF22" i="1"/>
  <c r="BD22" i="1"/>
  <c r="AW22" i="1"/>
  <c r="AP22" i="1"/>
  <c r="I22" i="1" s="1"/>
  <c r="AO22" i="1"/>
  <c r="AL22" i="1"/>
  <c r="AK22" i="1"/>
  <c r="AJ22" i="1"/>
  <c r="AH22" i="1"/>
  <c r="AF22" i="1"/>
  <c r="AE22" i="1"/>
  <c r="AD22" i="1"/>
  <c r="AC22" i="1"/>
  <c r="AB22" i="1"/>
  <c r="Z22" i="1"/>
  <c r="J22" i="1"/>
  <c r="H22" i="1"/>
  <c r="BJ20" i="1"/>
  <c r="BI20" i="1"/>
  <c r="AC20" i="1" s="1"/>
  <c r="BF20" i="1"/>
  <c r="BD20" i="1"/>
  <c r="AX20" i="1"/>
  <c r="AP20" i="1"/>
  <c r="AO20" i="1"/>
  <c r="AL20" i="1"/>
  <c r="AJ20" i="1"/>
  <c r="AH20" i="1"/>
  <c r="AG20" i="1"/>
  <c r="AF20" i="1"/>
  <c r="AE20" i="1"/>
  <c r="AD20" i="1"/>
  <c r="Z20" i="1"/>
  <c r="J20" i="1"/>
  <c r="AK20" i="1" s="1"/>
  <c r="I20" i="1"/>
  <c r="BJ19" i="1"/>
  <c r="BH19" i="1"/>
  <c r="BF19" i="1"/>
  <c r="BD19" i="1"/>
  <c r="AX19" i="1"/>
  <c r="AW19" i="1"/>
  <c r="BC19" i="1" s="1"/>
  <c r="AV19" i="1"/>
  <c r="AP19" i="1"/>
  <c r="AO19" i="1"/>
  <c r="H19" i="1" s="1"/>
  <c r="AL19" i="1"/>
  <c r="AJ19" i="1"/>
  <c r="AH19" i="1"/>
  <c r="AG19" i="1"/>
  <c r="AF19" i="1"/>
  <c r="AE19" i="1"/>
  <c r="AD19" i="1"/>
  <c r="AB19" i="1"/>
  <c r="Z19" i="1"/>
  <c r="J19" i="1"/>
  <c r="AK19" i="1" s="1"/>
  <c r="BJ18" i="1"/>
  <c r="BI18" i="1"/>
  <c r="BH18" i="1"/>
  <c r="BF18" i="1"/>
  <c r="BD18" i="1"/>
  <c r="AX18" i="1"/>
  <c r="AW18" i="1"/>
  <c r="BC18" i="1" s="1"/>
  <c r="AV18" i="1"/>
  <c r="AP18" i="1"/>
  <c r="AO18" i="1"/>
  <c r="AL18" i="1"/>
  <c r="AJ18" i="1"/>
  <c r="AH18" i="1"/>
  <c r="AG18" i="1"/>
  <c r="AF18" i="1"/>
  <c r="AE18" i="1"/>
  <c r="AD18" i="1"/>
  <c r="AC18" i="1"/>
  <c r="AB18" i="1"/>
  <c r="Z18" i="1"/>
  <c r="J18" i="1"/>
  <c r="AK18" i="1" s="1"/>
  <c r="I18" i="1"/>
  <c r="H18" i="1"/>
  <c r="BJ17" i="1"/>
  <c r="BI17" i="1"/>
  <c r="BH17" i="1"/>
  <c r="BF17" i="1"/>
  <c r="BD17" i="1"/>
  <c r="AX17" i="1"/>
  <c r="AW17" i="1"/>
  <c r="BC17" i="1" s="1"/>
  <c r="AV17" i="1"/>
  <c r="AP17" i="1"/>
  <c r="I17" i="1" s="1"/>
  <c r="AO17" i="1"/>
  <c r="H17" i="1" s="1"/>
  <c r="AL17" i="1"/>
  <c r="AJ17" i="1"/>
  <c r="AH17" i="1"/>
  <c r="AG17" i="1"/>
  <c r="AF17" i="1"/>
  <c r="AE17" i="1"/>
  <c r="AD17" i="1"/>
  <c r="AC17" i="1"/>
  <c r="AB17" i="1"/>
  <c r="Z17" i="1"/>
  <c r="J17" i="1"/>
  <c r="AK17" i="1" s="1"/>
  <c r="BJ16" i="1"/>
  <c r="BH16" i="1"/>
  <c r="AB16" i="1" s="1"/>
  <c r="BF16" i="1"/>
  <c r="BD16" i="1"/>
  <c r="AW16" i="1"/>
  <c r="AP16" i="1"/>
  <c r="I16" i="1" s="1"/>
  <c r="AO16" i="1"/>
  <c r="AL16" i="1"/>
  <c r="AK16" i="1"/>
  <c r="AJ16" i="1"/>
  <c r="AH16" i="1"/>
  <c r="AG16" i="1"/>
  <c r="AF16" i="1"/>
  <c r="AE16" i="1"/>
  <c r="AD16" i="1"/>
  <c r="Z16" i="1"/>
  <c r="J16" i="1"/>
  <c r="H16" i="1"/>
  <c r="BJ15" i="1"/>
  <c r="BI15" i="1"/>
  <c r="AC15" i="1" s="1"/>
  <c r="BF15" i="1"/>
  <c r="BD15" i="1"/>
  <c r="AX15" i="1"/>
  <c r="AP15" i="1"/>
  <c r="AO15" i="1"/>
  <c r="AW15" i="1" s="1"/>
  <c r="BC15" i="1" s="1"/>
  <c r="AL15" i="1"/>
  <c r="AJ15" i="1"/>
  <c r="AH15" i="1"/>
  <c r="AG15" i="1"/>
  <c r="AF15" i="1"/>
  <c r="AE15" i="1"/>
  <c r="AD15" i="1"/>
  <c r="Z15" i="1"/>
  <c r="J15" i="1"/>
  <c r="AK15" i="1" s="1"/>
  <c r="I15" i="1"/>
  <c r="BJ14" i="1"/>
  <c r="BF14" i="1"/>
  <c r="BD14" i="1"/>
  <c r="AP14" i="1"/>
  <c r="AX14" i="1" s="1"/>
  <c r="AO14" i="1"/>
  <c r="BH14" i="1" s="1"/>
  <c r="AB14" i="1" s="1"/>
  <c r="AL14" i="1"/>
  <c r="AK14" i="1"/>
  <c r="AJ14" i="1"/>
  <c r="AH14" i="1"/>
  <c r="AG14" i="1"/>
  <c r="AF14" i="1"/>
  <c r="AE14" i="1"/>
  <c r="AD14" i="1"/>
  <c r="Z14" i="1"/>
  <c r="J14" i="1"/>
  <c r="I14" i="1"/>
  <c r="BJ13" i="1"/>
  <c r="BF13" i="1"/>
  <c r="BD13" i="1"/>
  <c r="AP13" i="1"/>
  <c r="BI13" i="1" s="1"/>
  <c r="AC13" i="1" s="1"/>
  <c r="AO13" i="1"/>
  <c r="AW13" i="1" s="1"/>
  <c r="AL13" i="1"/>
  <c r="AK13" i="1"/>
  <c r="AJ13" i="1"/>
  <c r="AH13" i="1"/>
  <c r="C20" i="3" s="1"/>
  <c r="AG13" i="1"/>
  <c r="AF13" i="1"/>
  <c r="AE13" i="1"/>
  <c r="AD13" i="1"/>
  <c r="Z13" i="1"/>
  <c r="J13" i="1"/>
  <c r="J12" i="1" s="1"/>
  <c r="I13" i="1"/>
  <c r="AU12" i="1"/>
  <c r="AS12" i="1"/>
  <c r="AU1" i="1"/>
  <c r="AT1" i="1"/>
  <c r="AS1" i="1"/>
  <c r="AT12" i="1" l="1"/>
  <c r="AX68" i="1"/>
  <c r="I68" i="1"/>
  <c r="BI68" i="1"/>
  <c r="AC68" i="1" s="1"/>
  <c r="AV92" i="1"/>
  <c r="BC92" i="1"/>
  <c r="BC104" i="1"/>
  <c r="BC117" i="1"/>
  <c r="AV117" i="1"/>
  <c r="AV126" i="1"/>
  <c r="BC126" i="1"/>
  <c r="AV150" i="1"/>
  <c r="BC150" i="1"/>
  <c r="I162" i="1"/>
  <c r="BI162" i="1"/>
  <c r="AE162" i="1" s="1"/>
  <c r="AX162" i="1"/>
  <c r="C27" i="3"/>
  <c r="H14" i="1"/>
  <c r="BH24" i="1"/>
  <c r="AF24" i="1" s="1"/>
  <c r="AW24" i="1"/>
  <c r="AV53" i="1"/>
  <c r="BC53" i="1"/>
  <c r="AV60" i="1"/>
  <c r="BC60" i="1"/>
  <c r="BC96" i="1"/>
  <c r="AV96" i="1"/>
  <c r="AK143" i="1"/>
  <c r="J124" i="1"/>
  <c r="AW148" i="1"/>
  <c r="BH148" i="1"/>
  <c r="AD148" i="1" s="1"/>
  <c r="H148" i="1"/>
  <c r="I94" i="1"/>
  <c r="BI94" i="1"/>
  <c r="AE94" i="1" s="1"/>
  <c r="AX94" i="1"/>
  <c r="H13" i="1"/>
  <c r="C29" i="3"/>
  <c r="F29" i="3" s="1"/>
  <c r="BC16" i="1"/>
  <c r="AS54" i="1"/>
  <c r="BC70" i="1"/>
  <c r="AV70" i="1"/>
  <c r="AV75" i="1"/>
  <c r="BC75" i="1"/>
  <c r="AV84" i="1"/>
  <c r="BC84" i="1"/>
  <c r="AX98" i="1"/>
  <c r="I98" i="1"/>
  <c r="I160" i="1"/>
  <c r="AX174" i="1"/>
  <c r="AV174" i="1" s="1"/>
  <c r="BI174" i="1"/>
  <c r="AE174" i="1" s="1"/>
  <c r="AV15" i="1"/>
  <c r="I38" i="1"/>
  <c r="BI38" i="1"/>
  <c r="AC38" i="1" s="1"/>
  <c r="AX38" i="1"/>
  <c r="AW46" i="1"/>
  <c r="H46" i="1"/>
  <c r="BH46" i="1"/>
  <c r="AB46" i="1" s="1"/>
  <c r="BC13" i="1"/>
  <c r="AW14" i="1"/>
  <c r="AX28" i="1"/>
  <c r="I28" i="1"/>
  <c r="AV33" i="1"/>
  <c r="BC33" i="1"/>
  <c r="AV51" i="1"/>
  <c r="BC51" i="1"/>
  <c r="I63" i="1"/>
  <c r="BI63" i="1"/>
  <c r="AC63" i="1" s="1"/>
  <c r="AX63" i="1"/>
  <c r="BC65" i="1"/>
  <c r="AV65" i="1"/>
  <c r="BC103" i="1"/>
  <c r="AV103" i="1"/>
  <c r="AX106" i="1"/>
  <c r="I106" i="1"/>
  <c r="BC111" i="1"/>
  <c r="H116" i="1"/>
  <c r="BH116" i="1"/>
  <c r="AD116" i="1" s="1"/>
  <c r="AW116" i="1"/>
  <c r="H123" i="1"/>
  <c r="H118" i="1" s="1"/>
  <c r="BH123" i="1"/>
  <c r="AW123" i="1"/>
  <c r="BI22" i="1"/>
  <c r="AG22" i="1" s="1"/>
  <c r="C19" i="3" s="1"/>
  <c r="AX22" i="1"/>
  <c r="BC22" i="1" s="1"/>
  <c r="AW55" i="1"/>
  <c r="H55" i="1"/>
  <c r="H54" i="1" s="1"/>
  <c r="AV59" i="1"/>
  <c r="BC59" i="1"/>
  <c r="BC79" i="1"/>
  <c r="AV79" i="1"/>
  <c r="AV91" i="1"/>
  <c r="BC91" i="1"/>
  <c r="I101" i="1"/>
  <c r="BI101" i="1"/>
  <c r="AE101" i="1" s="1"/>
  <c r="AX101" i="1"/>
  <c r="AK123" i="1"/>
  <c r="AT118" i="1" s="1"/>
  <c r="J118" i="1"/>
  <c r="H39" i="1"/>
  <c r="BH39" i="1"/>
  <c r="AB39" i="1" s="1"/>
  <c r="AW39" i="1"/>
  <c r="AX55" i="1"/>
  <c r="I55" i="1"/>
  <c r="BI55" i="1"/>
  <c r="AC55" i="1" s="1"/>
  <c r="AW108" i="1"/>
  <c r="H108" i="1"/>
  <c r="AV120" i="1"/>
  <c r="BC120" i="1"/>
  <c r="AX135" i="1"/>
  <c r="BI135" i="1"/>
  <c r="AE135" i="1" s="1"/>
  <c r="C21" i="3"/>
  <c r="AX13" i="1"/>
  <c r="AV13" i="1" s="1"/>
  <c r="BH15" i="1"/>
  <c r="AB15" i="1" s="1"/>
  <c r="BI16" i="1"/>
  <c r="AC16" i="1" s="1"/>
  <c r="H20" i="1"/>
  <c r="BH20" i="1"/>
  <c r="AB20" i="1" s="1"/>
  <c r="AW20" i="1"/>
  <c r="AW29" i="1"/>
  <c r="H29" i="1"/>
  <c r="AX43" i="1"/>
  <c r="I43" i="1"/>
  <c r="AV74" i="1"/>
  <c r="BC74" i="1"/>
  <c r="I78" i="1"/>
  <c r="AV83" i="1"/>
  <c r="BC83" i="1"/>
  <c r="I86" i="1"/>
  <c r="BI86" i="1"/>
  <c r="AC86" i="1" s="1"/>
  <c r="AX86" i="1"/>
  <c r="BC89" i="1"/>
  <c r="AV89" i="1"/>
  <c r="H95" i="1"/>
  <c r="H90" i="1" s="1"/>
  <c r="BH95" i="1"/>
  <c r="AD95" i="1" s="1"/>
  <c r="AW95" i="1"/>
  <c r="H99" i="1"/>
  <c r="BI106" i="1"/>
  <c r="AE106" i="1" s="1"/>
  <c r="BC110" i="1"/>
  <c r="AV113" i="1"/>
  <c r="BC113" i="1"/>
  <c r="AV127" i="1"/>
  <c r="BC127" i="1"/>
  <c r="BI133" i="1"/>
  <c r="AE133" i="1" s="1"/>
  <c r="AX133" i="1"/>
  <c r="I133" i="1"/>
  <c r="H184" i="1"/>
  <c r="BH184" i="1"/>
  <c r="AD184" i="1" s="1"/>
  <c r="AW184" i="1"/>
  <c r="AX16" i="1"/>
  <c r="AV16" i="1" s="1"/>
  <c r="BI28" i="1"/>
  <c r="AC28" i="1" s="1"/>
  <c r="AX29" i="1"/>
  <c r="I29" i="1"/>
  <c r="BI29" i="1"/>
  <c r="AC29" i="1" s="1"/>
  <c r="J54" i="1"/>
  <c r="J340" i="1" s="1"/>
  <c r="AK55" i="1"/>
  <c r="AT54" i="1" s="1"/>
  <c r="AU54" i="1"/>
  <c r="H64" i="1"/>
  <c r="BH64" i="1"/>
  <c r="AB64" i="1" s="1"/>
  <c r="AW64" i="1"/>
  <c r="AX67" i="1"/>
  <c r="I67" i="1"/>
  <c r="J78" i="1"/>
  <c r="J99" i="1"/>
  <c r="I199" i="1"/>
  <c r="BC41" i="1"/>
  <c r="AV41" i="1"/>
  <c r="BI14" i="1"/>
  <c r="AC14" i="1" s="1"/>
  <c r="C15" i="3" s="1"/>
  <c r="BH55" i="1"/>
  <c r="AB55" i="1" s="1"/>
  <c r="AW56" i="1"/>
  <c r="H56" i="1"/>
  <c r="BH56" i="1"/>
  <c r="AB56" i="1" s="1"/>
  <c r="AK95" i="1"/>
  <c r="AT90" i="1" s="1"/>
  <c r="J90" i="1"/>
  <c r="AV224" i="1"/>
  <c r="BC224" i="1"/>
  <c r="AW30" i="1"/>
  <c r="H30" i="1"/>
  <c r="BH30" i="1"/>
  <c r="AV112" i="1"/>
  <c r="BC112" i="1"/>
  <c r="BH13" i="1"/>
  <c r="AB13" i="1" s="1"/>
  <c r="AW44" i="1"/>
  <c r="H44" i="1"/>
  <c r="AT99" i="1"/>
  <c r="H102" i="1"/>
  <c r="BH102" i="1"/>
  <c r="AD102" i="1" s="1"/>
  <c r="AW102" i="1"/>
  <c r="BH108" i="1"/>
  <c r="AD108" i="1" s="1"/>
  <c r="BC109" i="1"/>
  <c r="AV109" i="1"/>
  <c r="I122" i="1"/>
  <c r="I118" i="1" s="1"/>
  <c r="BI122" i="1"/>
  <c r="AE122" i="1" s="1"/>
  <c r="AX122" i="1"/>
  <c r="BC145" i="1"/>
  <c r="BC219" i="1"/>
  <c r="AV219" i="1"/>
  <c r="BC35" i="1"/>
  <c r="H15" i="1"/>
  <c r="I19" i="1"/>
  <c r="I12" i="1" s="1"/>
  <c r="BI19" i="1"/>
  <c r="AC19" i="1" s="1"/>
  <c r="BC26" i="1"/>
  <c r="AV26" i="1"/>
  <c r="BH29" i="1"/>
  <c r="AB29" i="1" s="1"/>
  <c r="BI43" i="1"/>
  <c r="AC43" i="1" s="1"/>
  <c r="AX44" i="1"/>
  <c r="I44" i="1"/>
  <c r="BI44" i="1"/>
  <c r="AC44" i="1" s="1"/>
  <c r="AW68" i="1"/>
  <c r="H68" i="1"/>
  <c r="H87" i="1"/>
  <c r="BH87" i="1"/>
  <c r="AB87" i="1" s="1"/>
  <c r="AW87" i="1"/>
  <c r="I90" i="1"/>
  <c r="I115" i="1"/>
  <c r="BI115" i="1"/>
  <c r="AE115" i="1" s="1"/>
  <c r="AX115" i="1"/>
  <c r="AV119" i="1"/>
  <c r="BC119" i="1"/>
  <c r="AT124" i="1"/>
  <c r="AX35" i="1"/>
  <c r="AV35" i="1" s="1"/>
  <c r="AW36" i="1"/>
  <c r="BH70" i="1"/>
  <c r="AB70" i="1" s="1"/>
  <c r="BH79" i="1"/>
  <c r="AB79" i="1" s="1"/>
  <c r="BI108" i="1"/>
  <c r="AE108" i="1" s="1"/>
  <c r="C17" i="3" s="1"/>
  <c r="BH109" i="1"/>
  <c r="AD109" i="1" s="1"/>
  <c r="BC133" i="1"/>
  <c r="AV133" i="1"/>
  <c r="BC135" i="1"/>
  <c r="AV140" i="1"/>
  <c r="BC140" i="1"/>
  <c r="AT160" i="1"/>
  <c r="BC162" i="1"/>
  <c r="AV178" i="1"/>
  <c r="BC178" i="1"/>
  <c r="BI187" i="1"/>
  <c r="AE187" i="1" s="1"/>
  <c r="AX187" i="1"/>
  <c r="I187" i="1"/>
  <c r="I183" i="1" s="1"/>
  <c r="BC225" i="1"/>
  <c r="AV225" i="1"/>
  <c r="AS228" i="1"/>
  <c r="AX274" i="1"/>
  <c r="I274" i="1"/>
  <c r="BI274" i="1"/>
  <c r="AE274" i="1" s="1"/>
  <c r="AT279" i="1"/>
  <c r="BC283" i="1"/>
  <c r="AV283" i="1"/>
  <c r="BH146" i="1"/>
  <c r="AD146" i="1" s="1"/>
  <c r="AW146" i="1"/>
  <c r="H146" i="1"/>
  <c r="AV151" i="1"/>
  <c r="AK184" i="1"/>
  <c r="AT183" i="1" s="1"/>
  <c r="J183" i="1"/>
  <c r="BC187" i="1"/>
  <c r="AV187" i="1"/>
  <c r="I192" i="1"/>
  <c r="I189" i="1" s="1"/>
  <c r="BI192" i="1"/>
  <c r="AE192" i="1" s="1"/>
  <c r="AW198" i="1"/>
  <c r="BH198" i="1"/>
  <c r="BC236" i="1"/>
  <c r="AV236" i="1"/>
  <c r="AT318" i="1"/>
  <c r="H70" i="1"/>
  <c r="H79" i="1"/>
  <c r="AK79" i="1"/>
  <c r="AT78" i="1" s="1"/>
  <c r="I108" i="1"/>
  <c r="H109" i="1"/>
  <c r="BI110" i="1"/>
  <c r="AE110" i="1" s="1"/>
  <c r="BH111" i="1"/>
  <c r="AD111" i="1" s="1"/>
  <c r="BH125" i="1"/>
  <c r="AD125" i="1" s="1"/>
  <c r="BH134" i="1"/>
  <c r="AD134" i="1" s="1"/>
  <c r="AW134" i="1"/>
  <c r="H134" i="1"/>
  <c r="BH159" i="1"/>
  <c r="AW159" i="1"/>
  <c r="H159" i="1"/>
  <c r="BC169" i="1"/>
  <c r="AV169" i="1"/>
  <c r="BH173" i="1"/>
  <c r="AD173" i="1" s="1"/>
  <c r="AW173" i="1"/>
  <c r="H173" i="1"/>
  <c r="BC192" i="1"/>
  <c r="AV214" i="1"/>
  <c r="BC214" i="1"/>
  <c r="AX289" i="1"/>
  <c r="I289" i="1"/>
  <c r="I279" i="1" s="1"/>
  <c r="BI289" i="1"/>
  <c r="AC289" i="1" s="1"/>
  <c r="BC298" i="1"/>
  <c r="AV298" i="1"/>
  <c r="AW136" i="1"/>
  <c r="BH136" i="1"/>
  <c r="AD136" i="1" s="1"/>
  <c r="I154" i="1"/>
  <c r="BI154" i="1"/>
  <c r="AE154" i="1" s="1"/>
  <c r="H163" i="1"/>
  <c r="BH163" i="1"/>
  <c r="AD163" i="1" s="1"/>
  <c r="AW175" i="1"/>
  <c r="BH175" i="1"/>
  <c r="AD175" i="1" s="1"/>
  <c r="BH188" i="1"/>
  <c r="AW188" i="1"/>
  <c r="H188" i="1"/>
  <c r="AW290" i="1"/>
  <c r="H290" i="1"/>
  <c r="BH290" i="1"/>
  <c r="AB290" i="1" s="1"/>
  <c r="AX27" i="1"/>
  <c r="AV27" i="1" s="1"/>
  <c r="AW28" i="1"/>
  <c r="BI35" i="1"/>
  <c r="AC35" i="1" s="1"/>
  <c r="BH36" i="1"/>
  <c r="AB36" i="1" s="1"/>
  <c r="AX42" i="1"/>
  <c r="AV42" i="1" s="1"/>
  <c r="AW43" i="1"/>
  <c r="BI53" i="1"/>
  <c r="BI60" i="1"/>
  <c r="AC60" i="1" s="1"/>
  <c r="BH62" i="1"/>
  <c r="AB62" i="1" s="1"/>
  <c r="AX66" i="1"/>
  <c r="AV66" i="1" s="1"/>
  <c r="AW67" i="1"/>
  <c r="BI75" i="1"/>
  <c r="AC75" i="1" s="1"/>
  <c r="BH77" i="1"/>
  <c r="BI84" i="1"/>
  <c r="AC84" i="1" s="1"/>
  <c r="BH85" i="1"/>
  <c r="AB85" i="1" s="1"/>
  <c r="BI92" i="1"/>
  <c r="AE92" i="1" s="1"/>
  <c r="BH93" i="1"/>
  <c r="AD93" i="1" s="1"/>
  <c r="C16" i="3" s="1"/>
  <c r="AX97" i="1"/>
  <c r="AV97" i="1" s="1"/>
  <c r="AW98" i="1"/>
  <c r="BH100" i="1"/>
  <c r="AD100" i="1" s="1"/>
  <c r="AX104" i="1"/>
  <c r="AV104" i="1" s="1"/>
  <c r="AW106" i="1"/>
  <c r="BI113" i="1"/>
  <c r="AE113" i="1" s="1"/>
  <c r="BH114" i="1"/>
  <c r="AD114" i="1" s="1"/>
  <c r="BI120" i="1"/>
  <c r="AE120" i="1" s="1"/>
  <c r="BH121" i="1"/>
  <c r="AD121" i="1" s="1"/>
  <c r="BI127" i="1"/>
  <c r="AE127" i="1" s="1"/>
  <c r="BI128" i="1"/>
  <c r="AE128" i="1" s="1"/>
  <c r="H136" i="1"/>
  <c r="I142" i="1"/>
  <c r="BI142" i="1"/>
  <c r="AE142" i="1" s="1"/>
  <c r="BC154" i="1"/>
  <c r="BI165" i="1"/>
  <c r="AE165" i="1" s="1"/>
  <c r="AX165" i="1"/>
  <c r="I165" i="1"/>
  <c r="AX167" i="1"/>
  <c r="AV167" i="1" s="1"/>
  <c r="BI167" i="1"/>
  <c r="AE167" i="1" s="1"/>
  <c r="J172" i="1"/>
  <c r="AK173" i="1"/>
  <c r="AT172" i="1" s="1"/>
  <c r="H175" i="1"/>
  <c r="AU199" i="1"/>
  <c r="I207" i="1"/>
  <c r="I206" i="1" s="1"/>
  <c r="BI207" i="1"/>
  <c r="AG207" i="1" s="1"/>
  <c r="AV212" i="1"/>
  <c r="I129" i="1"/>
  <c r="I124" i="1" s="1"/>
  <c r="BI129" i="1"/>
  <c r="AE129" i="1" s="1"/>
  <c r="AX154" i="1"/>
  <c r="AW163" i="1"/>
  <c r="BC165" i="1"/>
  <c r="AV165" i="1"/>
  <c r="BC167" i="1"/>
  <c r="BC177" i="1"/>
  <c r="AW182" i="1"/>
  <c r="BH182" i="1"/>
  <c r="AD182" i="1" s="1"/>
  <c r="H193" i="1"/>
  <c r="H189" i="1" s="1"/>
  <c r="BH193" i="1"/>
  <c r="AD193" i="1" s="1"/>
  <c r="H200" i="1"/>
  <c r="BH200" i="1"/>
  <c r="AD200" i="1" s="1"/>
  <c r="AT206" i="1"/>
  <c r="BC207" i="1"/>
  <c r="BC271" i="1"/>
  <c r="AV271" i="1"/>
  <c r="AV31" i="1"/>
  <c r="AV48" i="1"/>
  <c r="AV57" i="1"/>
  <c r="AV71" i="1"/>
  <c r="AV80" i="1"/>
  <c r="AV110" i="1"/>
  <c r="BC138" i="1"/>
  <c r="BC149" i="1"/>
  <c r="AV149" i="1"/>
  <c r="H182" i="1"/>
  <c r="H181" i="1" s="1"/>
  <c r="BI195" i="1"/>
  <c r="AE195" i="1" s="1"/>
  <c r="AX195" i="1"/>
  <c r="AV195" i="1" s="1"/>
  <c r="I195" i="1"/>
  <c r="AX197" i="1"/>
  <c r="AV197" i="1" s="1"/>
  <c r="BI197" i="1"/>
  <c r="AE197" i="1" s="1"/>
  <c r="BI203" i="1"/>
  <c r="AE203" i="1" s="1"/>
  <c r="AX203" i="1"/>
  <c r="BC203" i="1" s="1"/>
  <c r="I203" i="1"/>
  <c r="AX207" i="1"/>
  <c r="AV207" i="1" s="1"/>
  <c r="AW251" i="1"/>
  <c r="H251" i="1"/>
  <c r="BH251" i="1"/>
  <c r="AD251" i="1" s="1"/>
  <c r="BI39" i="1"/>
  <c r="AC39" i="1" s="1"/>
  <c r="BH41" i="1"/>
  <c r="AB41" i="1" s="1"/>
  <c r="BI64" i="1"/>
  <c r="AC64" i="1" s="1"/>
  <c r="BH65" i="1"/>
  <c r="AB65" i="1" s="1"/>
  <c r="BI87" i="1"/>
  <c r="AC87" i="1" s="1"/>
  <c r="BH89" i="1"/>
  <c r="BI95" i="1"/>
  <c r="AE95" i="1" s="1"/>
  <c r="BH96" i="1"/>
  <c r="AD96" i="1" s="1"/>
  <c r="BI102" i="1"/>
  <c r="AE102" i="1" s="1"/>
  <c r="BH103" i="1"/>
  <c r="AD103" i="1" s="1"/>
  <c r="BI116" i="1"/>
  <c r="AE116" i="1" s="1"/>
  <c r="BH117" i="1"/>
  <c r="BI123" i="1"/>
  <c r="AX129" i="1"/>
  <c r="BC137" i="1"/>
  <c r="AV137" i="1"/>
  <c r="BH166" i="1"/>
  <c r="AD166" i="1" s="1"/>
  <c r="AW166" i="1"/>
  <c r="H166" i="1"/>
  <c r="BC176" i="1"/>
  <c r="AV176" i="1"/>
  <c r="AK193" i="1"/>
  <c r="AT189" i="1" s="1"/>
  <c r="J189" i="1"/>
  <c r="AV193" i="1"/>
  <c r="BC195" i="1"/>
  <c r="AK200" i="1"/>
  <c r="AT199" i="1" s="1"/>
  <c r="J199" i="1"/>
  <c r="AV200" i="1"/>
  <c r="AK217" i="1"/>
  <c r="AT216" i="1" s="1"/>
  <c r="AT228" i="1"/>
  <c r="H143" i="1"/>
  <c r="BH143" i="1"/>
  <c r="AD143" i="1" s="1"/>
  <c r="H155" i="1"/>
  <c r="BH155" i="1"/>
  <c r="AD155" i="1" s="1"/>
  <c r="AU160" i="1"/>
  <c r="BC200" i="1"/>
  <c r="AX205" i="1"/>
  <c r="BC205" i="1" s="1"/>
  <c r="BI205" i="1"/>
  <c r="H130" i="1"/>
  <c r="H124" i="1" s="1"/>
  <c r="BH130" i="1"/>
  <c r="AD130" i="1" s="1"/>
  <c r="BI145" i="1"/>
  <c r="AE145" i="1" s="1"/>
  <c r="AX145" i="1"/>
  <c r="AV145" i="1" s="1"/>
  <c r="I145" i="1"/>
  <c r="AX147" i="1"/>
  <c r="BC147" i="1" s="1"/>
  <c r="BI147" i="1"/>
  <c r="AE147" i="1" s="1"/>
  <c r="AV152" i="1"/>
  <c r="BC152" i="1"/>
  <c r="BI158" i="1"/>
  <c r="AE158" i="1" s="1"/>
  <c r="AX158" i="1"/>
  <c r="BC158" i="1" s="1"/>
  <c r="I158" i="1"/>
  <c r="AW168" i="1"/>
  <c r="BH168" i="1"/>
  <c r="AD168" i="1" s="1"/>
  <c r="AV179" i="1"/>
  <c r="BC179" i="1"/>
  <c r="AU183" i="1"/>
  <c r="BH196" i="1"/>
  <c r="AD196" i="1" s="1"/>
  <c r="AW196" i="1"/>
  <c r="H196" i="1"/>
  <c r="BH204" i="1"/>
  <c r="AD204" i="1" s="1"/>
  <c r="AW204" i="1"/>
  <c r="H204" i="1"/>
  <c r="H209" i="1"/>
  <c r="H206" i="1" s="1"/>
  <c r="BH209" i="1"/>
  <c r="AD209" i="1" s="1"/>
  <c r="AW217" i="1"/>
  <c r="BH217" i="1"/>
  <c r="AD217" i="1" s="1"/>
  <c r="AV220" i="1"/>
  <c r="AV154" i="1"/>
  <c r="AV162" i="1"/>
  <c r="AV192" i="1"/>
  <c r="BC229" i="1"/>
  <c r="BH231" i="1"/>
  <c r="H233" i="1"/>
  <c r="H228" i="1" s="1"/>
  <c r="AX243" i="1"/>
  <c r="I243" i="1"/>
  <c r="BI243" i="1"/>
  <c r="AE243" i="1" s="1"/>
  <c r="AS250" i="1"/>
  <c r="BC269" i="1"/>
  <c r="AW129" i="1"/>
  <c r="AX141" i="1"/>
  <c r="AW142" i="1"/>
  <c r="BC233" i="1"/>
  <c r="AV233" i="1"/>
  <c r="AV238" i="1"/>
  <c r="BC243" i="1"/>
  <c r="BC248" i="1"/>
  <c r="AV248" i="1"/>
  <c r="AV267" i="1"/>
  <c r="BC286" i="1"/>
  <c r="BC289" i="1"/>
  <c r="AV289" i="1"/>
  <c r="AX130" i="1"/>
  <c r="AV130" i="1" s="1"/>
  <c r="AW132" i="1"/>
  <c r="I136" i="1"/>
  <c r="H137" i="1"/>
  <c r="AX143" i="1"/>
  <c r="AV143" i="1" s="1"/>
  <c r="AW144" i="1"/>
  <c r="I148" i="1"/>
  <c r="H149" i="1"/>
  <c r="AX155" i="1"/>
  <c r="AV155" i="1" s="1"/>
  <c r="AW156" i="1"/>
  <c r="J160" i="1"/>
  <c r="AX163" i="1"/>
  <c r="AW164" i="1"/>
  <c r="I168" i="1"/>
  <c r="H169" i="1"/>
  <c r="H160" i="1" s="1"/>
  <c r="I175" i="1"/>
  <c r="I172" i="1" s="1"/>
  <c r="H176" i="1"/>
  <c r="BI177" i="1"/>
  <c r="AE177" i="1" s="1"/>
  <c r="BH178" i="1"/>
  <c r="AD178" i="1" s="1"/>
  <c r="I182" i="1"/>
  <c r="I181" i="1" s="1"/>
  <c r="AX184" i="1"/>
  <c r="AW185" i="1"/>
  <c r="AX193" i="1"/>
  <c r="BC193" i="1" s="1"/>
  <c r="AW194" i="1"/>
  <c r="I198" i="1"/>
  <c r="AX200" i="1"/>
  <c r="AW201" i="1"/>
  <c r="AX209" i="1"/>
  <c r="BC209" i="1" s="1"/>
  <c r="AW210" i="1"/>
  <c r="BH212" i="1"/>
  <c r="AD212" i="1" s="1"/>
  <c r="BI220" i="1"/>
  <c r="AE220" i="1" s="1"/>
  <c r="AW244" i="1"/>
  <c r="H244" i="1"/>
  <c r="BH244" i="1"/>
  <c r="AD244" i="1" s="1"/>
  <c r="AV257" i="1"/>
  <c r="BC262" i="1"/>
  <c r="AX265" i="1"/>
  <c r="AV265" i="1" s="1"/>
  <c r="I265" i="1"/>
  <c r="I250" i="1" s="1"/>
  <c r="BI265" i="1"/>
  <c r="AE265" i="1" s="1"/>
  <c r="BC282" i="1"/>
  <c r="AV282" i="1"/>
  <c r="AV135" i="1"/>
  <c r="AV147" i="1"/>
  <c r="I220" i="1"/>
  <c r="I216" i="1" s="1"/>
  <c r="H224" i="1"/>
  <c r="H216" i="1" s="1"/>
  <c r="H225" i="1"/>
  <c r="AV232" i="1"/>
  <c r="BC232" i="1"/>
  <c r="BC241" i="1"/>
  <c r="AK251" i="1"/>
  <c r="AT250" i="1" s="1"/>
  <c r="J250" i="1"/>
  <c r="BC287" i="1"/>
  <c r="AV287" i="1"/>
  <c r="BH129" i="1"/>
  <c r="AD129" i="1" s="1"/>
  <c r="BC231" i="1"/>
  <c r="BH233" i="1"/>
  <c r="AW266" i="1"/>
  <c r="H266" i="1"/>
  <c r="BH266" i="1"/>
  <c r="AD266" i="1" s="1"/>
  <c r="BC281" i="1"/>
  <c r="AV281" i="1"/>
  <c r="AX304" i="1"/>
  <c r="AV304" i="1" s="1"/>
  <c r="I304" i="1"/>
  <c r="BI304" i="1"/>
  <c r="AC304" i="1" s="1"/>
  <c r="BC253" i="1"/>
  <c r="BC263" i="1"/>
  <c r="AV263" i="1"/>
  <c r="AV296" i="1"/>
  <c r="AX317" i="1"/>
  <c r="AV317" i="1" s="1"/>
  <c r="I317" i="1"/>
  <c r="BI317" i="1"/>
  <c r="AX329" i="1"/>
  <c r="AV329" i="1" s="1"/>
  <c r="I329" i="1"/>
  <c r="BI329" i="1"/>
  <c r="AG329" i="1" s="1"/>
  <c r="BI130" i="1"/>
  <c r="AE130" i="1" s="1"/>
  <c r="BH132" i="1"/>
  <c r="AD132" i="1" s="1"/>
  <c r="BI143" i="1"/>
  <c r="AE143" i="1" s="1"/>
  <c r="BH144" i="1"/>
  <c r="AD144" i="1" s="1"/>
  <c r="BI155" i="1"/>
  <c r="AE155" i="1" s="1"/>
  <c r="BH156" i="1"/>
  <c r="AD156" i="1" s="1"/>
  <c r="BI163" i="1"/>
  <c r="AE163" i="1" s="1"/>
  <c r="BH164" i="1"/>
  <c r="AD164" i="1" s="1"/>
  <c r="BI184" i="1"/>
  <c r="AE184" i="1" s="1"/>
  <c r="BH185" i="1"/>
  <c r="AD185" i="1" s="1"/>
  <c r="BI193" i="1"/>
  <c r="AE193" i="1" s="1"/>
  <c r="BH194" i="1"/>
  <c r="AD194" i="1" s="1"/>
  <c r="BI200" i="1"/>
  <c r="AE200" i="1" s="1"/>
  <c r="BH201" i="1"/>
  <c r="AD201" i="1" s="1"/>
  <c r="BI209" i="1"/>
  <c r="AE209" i="1" s="1"/>
  <c r="BH210" i="1"/>
  <c r="AV227" i="1"/>
  <c r="AU228" i="1"/>
  <c r="AV231" i="1"/>
  <c r="AV245" i="1"/>
  <c r="BC245" i="1"/>
  <c r="BC249" i="1"/>
  <c r="AV249" i="1"/>
  <c r="AT268" i="1"/>
  <c r="AT275" i="1"/>
  <c r="AU279" i="1"/>
  <c r="BC294" i="1"/>
  <c r="AV294" i="1"/>
  <c r="BC315" i="1"/>
  <c r="AV315" i="1"/>
  <c r="BC317" i="1"/>
  <c r="I229" i="1"/>
  <c r="I228" i="1" s="1"/>
  <c r="BH232" i="1"/>
  <c r="BC258" i="1"/>
  <c r="AV258" i="1"/>
  <c r="BC272" i="1"/>
  <c r="AV291" i="1"/>
  <c r="BC291" i="1"/>
  <c r="BC302" i="1"/>
  <c r="AV302" i="1"/>
  <c r="AW305" i="1"/>
  <c r="H305" i="1"/>
  <c r="BH305" i="1"/>
  <c r="AF305" i="1" s="1"/>
  <c r="AW331" i="1"/>
  <c r="H331" i="1"/>
  <c r="BH331" i="1"/>
  <c r="AF331" i="1" s="1"/>
  <c r="AW230" i="1"/>
  <c r="BI232" i="1"/>
  <c r="BC239" i="1"/>
  <c r="AV239" i="1"/>
  <c r="BC274" i="1"/>
  <c r="AV274" i="1"/>
  <c r="AS279" i="1"/>
  <c r="BC325" i="1"/>
  <c r="AV325" i="1"/>
  <c r="BI239" i="1"/>
  <c r="AE239" i="1" s="1"/>
  <c r="BH241" i="1"/>
  <c r="AD241" i="1" s="1"/>
  <c r="AX245" i="1"/>
  <c r="AW246" i="1"/>
  <c r="AX253" i="1"/>
  <c r="AV253" i="1" s="1"/>
  <c r="AW255" i="1"/>
  <c r="BI262" i="1"/>
  <c r="AE262" i="1" s="1"/>
  <c r="BH263" i="1"/>
  <c r="AD263" i="1" s="1"/>
  <c r="AX267" i="1"/>
  <c r="BC267" i="1" s="1"/>
  <c r="BI269" i="1"/>
  <c r="AE269" i="1" s="1"/>
  <c r="BH271" i="1"/>
  <c r="AD271" i="1" s="1"/>
  <c r="AW280" i="1"/>
  <c r="BI286" i="1"/>
  <c r="AC286" i="1" s="1"/>
  <c r="BH287" i="1"/>
  <c r="AF287" i="1" s="1"/>
  <c r="C18" i="3" s="1"/>
  <c r="AX291" i="1"/>
  <c r="AW292" i="1"/>
  <c r="BI301" i="1"/>
  <c r="AC301" i="1" s="1"/>
  <c r="BH302" i="1"/>
  <c r="AB302" i="1" s="1"/>
  <c r="AX306" i="1"/>
  <c r="AV306" i="1" s="1"/>
  <c r="AW307" i="1"/>
  <c r="BI313" i="1"/>
  <c r="AC313" i="1" s="1"/>
  <c r="BH315" i="1"/>
  <c r="AB315" i="1" s="1"/>
  <c r="BI323" i="1"/>
  <c r="AG323" i="1" s="1"/>
  <c r="BH325" i="1"/>
  <c r="AF325" i="1" s="1"/>
  <c r="AX333" i="1"/>
  <c r="BC333" i="1" s="1"/>
  <c r="AW335" i="1"/>
  <c r="BI241" i="1"/>
  <c r="AE241" i="1" s="1"/>
  <c r="BH242" i="1"/>
  <c r="AD242" i="1" s="1"/>
  <c r="AX246" i="1"/>
  <c r="AW247" i="1"/>
  <c r="AX255" i="1"/>
  <c r="AW256" i="1"/>
  <c r="BI263" i="1"/>
  <c r="AE263" i="1" s="1"/>
  <c r="BH264" i="1"/>
  <c r="AD264" i="1" s="1"/>
  <c r="BI271" i="1"/>
  <c r="AE271" i="1" s="1"/>
  <c r="BH272" i="1"/>
  <c r="AD272" i="1" s="1"/>
  <c r="AX280" i="1"/>
  <c r="BI287" i="1"/>
  <c r="AG287" i="1" s="1"/>
  <c r="BH288" i="1"/>
  <c r="AB288" i="1" s="1"/>
  <c r="BI302" i="1"/>
  <c r="AC302" i="1" s="1"/>
  <c r="BH303" i="1"/>
  <c r="AB303" i="1" s="1"/>
  <c r="AX307" i="1"/>
  <c r="AW308" i="1"/>
  <c r="H313" i="1"/>
  <c r="I321" i="1"/>
  <c r="I318" i="1" s="1"/>
  <c r="H323" i="1"/>
  <c r="H318" i="1" s="1"/>
  <c r="BH327" i="1"/>
  <c r="AF327" i="1" s="1"/>
  <c r="AX335" i="1"/>
  <c r="AW337" i="1"/>
  <c r="BI242" i="1"/>
  <c r="AE242" i="1" s="1"/>
  <c r="BH243" i="1"/>
  <c r="AD243" i="1" s="1"/>
  <c r="BI264" i="1"/>
  <c r="AE264" i="1" s="1"/>
  <c r="BH265" i="1"/>
  <c r="AD265" i="1" s="1"/>
  <c r="BI272" i="1"/>
  <c r="AE272" i="1" s="1"/>
  <c r="BH274" i="1"/>
  <c r="AD274" i="1" s="1"/>
  <c r="BI288" i="1"/>
  <c r="AC288" i="1" s="1"/>
  <c r="BH289" i="1"/>
  <c r="AB289" i="1" s="1"/>
  <c r="BI303" i="1"/>
  <c r="AC303" i="1" s="1"/>
  <c r="BH304" i="1"/>
  <c r="AB304" i="1" s="1"/>
  <c r="BI316" i="1"/>
  <c r="AG316" i="1" s="1"/>
  <c r="BH317" i="1"/>
  <c r="BH329" i="1"/>
  <c r="AF329" i="1" s="1"/>
  <c r="AW339" i="1"/>
  <c r="BI244" i="1"/>
  <c r="AE244" i="1" s="1"/>
  <c r="BH245" i="1"/>
  <c r="AD245" i="1" s="1"/>
  <c r="BI251" i="1"/>
  <c r="AE251" i="1" s="1"/>
  <c r="BH253" i="1"/>
  <c r="AD253" i="1" s="1"/>
  <c r="BI266" i="1"/>
  <c r="AE266" i="1" s="1"/>
  <c r="BH267" i="1"/>
  <c r="I272" i="1"/>
  <c r="I268" i="1" s="1"/>
  <c r="H274" i="1"/>
  <c r="H268" i="1" s="1"/>
  <c r="H289" i="1"/>
  <c r="H279" i="1" s="1"/>
  <c r="BI290" i="1"/>
  <c r="AC290" i="1" s="1"/>
  <c r="BH291" i="1"/>
  <c r="AB291" i="1" s="1"/>
  <c r="BI305" i="1"/>
  <c r="AG305" i="1" s="1"/>
  <c r="BH306" i="1"/>
  <c r="AB306" i="1" s="1"/>
  <c r="BI331" i="1"/>
  <c r="AG331" i="1" s="1"/>
  <c r="BH333" i="1"/>
  <c r="AF333" i="1" s="1"/>
  <c r="AV262" i="1"/>
  <c r="AV269" i="1"/>
  <c r="AV286" i="1"/>
  <c r="AV301" i="1"/>
  <c r="AV323" i="1"/>
  <c r="BH335" i="1"/>
  <c r="AF335" i="1" s="1"/>
  <c r="I331" i="1"/>
  <c r="H333" i="1"/>
  <c r="BH337" i="1"/>
  <c r="AF337" i="1" s="1"/>
  <c r="AV243" i="1"/>
  <c r="BC44" i="1" l="1"/>
  <c r="AV44" i="1"/>
  <c r="AV86" i="1"/>
  <c r="BC86" i="1"/>
  <c r="BC20" i="1"/>
  <c r="AV20" i="1"/>
  <c r="BC108" i="1"/>
  <c r="AV108" i="1"/>
  <c r="C14" i="3"/>
  <c r="C22" i="3" s="1"/>
  <c r="BC55" i="1"/>
  <c r="AV55" i="1"/>
  <c r="AV280" i="1"/>
  <c r="BC280" i="1"/>
  <c r="BC329" i="1"/>
  <c r="BC210" i="1"/>
  <c r="AV210" i="1"/>
  <c r="AV333" i="1"/>
  <c r="BC196" i="1"/>
  <c r="AV196" i="1"/>
  <c r="BC43" i="1"/>
  <c r="AV43" i="1"/>
  <c r="H78" i="1"/>
  <c r="I54" i="1"/>
  <c r="AV14" i="1"/>
  <c r="BC14" i="1"/>
  <c r="H12" i="1"/>
  <c r="AV335" i="1"/>
  <c r="BC335" i="1"/>
  <c r="AV122" i="1"/>
  <c r="BC122" i="1"/>
  <c r="BC197" i="1"/>
  <c r="BC182" i="1"/>
  <c r="AV182" i="1"/>
  <c r="BC56" i="1"/>
  <c r="AV56" i="1"/>
  <c r="AV305" i="1"/>
  <c r="BC305" i="1"/>
  <c r="BC304" i="1"/>
  <c r="BC201" i="1"/>
  <c r="AV201" i="1"/>
  <c r="BC175" i="1"/>
  <c r="AV175" i="1"/>
  <c r="BC36" i="1"/>
  <c r="AV36" i="1"/>
  <c r="AV39" i="1"/>
  <c r="BC39" i="1"/>
  <c r="BC123" i="1"/>
  <c r="AV123" i="1"/>
  <c r="AV266" i="1"/>
  <c r="BC266" i="1"/>
  <c r="BC132" i="1"/>
  <c r="AV132" i="1"/>
  <c r="BC217" i="1"/>
  <c r="AV217" i="1"/>
  <c r="BC68" i="1"/>
  <c r="AV68" i="1"/>
  <c r="AV64" i="1"/>
  <c r="BC64" i="1"/>
  <c r="I99" i="1"/>
  <c r="AV63" i="1"/>
  <c r="BC63" i="1"/>
  <c r="BC144" i="1"/>
  <c r="AV144" i="1"/>
  <c r="BC87" i="1"/>
  <c r="AV87" i="1"/>
  <c r="BC256" i="1"/>
  <c r="AV256" i="1"/>
  <c r="BC265" i="1"/>
  <c r="BC28" i="1"/>
  <c r="AV28" i="1"/>
  <c r="BC134" i="1"/>
  <c r="AV134" i="1"/>
  <c r="AV184" i="1"/>
  <c r="BC184" i="1"/>
  <c r="BC46" i="1"/>
  <c r="AV46" i="1"/>
  <c r="AV331" i="1"/>
  <c r="BC331" i="1"/>
  <c r="BC188" i="1"/>
  <c r="AV188" i="1"/>
  <c r="BC174" i="1"/>
  <c r="BC308" i="1"/>
  <c r="AV308" i="1"/>
  <c r="BC194" i="1"/>
  <c r="AV194" i="1"/>
  <c r="BC102" i="1"/>
  <c r="AV102" i="1"/>
  <c r="BC30" i="1"/>
  <c r="AV30" i="1"/>
  <c r="BC95" i="1"/>
  <c r="AV95" i="1"/>
  <c r="AV22" i="1"/>
  <c r="BC116" i="1"/>
  <c r="AV116" i="1"/>
  <c r="AV38" i="1"/>
  <c r="BC38" i="1"/>
  <c r="AV101" i="1"/>
  <c r="BC101" i="1"/>
  <c r="BC247" i="1"/>
  <c r="AV247" i="1"/>
  <c r="AV205" i="1"/>
  <c r="BC168" i="1"/>
  <c r="AV168" i="1"/>
  <c r="H250" i="1"/>
  <c r="AV163" i="1"/>
  <c r="BC163" i="1"/>
  <c r="BC146" i="1"/>
  <c r="AV146" i="1"/>
  <c r="AV209" i="1"/>
  <c r="AV158" i="1"/>
  <c r="H183" i="1"/>
  <c r="BC42" i="1"/>
  <c r="BC129" i="1"/>
  <c r="AV129" i="1"/>
  <c r="BC159" i="1"/>
  <c r="AV159" i="1"/>
  <c r="AV94" i="1"/>
  <c r="BC94" i="1"/>
  <c r="AV255" i="1"/>
  <c r="BC255" i="1"/>
  <c r="BC185" i="1"/>
  <c r="AV185" i="1"/>
  <c r="BC156" i="1"/>
  <c r="AV156" i="1"/>
  <c r="BC306" i="1"/>
  <c r="AV251" i="1"/>
  <c r="BC251" i="1"/>
  <c r="BC67" i="1"/>
  <c r="AV67" i="1"/>
  <c r="H172" i="1"/>
  <c r="AV115" i="1"/>
  <c r="BC115" i="1"/>
  <c r="BC148" i="1"/>
  <c r="AV148" i="1"/>
  <c r="AV24" i="1"/>
  <c r="BC24" i="1"/>
  <c r="BC166" i="1"/>
  <c r="AV166" i="1"/>
  <c r="BC337" i="1"/>
  <c r="AV337" i="1"/>
  <c r="BC164" i="1"/>
  <c r="AV164" i="1"/>
  <c r="AV292" i="1"/>
  <c r="BC292" i="1"/>
  <c r="AV246" i="1"/>
  <c r="BC246" i="1"/>
  <c r="AV230" i="1"/>
  <c r="BC230" i="1"/>
  <c r="BC142" i="1"/>
  <c r="AV142" i="1"/>
  <c r="AV203" i="1"/>
  <c r="BC106" i="1"/>
  <c r="AV106" i="1"/>
  <c r="AV290" i="1"/>
  <c r="BC290" i="1"/>
  <c r="BC173" i="1"/>
  <c r="AV173" i="1"/>
  <c r="BC130" i="1"/>
  <c r="BC97" i="1"/>
  <c r="BC155" i="1"/>
  <c r="BC66" i="1"/>
  <c r="BC143" i="1"/>
  <c r="BC98" i="1"/>
  <c r="AV98" i="1"/>
  <c r="AV307" i="1"/>
  <c r="BC307" i="1"/>
  <c r="BC339" i="1"/>
  <c r="AV339" i="1"/>
  <c r="AV244" i="1"/>
  <c r="BC244" i="1"/>
  <c r="AV141" i="1"/>
  <c r="BC141" i="1"/>
  <c r="BC204" i="1"/>
  <c r="AV204" i="1"/>
  <c r="H199" i="1"/>
  <c r="BC136" i="1"/>
  <c r="AV136" i="1"/>
  <c r="BC198" i="1"/>
  <c r="AV198" i="1"/>
  <c r="BC27" i="1"/>
  <c r="BC29" i="1"/>
  <c r="AV29" i="1"/>
  <c r="H27" i="4" l="1"/>
  <c r="I27" i="4" s="1"/>
  <c r="F29" i="4" s="1"/>
  <c r="I22" i="3"/>
  <c r="C28" i="3" s="1"/>
  <c r="F28" i="3" l="1"/>
  <c r="I28" i="3"/>
  <c r="I29" i="3" l="1"/>
</calcChain>
</file>

<file path=xl/sharedStrings.xml><?xml version="1.0" encoding="utf-8"?>
<sst xmlns="http://schemas.openxmlformats.org/spreadsheetml/2006/main" count="5631" uniqueCount="1230">
  <si>
    <t>Slepý stavební rozpočet</t>
  </si>
  <si>
    <t>Název stavby:</t>
  </si>
  <si>
    <t>Revitalizace městských bytů v Šumperku - BJ č.1</t>
  </si>
  <si>
    <t>Doba výstavby:</t>
  </si>
  <si>
    <t xml:space="preserve"> </t>
  </si>
  <si>
    <t>Objednatel:</t>
  </si>
  <si>
    <t>Město Šumperk, nám. Míru 1, 787 01 Šumperk</t>
  </si>
  <si>
    <t>Druh stavby:</t>
  </si>
  <si>
    <t>Bytový dům</t>
  </si>
  <si>
    <t>Začátek výstavby:</t>
  </si>
  <si>
    <t>Projektant:</t>
  </si>
  <si>
    <t>Ing. Petr Doleček</t>
  </si>
  <si>
    <t>Lokalita:</t>
  </si>
  <si>
    <t>17.listopadu 1247/3 Šumperk</t>
  </si>
  <si>
    <t>Konec výstavby:</t>
  </si>
  <si>
    <t>Zhotovitel:</t>
  </si>
  <si>
    <t> </t>
  </si>
  <si>
    <t>JKSO:</t>
  </si>
  <si>
    <t>Zpracováno dne:</t>
  </si>
  <si>
    <t>26.06.2024</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</si>
  <si>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</si>
  <si>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</si>
  <si>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</si>
  <si>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</si>
  <si>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</si>
  <si>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</si>
  <si>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</si>
  <si>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</si>
  <si>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</si>
  <si>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</si>
  <si>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</si>
  <si>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</si>
  <si>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</si>
  <si>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</si>
  <si>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</si>
  <si>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</si>
  <si>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</si>
  <si>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</si>
  <si>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</si>
  <si>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</si>
  <si>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</si>
  <si>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</si>
  <si>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</si>
  <si>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</si>
  <si>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</si>
  <si>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</si>
  <si>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</si>
  <si>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</si>
  <si>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</si>
  <si>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</si>
  <si>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</si>
  <si>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34</t>
  </si>
  <si>
    <t>Stěny a příčky</t>
  </si>
  <si>
    <t>1</t>
  </si>
  <si>
    <t>968061126R00</t>
  </si>
  <si>
    <t>Vyvěšení dřevěných a plastových dveřních křídel pl. nad 2 m2</t>
  </si>
  <si>
    <t>kus</t>
  </si>
  <si>
    <t>RTS I / 2024</t>
  </si>
  <si>
    <t>34_</t>
  </si>
  <si>
    <t>3_</t>
  </si>
  <si>
    <t>_</t>
  </si>
  <si>
    <t>2</t>
  </si>
  <si>
    <t>968062456R00</t>
  </si>
  <si>
    <t>Vybourání dřevěných dveřních zárubní pl. nad 2 m2</t>
  </si>
  <si>
    <t>m2</t>
  </si>
  <si>
    <t>3</t>
  </si>
  <si>
    <t>978012191R00</t>
  </si>
  <si>
    <t>Otlučení omítek vnitřních rákosov.stropů do 100 %</t>
  </si>
  <si>
    <t>4</t>
  </si>
  <si>
    <t>762900080RA0</t>
  </si>
  <si>
    <t>Demontáž záklopu stropů</t>
  </si>
  <si>
    <t>5</t>
  </si>
  <si>
    <t>973100011RA0</t>
  </si>
  <si>
    <t>Vysekání kapes ve zdivu z cihel, 30 x 30 x 15 cm</t>
  </si>
  <si>
    <t>6</t>
  </si>
  <si>
    <t>963016111R00</t>
  </si>
  <si>
    <t>DMTZ podhledu SDK, kovová kce., 1xoplášť.12,5 mm</t>
  </si>
  <si>
    <t>7</t>
  </si>
  <si>
    <t>962032551R00</t>
  </si>
  <si>
    <t>Bourání zdiva z pórobetonových tvárnic</t>
  </si>
  <si>
    <t>m3</t>
  </si>
  <si>
    <t>8</t>
  </si>
  <si>
    <t>962200011RAB</t>
  </si>
  <si>
    <t>Bourání příček z cihel pálených</t>
  </si>
  <si>
    <t>Varianta:</t>
  </si>
  <si>
    <t>tloušťka 15 cm</t>
  </si>
  <si>
    <t>9</t>
  </si>
  <si>
    <t>460680021RT2</t>
  </si>
  <si>
    <t>Průraz zdivem v cihlové zdi tloušťky 15 cm</t>
  </si>
  <si>
    <t>plochy do 0,025 m2</t>
  </si>
  <si>
    <t>10</t>
  </si>
  <si>
    <t>460680023RT2</t>
  </si>
  <si>
    <t>Průraz zdivem v cihlové zdi tloušťky 45 cm</t>
  </si>
  <si>
    <t>11</t>
  </si>
  <si>
    <t>767312739R00</t>
  </si>
  <si>
    <t>Úprava pro prostup potrubí</t>
  </si>
  <si>
    <t>12</t>
  </si>
  <si>
    <t>974031122R00</t>
  </si>
  <si>
    <t>Vysekání rýh ve zdi cihelné 3 x 7 cm</t>
  </si>
  <si>
    <t>m</t>
  </si>
  <si>
    <t>13</t>
  </si>
  <si>
    <t>974031133R00</t>
  </si>
  <si>
    <t>Vysekání rýh ve zdi cihelné 5 x 10 cm</t>
  </si>
  <si>
    <t>14</t>
  </si>
  <si>
    <t>974031143R00</t>
  </si>
  <si>
    <t>Vysekání rýh ve zdi cihelné 7 x 10 cm</t>
  </si>
  <si>
    <t>15</t>
  </si>
  <si>
    <t>979082212R00</t>
  </si>
  <si>
    <t>Vodorovná doprava suti po suchu do 50 m</t>
  </si>
  <si>
    <t>t</t>
  </si>
  <si>
    <t>16</t>
  </si>
  <si>
    <t>979083117R00</t>
  </si>
  <si>
    <t>Vodorovné přemístění suti na skládku do 6000 m</t>
  </si>
  <si>
    <t>17</t>
  </si>
  <si>
    <t>979990101R00</t>
  </si>
  <si>
    <t>Poplatek za uložení směsi betonu a cihel skupina 170101 a 170102</t>
  </si>
  <si>
    <t>RTS I / 2022</t>
  </si>
  <si>
    <t>18</t>
  </si>
  <si>
    <t>346244361RT2</t>
  </si>
  <si>
    <t>Zazdívka rýh, potrubí, kapes cihlami tl. 6,5 cm</t>
  </si>
  <si>
    <t>s použitím suché maltové směsi</t>
  </si>
  <si>
    <t>19</t>
  </si>
  <si>
    <t>762332120R00</t>
  </si>
  <si>
    <t>Montáž vázaných krovů pravidelných do 224 cm2</t>
  </si>
  <si>
    <t>20</t>
  </si>
  <si>
    <t>783780010RAC</t>
  </si>
  <si>
    <t>Impregnace tesařských konstrukcí</t>
  </si>
  <si>
    <t>dvojnásobná Bochemitem QB</t>
  </si>
  <si>
    <t>21</t>
  </si>
  <si>
    <t>60515230</t>
  </si>
  <si>
    <t>Hranol stavební SM do 140 x 140 mm, 5 - 6 m</t>
  </si>
  <si>
    <t>22</t>
  </si>
  <si>
    <t>317940911RAA</t>
  </si>
  <si>
    <t>Osazení válcovaných profilů dodatečně</t>
  </si>
  <si>
    <t>vysekání drážky, dodávka profilů</t>
  </si>
  <si>
    <t>23</t>
  </si>
  <si>
    <t>346244381R00</t>
  </si>
  <si>
    <t>Plentování ocelových nosníků výšky do 20 cm</t>
  </si>
  <si>
    <t>24</t>
  </si>
  <si>
    <t>346244311T00</t>
  </si>
  <si>
    <t>Obezdění van a WC nádržek z pórobetonových desek tl. 50 mm</t>
  </si>
  <si>
    <t>25</t>
  </si>
  <si>
    <t>342270042RA0</t>
  </si>
  <si>
    <t>Příčka z desek Ytong hladkých, tloušťka 10 cm</t>
  </si>
  <si>
    <t>26</t>
  </si>
  <si>
    <t>342111422RT4</t>
  </si>
  <si>
    <t>Příčka SDVK tl.125 mm,ocel.kce,oplášť 12,5+12,5 mm</t>
  </si>
  <si>
    <t>izolace miner.tl. 60 mm, objem. hmotnost 50 kg/m3</t>
  </si>
  <si>
    <t>27</t>
  </si>
  <si>
    <t>342111322RT4</t>
  </si>
  <si>
    <t>Příčka SDVK tl.100 mm,ocel.kce,oplášť 12,5+12,5 mm</t>
  </si>
  <si>
    <t>28</t>
  </si>
  <si>
    <t>342090121R00</t>
  </si>
  <si>
    <t>Úprava SDK příčky pro zřízení dveří 1kř do 25 kg, profily CW 75, 1x opláštěné</t>
  </si>
  <si>
    <t>29</t>
  </si>
  <si>
    <t>342264051RT1</t>
  </si>
  <si>
    <t>Podhled sádrokartonový na zavěšenou ocel. konstr.</t>
  </si>
  <si>
    <t>desky standard tl. 12,5 mm, bez izolace</t>
  </si>
  <si>
    <t>30</t>
  </si>
  <si>
    <t>342264051RT3</t>
  </si>
  <si>
    <t>desky standard impreg. tl. 12,5 mm, bez izolace</t>
  </si>
  <si>
    <t>31</t>
  </si>
  <si>
    <t>998011001R00</t>
  </si>
  <si>
    <t>Přesun hmot pro budovy zděné výšky do 6 m</t>
  </si>
  <si>
    <t>61</t>
  </si>
  <si>
    <t>Úprava povrchů vnitřní</t>
  </si>
  <si>
    <t>32</t>
  </si>
  <si>
    <t>610991111R00</t>
  </si>
  <si>
    <t>Zakrývání výplní vnitřních otvorů</t>
  </si>
  <si>
    <t>61_</t>
  </si>
  <si>
    <t>6_</t>
  </si>
  <si>
    <t>33</t>
  </si>
  <si>
    <t>978500010RA0</t>
  </si>
  <si>
    <t>Odsekání vnitřních obkladů</t>
  </si>
  <si>
    <t>35</t>
  </si>
  <si>
    <t>36</t>
  </si>
  <si>
    <t>979990001R00</t>
  </si>
  <si>
    <t>Poplatek za skládku stavební suti</t>
  </si>
  <si>
    <t>RTS I / 2020</t>
  </si>
  <si>
    <t>37</t>
  </si>
  <si>
    <t>612403386R00</t>
  </si>
  <si>
    <t>Hrubá výplň rýh ve stěnách do 10x10cm maltou z SMS</t>
  </si>
  <si>
    <t>vč. omítkové směsi</t>
  </si>
  <si>
    <t>38</t>
  </si>
  <si>
    <t>319201315R00</t>
  </si>
  <si>
    <t>Vyrovnání zdiva pod omítku maltou ze SMS tl. 10 mm</t>
  </si>
  <si>
    <t>39</t>
  </si>
  <si>
    <t>711212311R00</t>
  </si>
  <si>
    <t>Penetrace savých podkladů weberpodklad A</t>
  </si>
  <si>
    <t>40</t>
  </si>
  <si>
    <t>781101142R00</t>
  </si>
  <si>
    <t>Hydroizolační stěrka dvouvrstvá pod obklady</t>
  </si>
  <si>
    <t>41</t>
  </si>
  <si>
    <t>585811012</t>
  </si>
  <si>
    <t>SE6 jednosložková hydroizolační stěrka</t>
  </si>
  <si>
    <t>kg</t>
  </si>
  <si>
    <t>42</t>
  </si>
  <si>
    <t>781475116R00</t>
  </si>
  <si>
    <t>Obklad vnitřní stěn keramický, do tmele, 30x30 cm</t>
  </si>
  <si>
    <t>43</t>
  </si>
  <si>
    <t>781497131R00</t>
  </si>
  <si>
    <t>Lišta nerezová ukončovacích k obkladům</t>
  </si>
  <si>
    <t>44</t>
  </si>
  <si>
    <t>612481211RU1</t>
  </si>
  <si>
    <t>Montáž výztužné sítě(perlinky)do stěrky-vnit.stěny</t>
  </si>
  <si>
    <t>včetně výztužné sítě a stěrkového tmelu Terranova</t>
  </si>
  <si>
    <t>45</t>
  </si>
  <si>
    <t>620991005R00</t>
  </si>
  <si>
    <t>Začišťovací okenní lišta s tkaninou</t>
  </si>
  <si>
    <t>46</t>
  </si>
  <si>
    <t>602013142R00</t>
  </si>
  <si>
    <t>Štuk na stěnách univerzální MVJ 2 ručně</t>
  </si>
  <si>
    <t>47</t>
  </si>
  <si>
    <t>611481211RU1</t>
  </si>
  <si>
    <t>Montáž výztužné sítě (perlinky) do stěrky-stropy</t>
  </si>
  <si>
    <t>včetně výztužné sítě a stěrkového tmelu Weber</t>
  </si>
  <si>
    <t>48</t>
  </si>
  <si>
    <t>601016174R00</t>
  </si>
  <si>
    <t>Štuk na stropech PROFI MK2, ručně</t>
  </si>
  <si>
    <t>49</t>
  </si>
  <si>
    <t>612421431RT2</t>
  </si>
  <si>
    <t>Oprava vápen.omítek stěn do 50 % pl. - štukových</t>
  </si>
  <si>
    <t>50</t>
  </si>
  <si>
    <t>64</t>
  </si>
  <si>
    <t>Výplně otvorů</t>
  </si>
  <si>
    <t>51</t>
  </si>
  <si>
    <t>642941210T00</t>
  </si>
  <si>
    <t>Osazení pouzdra pro posuvné dveře jednostranné, do sádrokartonu</t>
  </si>
  <si>
    <t>64_</t>
  </si>
  <si>
    <t>52</t>
  </si>
  <si>
    <t>642941211RT2</t>
  </si>
  <si>
    <t>Pouzdro pro posuvné dveře jednostranné, do SDK</t>
  </si>
  <si>
    <t>jednostranné pouzdro 700/1970 mm</t>
  </si>
  <si>
    <t>53</t>
  </si>
  <si>
    <t>61169702</t>
  </si>
  <si>
    <t>Dveře posuvné do pouzdra UNO 700 x1970 mm ERKADO</t>
  </si>
  <si>
    <t>54</t>
  </si>
  <si>
    <t>642952110R00</t>
  </si>
  <si>
    <t>Osazení zárubní dveřních dřevěných, pl. do 2,5 m2</t>
  </si>
  <si>
    <t>55</t>
  </si>
  <si>
    <t>762300001</t>
  </si>
  <si>
    <t>Zavěšení konstrukcí dveřních křídel</t>
  </si>
  <si>
    <t>56</t>
  </si>
  <si>
    <t>766660012RA0</t>
  </si>
  <si>
    <t>Montáž dveří jednokřídlových šířky 70 cm</t>
  </si>
  <si>
    <t>57</t>
  </si>
  <si>
    <t>611603256</t>
  </si>
  <si>
    <t>Dveře vnitřní hladké plné 700 x 1970 mm bílé ERKADO jednokřídlé</t>
  </si>
  <si>
    <t>58</t>
  </si>
  <si>
    <t>642942111RT3</t>
  </si>
  <si>
    <t>Osazení zárubní dveřních ocelových, pl. do 2,5 m2</t>
  </si>
  <si>
    <t>včetně dodávky zárubně 700 x 1970 x 100 mm</t>
  </si>
  <si>
    <t>59</t>
  </si>
  <si>
    <t>721</t>
  </si>
  <si>
    <t>Vnitřní kanalizace</t>
  </si>
  <si>
    <t>60</t>
  </si>
  <si>
    <t>721176103R00</t>
  </si>
  <si>
    <t>Potrubí HT připojovací D 50 x 1,8 mm</t>
  </si>
  <si>
    <t>721_</t>
  </si>
  <si>
    <t>72_</t>
  </si>
  <si>
    <t>721176105R00</t>
  </si>
  <si>
    <t>Potrubí HT připojovací D 110 x 2,7 mm</t>
  </si>
  <si>
    <t>62</t>
  </si>
  <si>
    <t>721194105R00</t>
  </si>
  <si>
    <t>Vyvedení odpadních výpustek, D 50 x 1,8 mm</t>
  </si>
  <si>
    <t>63</t>
  </si>
  <si>
    <t>721194109R00</t>
  </si>
  <si>
    <t>Vyvedení odpadních výpustek, D 110 x 2,3 mm</t>
  </si>
  <si>
    <t>721140915R00</t>
  </si>
  <si>
    <t>Provedení opravy vnitřní kanalizace, potrubí litinové, propojení dosavadního potrubí, DN 100 mm</t>
  </si>
  <si>
    <t>65</t>
  </si>
  <si>
    <t>721140912R00</t>
  </si>
  <si>
    <t>Provedení opravy vnitřní kanalizace, potrubí litinové, propojení dosavadního potrubí, DN 50 mm</t>
  </si>
  <si>
    <t>66</t>
  </si>
  <si>
    <t>892561111R00</t>
  </si>
  <si>
    <t>Zkouška těsnosti kanalizace DN do 125, vodou</t>
  </si>
  <si>
    <t>67</t>
  </si>
  <si>
    <t>998721101R00</t>
  </si>
  <si>
    <t>Přesun hmot pro vnitřní kanalizaci, výšky do 6 m</t>
  </si>
  <si>
    <t>722</t>
  </si>
  <si>
    <t>Vnitřní vodovod</t>
  </si>
  <si>
    <t>68</t>
  </si>
  <si>
    <t>722172311R00</t>
  </si>
  <si>
    <t>Potrubí z PPR, D 20x2,8 mm, PN 16, vč.zed.výpom.</t>
  </si>
  <si>
    <t>722_</t>
  </si>
  <si>
    <t>69</t>
  </si>
  <si>
    <t>722172312R00</t>
  </si>
  <si>
    <t>Potrubí z PPR, D 25x3,5 mm, PN 16, vč.zed.výpom.</t>
  </si>
  <si>
    <t>70</t>
  </si>
  <si>
    <t>722174912R00</t>
  </si>
  <si>
    <t>Sestavení plastového rozvodu vody D 20 mm</t>
  </si>
  <si>
    <t>71</t>
  </si>
  <si>
    <t>722174913R00</t>
  </si>
  <si>
    <t>Sestavení plastového rozvodu vody D 25 mm</t>
  </si>
  <si>
    <t>72</t>
  </si>
  <si>
    <t>722181213RT7</t>
  </si>
  <si>
    <t>Izolace návleková MIRELON PRO tl. stěny 13 mm</t>
  </si>
  <si>
    <t>vnitřní průměr 22 mm</t>
  </si>
  <si>
    <t>73</t>
  </si>
  <si>
    <t>722181213RT8</t>
  </si>
  <si>
    <t>vnitřní průměr 25 mm</t>
  </si>
  <si>
    <t>74</t>
  </si>
  <si>
    <t>722190401R00</t>
  </si>
  <si>
    <t>Vyvedení a upevnění výpustek DN 15 mm</t>
  </si>
  <si>
    <t>75</t>
  </si>
  <si>
    <t>722190402R00</t>
  </si>
  <si>
    <t>Vyvedení a upevnění výpustek DN 20 mm</t>
  </si>
  <si>
    <t>76</t>
  </si>
  <si>
    <t>722223182R00</t>
  </si>
  <si>
    <t>Kohout vodovodní, kulový, výtokový, GIACOMINI R621, DN 20 mm</t>
  </si>
  <si>
    <t>77</t>
  </si>
  <si>
    <t>722220111R00</t>
  </si>
  <si>
    <t>Nástěnka K 247, pro výtokový ventil G 1/2"</t>
  </si>
  <si>
    <t>78</t>
  </si>
  <si>
    <t>722220112R00</t>
  </si>
  <si>
    <t>Nástěnka K 247, pro výtokový ventil G 3/4"</t>
  </si>
  <si>
    <t>79</t>
  </si>
  <si>
    <t>722220121R00</t>
  </si>
  <si>
    <t>Nástěnka K 247, pro baterii G 1/2"</t>
  </si>
  <si>
    <t>pár</t>
  </si>
  <si>
    <t>80</t>
  </si>
  <si>
    <t>722235112R00</t>
  </si>
  <si>
    <t>Kohout vodovodní, kulový, vnitřní-vnitřní závit, IVAR PERFECTA, DN 20 mm</t>
  </si>
  <si>
    <t>81</t>
  </si>
  <si>
    <t>722290226R00</t>
  </si>
  <si>
    <t>Zkouška tlaku potrubí závitového DN 50 mm</t>
  </si>
  <si>
    <t>82</t>
  </si>
  <si>
    <t>722290234R00</t>
  </si>
  <si>
    <t>Proplach a dezinfekce vodovodního potrubí DN 80 mm</t>
  </si>
  <si>
    <t>83</t>
  </si>
  <si>
    <t>998722101R00</t>
  </si>
  <si>
    <t>Přesun hmot pro vnitřní vodovod, výšky do 6 m</t>
  </si>
  <si>
    <t>723</t>
  </si>
  <si>
    <t>Vnitřní plynovod</t>
  </si>
  <si>
    <t>84</t>
  </si>
  <si>
    <t>723182145R00</t>
  </si>
  <si>
    <t>Potrubí nerezové 1.4401 Sanpress inox, D 28 x 1,2 mm, lisované, těsnění HNBR, PN 5, plyn</t>
  </si>
  <si>
    <t>723_</t>
  </si>
  <si>
    <t>85</t>
  </si>
  <si>
    <t>723215113R00</t>
  </si>
  <si>
    <t>Kohout kulový IVAR BRA.02.100 DN 25 mm, spoj s navařením přírub, litinový</t>
  </si>
  <si>
    <t>86</t>
  </si>
  <si>
    <t>723190907R00</t>
  </si>
  <si>
    <t>Odvzdušnění a napuštění plynového potrubí</t>
  </si>
  <si>
    <t>87</t>
  </si>
  <si>
    <t>723190909R00</t>
  </si>
  <si>
    <t>Zkouška tlaková  plynového potrubí</t>
  </si>
  <si>
    <t>88</t>
  </si>
  <si>
    <t>998723101R00</t>
  </si>
  <si>
    <t>Přesun hmot pro vnitřní plynovod, výšky do 6 m</t>
  </si>
  <si>
    <t>725</t>
  </si>
  <si>
    <t>Zařizovací předměty</t>
  </si>
  <si>
    <t>89</t>
  </si>
  <si>
    <t>725530823R00</t>
  </si>
  <si>
    <t>Demontáž, zásobník elektrický tlakový  200 l</t>
  </si>
  <si>
    <t>soubor</t>
  </si>
  <si>
    <t>725_</t>
  </si>
  <si>
    <t>90</t>
  </si>
  <si>
    <t>725110811R00</t>
  </si>
  <si>
    <t>Demontáž klozetů splachovacích</t>
  </si>
  <si>
    <t>91</t>
  </si>
  <si>
    <t>725290020RA0</t>
  </si>
  <si>
    <t>Demontáž umyvadla včetně baterie a konzol</t>
  </si>
  <si>
    <t>92</t>
  </si>
  <si>
    <t>725220851R00</t>
  </si>
  <si>
    <t>Demontáž van včetně vybourání obezdezdívky</t>
  </si>
  <si>
    <t>93</t>
  </si>
  <si>
    <t>725820801R00</t>
  </si>
  <si>
    <t>Demontáž baterie nástěnné do G 3/4</t>
  </si>
  <si>
    <t>94</t>
  </si>
  <si>
    <t>725829201RT1</t>
  </si>
  <si>
    <t>Montáž baterie umyv.a dřezové nástěnné chromové</t>
  </si>
  <si>
    <t>včetně dodávky pákové baterie</t>
  </si>
  <si>
    <t>95</t>
  </si>
  <si>
    <t>725200030RA0</t>
  </si>
  <si>
    <t>Montáž zařizovacích předmětů - umyvadlo</t>
  </si>
  <si>
    <t>96</t>
  </si>
  <si>
    <t>64214361</t>
  </si>
  <si>
    <t>Umyvadlo LYRA Plus s otv. bater. 600x490x195 mm</t>
  </si>
  <si>
    <t>97</t>
  </si>
  <si>
    <t>725860251R00</t>
  </si>
  <si>
    <t>Sifon umyvadlový chromovaný Raf SV1410</t>
  </si>
  <si>
    <t>98</t>
  </si>
  <si>
    <t>726212122R00</t>
  </si>
  <si>
    <t>Modul-BASIC WC SYSTEM, pro závěsné WC</t>
  </si>
  <si>
    <t>99</t>
  </si>
  <si>
    <t>725119306R00</t>
  </si>
  <si>
    <t>Montáž klozetu závěsného</t>
  </si>
  <si>
    <t>100</t>
  </si>
  <si>
    <t>64240062</t>
  </si>
  <si>
    <t>Mísa klozetová závěsná LYRA Plus bílá  hl. 530 mm</t>
  </si>
  <si>
    <t>101</t>
  </si>
  <si>
    <t>55167397.A</t>
  </si>
  <si>
    <t>Sedátko klozetové z PH LUKAS/RIGO/DINO č. 9337.0</t>
  </si>
  <si>
    <t>102</t>
  </si>
  <si>
    <t>725849205R00</t>
  </si>
  <si>
    <t>Montáž baterie sprchové podomítkové</t>
  </si>
  <si>
    <t>103</t>
  </si>
  <si>
    <t>725249121T00</t>
  </si>
  <si>
    <t>Montáž jednodílné sprchové zástěny</t>
  </si>
  <si>
    <t>104</t>
  </si>
  <si>
    <t>55428112.A</t>
  </si>
  <si>
    <t>Sprchová zástěna křídlová SDKR 900 x 1850 mm, pearl</t>
  </si>
  <si>
    <t>105</t>
  </si>
  <si>
    <t>725249123T00</t>
  </si>
  <si>
    <t>Montáž sprchových dveří</t>
  </si>
  <si>
    <t>106</t>
  </si>
  <si>
    <t>551450090</t>
  </si>
  <si>
    <t>Baterie sprchová směšovací nástěnná PL80B</t>
  </si>
  <si>
    <t>107</t>
  </si>
  <si>
    <t>55145352</t>
  </si>
  <si>
    <t>Set sprchový hadice, růžice, držák 901.00</t>
  </si>
  <si>
    <t>108</t>
  </si>
  <si>
    <t>725849302R00</t>
  </si>
  <si>
    <t>Montáž držáku sprchy</t>
  </si>
  <si>
    <t>109</t>
  </si>
  <si>
    <t>725200040RA0</t>
  </si>
  <si>
    <t>Montáž zařizovacích předmětů - vana</t>
  </si>
  <si>
    <t>110</t>
  </si>
  <si>
    <t>725100003RA0</t>
  </si>
  <si>
    <t>Vana, baterie, zápachová uzávěrka, obezdění</t>
  </si>
  <si>
    <t>111</t>
  </si>
  <si>
    <t>725319101R00</t>
  </si>
  <si>
    <t>Montáž dřezů jednoduchých</t>
  </si>
  <si>
    <t>112</t>
  </si>
  <si>
    <t>725860201R00</t>
  </si>
  <si>
    <t>Sifon dřezový HL100, 6/4", s přípojkou pro myčku, pračku</t>
  </si>
  <si>
    <t>113</t>
  </si>
  <si>
    <t>642812122</t>
  </si>
  <si>
    <t>Dřez nerezový DR45/58 s přepadem 580 x 450 mm</t>
  </si>
  <si>
    <t>114</t>
  </si>
  <si>
    <t>725314290R00</t>
  </si>
  <si>
    <t>Příslušenství k dřezu v kuchyňské sestavě</t>
  </si>
  <si>
    <t>115</t>
  </si>
  <si>
    <t>766495100R00</t>
  </si>
  <si>
    <t>Zhotovení otvorů pro instal. dvířka do 0,9 m2</t>
  </si>
  <si>
    <t>116</t>
  </si>
  <si>
    <t>763761201R00</t>
  </si>
  <si>
    <t>Montáž otvorových výplní - dvířek, poklopů</t>
  </si>
  <si>
    <t>117</t>
  </si>
  <si>
    <t>725980122R00</t>
  </si>
  <si>
    <t>Dvířka z plastu, 200 x 300 mm</t>
  </si>
  <si>
    <t>118</t>
  </si>
  <si>
    <t>725980113R00</t>
  </si>
  <si>
    <t>Dvířka vanová 300 x 300 mm</t>
  </si>
  <si>
    <t>119</t>
  </si>
  <si>
    <t>725860227RT1</t>
  </si>
  <si>
    <t>Sifon ke sprchové vaničce PP HL520, D 50 mm</t>
  </si>
  <si>
    <t>HL 520, s krytkou z nerez oceli</t>
  </si>
  <si>
    <t>120</t>
  </si>
  <si>
    <t>725860184R00</t>
  </si>
  <si>
    <t>Sifon pračkový HL406, D 40/50 mm</t>
  </si>
  <si>
    <t>121</t>
  </si>
  <si>
    <t>998725101R00</t>
  </si>
  <si>
    <t>Přesun hmot pro zařizovací předměty, výšky do 6 m</t>
  </si>
  <si>
    <t>728</t>
  </si>
  <si>
    <t>Vzduchotechnika</t>
  </si>
  <si>
    <t>122</t>
  </si>
  <si>
    <t>728414611R00</t>
  </si>
  <si>
    <t>Montáž digestoře vestavěné</t>
  </si>
  <si>
    <t>728_</t>
  </si>
  <si>
    <t>123</t>
  </si>
  <si>
    <t>Potrubí HT připojovací, D 110 x 2,7 mm</t>
  </si>
  <si>
    <t>124</t>
  </si>
  <si>
    <t>721176101R00</t>
  </si>
  <si>
    <t>Potrubí HT připojovací, D 32 x 1,8 mm</t>
  </si>
  <si>
    <t>125</t>
  </si>
  <si>
    <t>126</t>
  </si>
  <si>
    <t>728611113R00</t>
  </si>
  <si>
    <t>Montáž ventilátoru radiálního nízkotlakého potrubního do 0,07 m2</t>
  </si>
  <si>
    <t>127</t>
  </si>
  <si>
    <t>429148001VD</t>
  </si>
  <si>
    <t>Ventilátor do koupelny VENTS TT 100</t>
  </si>
  <si>
    <t>128</t>
  </si>
  <si>
    <t>728412321R00</t>
  </si>
  <si>
    <t>Montáž anemostatu kruhového tryskového do d 200 mm</t>
  </si>
  <si>
    <t>129</t>
  </si>
  <si>
    <t>4297268211</t>
  </si>
  <si>
    <t>Anemostat vířivý 12</t>
  </si>
  <si>
    <t>130</t>
  </si>
  <si>
    <t>728415121R00</t>
  </si>
  <si>
    <t>Montáž mřížky větrací nebo ventilační do d 100 mm</t>
  </si>
  <si>
    <t>131</t>
  </si>
  <si>
    <t>429727810</t>
  </si>
  <si>
    <t>Mřížka kruhová PVC průměr 100 mm</t>
  </si>
  <si>
    <t>132</t>
  </si>
  <si>
    <t>998728101R00</t>
  </si>
  <si>
    <t>Přesun hmot pro vzduchotechniku, výšky do 6 m</t>
  </si>
  <si>
    <t>731</t>
  </si>
  <si>
    <t>Kotelny</t>
  </si>
  <si>
    <t>133</t>
  </si>
  <si>
    <t>731249322R00</t>
  </si>
  <si>
    <t>Montáž závěsných kotlů turbo s TUV, odkouření</t>
  </si>
  <si>
    <t>731_</t>
  </si>
  <si>
    <t>73_</t>
  </si>
  <si>
    <t>134</t>
  </si>
  <si>
    <t>48417461</t>
  </si>
  <si>
    <t>Kotel Therm PRO 14 KX.A (55 l) s integrovaným zásobníkem TV</t>
  </si>
  <si>
    <t>135</t>
  </si>
  <si>
    <t>731411273R00</t>
  </si>
  <si>
    <t>Průchodka střeš.pro vodorovnou střechu,turbokotle</t>
  </si>
  <si>
    <t>136</t>
  </si>
  <si>
    <t>731412577R00</t>
  </si>
  <si>
    <t>Kryt komína, šachty pro kondenzační kotel</t>
  </si>
  <si>
    <t>137</t>
  </si>
  <si>
    <t>731412232R00</t>
  </si>
  <si>
    <t>Odkouření připojení na komín 80/125 mm PP dl.0,5 m</t>
  </si>
  <si>
    <t>sada</t>
  </si>
  <si>
    <t>138</t>
  </si>
  <si>
    <t>731412211R00</t>
  </si>
  <si>
    <t>Odkouř. koax.svislé 80/125 PP dl.1,5m vč.stř.nást.</t>
  </si>
  <si>
    <t>139</t>
  </si>
  <si>
    <t>731412253R00</t>
  </si>
  <si>
    <t>Kus prodlužovací odkouření 80/125 mm PP dl. 2,0 m</t>
  </si>
  <si>
    <t>140</t>
  </si>
  <si>
    <t>998731101R00</t>
  </si>
  <si>
    <t>Přesun hmot pro kotelny, výšky do 6 m</t>
  </si>
  <si>
    <t>732</t>
  </si>
  <si>
    <t>Strojovny</t>
  </si>
  <si>
    <t>141</t>
  </si>
  <si>
    <t>732331512R00</t>
  </si>
  <si>
    <t>Nádoby expanzní tlak.s memb.Expanzomat, 12 l</t>
  </si>
  <si>
    <t>732_</t>
  </si>
  <si>
    <t>733</t>
  </si>
  <si>
    <t>Rozvod potrubí</t>
  </si>
  <si>
    <t>142</t>
  </si>
  <si>
    <t>733163103R00</t>
  </si>
  <si>
    <t>Potrubí z měděných trubek vytápění D 18 x 1,0 mm</t>
  </si>
  <si>
    <t>733_</t>
  </si>
  <si>
    <t>143</t>
  </si>
  <si>
    <t>722181212RT6</t>
  </si>
  <si>
    <t>Izolace návleková MIRELON PRO tl. stěny 9 mm</t>
  </si>
  <si>
    <t>vnitřní průměr 18 mm</t>
  </si>
  <si>
    <t>144</t>
  </si>
  <si>
    <t>733190106R00</t>
  </si>
  <si>
    <t>Tlaková zkouška potrubí  DN 32</t>
  </si>
  <si>
    <t>145</t>
  </si>
  <si>
    <t>998733101R00</t>
  </si>
  <si>
    <t>Přesun hmot pro rozvody potrubí, výšky do 6 m</t>
  </si>
  <si>
    <t>734</t>
  </si>
  <si>
    <t>Armatury</t>
  </si>
  <si>
    <t>146</t>
  </si>
  <si>
    <t>734223112RT1</t>
  </si>
  <si>
    <t>Ventil termostatický, rohový, IVAR.VS DN 15</t>
  </si>
  <si>
    <t>734_</t>
  </si>
  <si>
    <t>bez termostatické hlavice</t>
  </si>
  <si>
    <t>147</t>
  </si>
  <si>
    <t>734221672R00</t>
  </si>
  <si>
    <t>Hlavice ovládání ventilů termostatická</t>
  </si>
  <si>
    <t>148</t>
  </si>
  <si>
    <t>734213112R00</t>
  </si>
  <si>
    <t>Ventil automatický odvzdušňovací, IVAR VARIA DN 15</t>
  </si>
  <si>
    <t>149</t>
  </si>
  <si>
    <t>734233112R00</t>
  </si>
  <si>
    <t>Kohout kulový, vnitř.-vnitř.z. IVAR PERFECTA DN 20</t>
  </si>
  <si>
    <t>150</t>
  </si>
  <si>
    <t>734291113R00</t>
  </si>
  <si>
    <t>Kohouty plnící a vypouštěcí G 1/2</t>
  </si>
  <si>
    <t>151</t>
  </si>
  <si>
    <t>734432114R00</t>
  </si>
  <si>
    <t>Prostorový termostat IVAR MAGICTIME PLUS</t>
  </si>
  <si>
    <t>152</t>
  </si>
  <si>
    <t>734209113R00</t>
  </si>
  <si>
    <t>Montáž armatur závitových,se 2závity, G 1/2</t>
  </si>
  <si>
    <t>153</t>
  </si>
  <si>
    <t>998734101R00</t>
  </si>
  <si>
    <t>Přesun hmot pro armatury, výšky do 6 m</t>
  </si>
  <si>
    <t>735</t>
  </si>
  <si>
    <t>Otopná tělesa</t>
  </si>
  <si>
    <t>154</t>
  </si>
  <si>
    <t>735411812R00</t>
  </si>
  <si>
    <t>Demontáž konvektorů, délka do 1600 mm</t>
  </si>
  <si>
    <t>735_</t>
  </si>
  <si>
    <t>155</t>
  </si>
  <si>
    <t>735171132R00</t>
  </si>
  <si>
    <t>Těleso trub.Koralux Linear Comfort-M KLTM 1500.750</t>
  </si>
  <si>
    <t>vč. napojení na okruh ÚT</t>
  </si>
  <si>
    <t>156</t>
  </si>
  <si>
    <t>735157548R00</t>
  </si>
  <si>
    <t>Otopné těleso panelové Radik Ventil Kompakt 21, v. 500 mm, dl. 1200 mm</t>
  </si>
  <si>
    <t>157</t>
  </si>
  <si>
    <t>735157546R00</t>
  </si>
  <si>
    <t>Otopné těleso panelové Radik Ventil Kompakt 21, v. 500 mm, dl. 1000 mm</t>
  </si>
  <si>
    <t>158</t>
  </si>
  <si>
    <t>998735101R00</t>
  </si>
  <si>
    <t>Přesun hmot pro otopná tělesa, výšky do 6 m</t>
  </si>
  <si>
    <t>736</t>
  </si>
  <si>
    <t>Podlahové vytápění</t>
  </si>
  <si>
    <t>159</t>
  </si>
  <si>
    <t>222611112R00</t>
  </si>
  <si>
    <t>Montáž termostatu prostorového včetně zapojení</t>
  </si>
  <si>
    <t>736_</t>
  </si>
  <si>
    <t>vč. dodávky termostatu</t>
  </si>
  <si>
    <t>160</t>
  </si>
  <si>
    <t>736211206R00</t>
  </si>
  <si>
    <t>Vytápění DEVI, rohože 150 W/m2, plocha 4-6 m2</t>
  </si>
  <si>
    <t>161</t>
  </si>
  <si>
    <t>998736101R00</t>
  </si>
  <si>
    <t>Přesun hmot pro podlahové vytápění, výšky do 6 m</t>
  </si>
  <si>
    <t>762</t>
  </si>
  <si>
    <t>Konstrukce tesařské</t>
  </si>
  <si>
    <t>162</t>
  </si>
  <si>
    <t>762812240RT3</t>
  </si>
  <si>
    <t>Montáž záklopu, vrchní na sraz, hoblovaná prkna</t>
  </si>
  <si>
    <t>762_</t>
  </si>
  <si>
    <t>76_</t>
  </si>
  <si>
    <t>včetně dodávky řeziva, prkna hobl. tl. 24 mm</t>
  </si>
  <si>
    <t>163</t>
  </si>
  <si>
    <t>762812811R00</t>
  </si>
  <si>
    <t>Demontáž záklopů z hoblovaných prken tl. do 3,2 cm</t>
  </si>
  <si>
    <t>164</t>
  </si>
  <si>
    <t>998762102R00</t>
  </si>
  <si>
    <t>Přesun hmot pro tesařské konstrukce, výšky do 12 m</t>
  </si>
  <si>
    <t>766</t>
  </si>
  <si>
    <t>Konstrukce truhlářské</t>
  </si>
  <si>
    <t>165</t>
  </si>
  <si>
    <t>766900040RAA</t>
  </si>
  <si>
    <t>Demontáž dřevěných stěn</t>
  </si>
  <si>
    <t>766_</t>
  </si>
  <si>
    <t>stěny plné</t>
  </si>
  <si>
    <t>166</t>
  </si>
  <si>
    <t>726190906R00</t>
  </si>
  <si>
    <t>Odmontování kuchyňské linky s armaturou</t>
  </si>
  <si>
    <t>167</t>
  </si>
  <si>
    <t>766810010RAE</t>
  </si>
  <si>
    <t>Kuchyňské linky dodávka a montáž</t>
  </si>
  <si>
    <t>linka 240 cm</t>
  </si>
  <si>
    <t>168</t>
  </si>
  <si>
    <t>766810010RAC</t>
  </si>
  <si>
    <t>linka 180 cm</t>
  </si>
  <si>
    <t>169</t>
  </si>
  <si>
    <t>766664916R00</t>
  </si>
  <si>
    <t>Seříznutí dveřních křídel z tvrdého dřeva</t>
  </si>
  <si>
    <t>170</t>
  </si>
  <si>
    <t>766660001VD</t>
  </si>
  <si>
    <t>Úprava vstupních dveří dle specifikace PSV</t>
  </si>
  <si>
    <t>Hlavní zámek – bezpečnostní kování s vložkou Guard 3.bezpečnostní třídy, přídavný zámek – R3, zábrany proti vysazení dveří. Skleněné výplně nově zaskleny bezpečnostním sklem mléčným VSG 44.4 Mléčná folie (Connex mléčný), pro zajištění vyšší bezpečnosti proti vloupání dle ČSN EN 356 Odolnost proti násilnému vniknutí, kategorie odolnosti P1A.</t>
  </si>
  <si>
    <t>171</t>
  </si>
  <si>
    <t>998766101R00</t>
  </si>
  <si>
    <t>Přesun hmot pro truhlářské konstr., výšky do 6 m</t>
  </si>
  <si>
    <t>771</t>
  </si>
  <si>
    <t>Podlahy z dlaždic</t>
  </si>
  <si>
    <t>172</t>
  </si>
  <si>
    <t>965200013RA0</t>
  </si>
  <si>
    <t>Bourání mazanin betonových s potěrem nebo teracem</t>
  </si>
  <si>
    <t>771_</t>
  </si>
  <si>
    <t>77_</t>
  </si>
  <si>
    <t>173</t>
  </si>
  <si>
    <t>771990010RA0</t>
  </si>
  <si>
    <t>Vybourání keramické nebo teracové dlažby</t>
  </si>
  <si>
    <t>174</t>
  </si>
  <si>
    <t>175</t>
  </si>
  <si>
    <t>176</t>
  </si>
  <si>
    <t>177</t>
  </si>
  <si>
    <t>713191100RT9</t>
  </si>
  <si>
    <t>Položení separační fólie</t>
  </si>
  <si>
    <t>včetně dodávky PE fólie</t>
  </si>
  <si>
    <t>178</t>
  </si>
  <si>
    <t>631591211R00</t>
  </si>
  <si>
    <t>Násyp pod podlahy FERMACELL do 100 mm</t>
  </si>
  <si>
    <t>179</t>
  </si>
  <si>
    <t>635110051R00</t>
  </si>
  <si>
    <t>Montáž suchých podlah z dílců na pero a drážku</t>
  </si>
  <si>
    <t>180</t>
  </si>
  <si>
    <t>59597014</t>
  </si>
  <si>
    <t>Deska sádrovláknitá FERMACELL, rozměr 2500 x 1250 x 12,5 mm</t>
  </si>
  <si>
    <t>181</t>
  </si>
  <si>
    <t>713121111RT1</t>
  </si>
  <si>
    <t>Montáž tepelné nebo kročejové izolace podlah na sucho, jednovrstvé</t>
  </si>
  <si>
    <t>materiál ve specifikaci</t>
  </si>
  <si>
    <t>182</t>
  </si>
  <si>
    <t>63153802.A</t>
  </si>
  <si>
    <t>Deska z minerální vlny podlahová tuhá STEPROCK HD tl. 40 x 600 x 1000 mm</t>
  </si>
  <si>
    <t>183</t>
  </si>
  <si>
    <t>635111022R00</t>
  </si>
  <si>
    <t>Podlaha Fermacell 2E22, desky 12,5 +12,5 mm</t>
  </si>
  <si>
    <t>184</t>
  </si>
  <si>
    <t>635111041R00</t>
  </si>
  <si>
    <t>Podlaha Fermacell Powerpanel TE,desky 25 mm</t>
  </si>
  <si>
    <t>185</t>
  </si>
  <si>
    <t>771101210R00</t>
  </si>
  <si>
    <t>Penetrace podkladu pod dlažby</t>
  </si>
  <si>
    <t>186</t>
  </si>
  <si>
    <t>711212012R00</t>
  </si>
  <si>
    <t>Hydroizolační povlak vyztužený tkaninou</t>
  </si>
  <si>
    <t>187</t>
  </si>
  <si>
    <t>711212231R00</t>
  </si>
  <si>
    <t>Těsnicí pás do spoje podlaha - stěna FERMACELL</t>
  </si>
  <si>
    <t>188</t>
  </si>
  <si>
    <t>771570014RA0</t>
  </si>
  <si>
    <t>Dlažba z dlaždic keramických 30 x 30 cm</t>
  </si>
  <si>
    <t>189</t>
  </si>
  <si>
    <t>771471017R00</t>
  </si>
  <si>
    <t>Obklad soklíků keram.rovných do MC,25x6,5,H 6,5 cm</t>
  </si>
  <si>
    <t>190</t>
  </si>
  <si>
    <t>998771101R00</t>
  </si>
  <si>
    <t>Přesun hmot pro podlahy z dlaždic, výšky do 6 m</t>
  </si>
  <si>
    <t>775</t>
  </si>
  <si>
    <t>Podlahy vlysové a parketové</t>
  </si>
  <si>
    <t>191</t>
  </si>
  <si>
    <t>776511820RT3</t>
  </si>
  <si>
    <t>Odstranění PVC a koberců lepených s podložkou</t>
  </si>
  <si>
    <t>775_</t>
  </si>
  <si>
    <t>z ploch do 10 m2</t>
  </si>
  <si>
    <t>192</t>
  </si>
  <si>
    <t>762900060RAB</t>
  </si>
  <si>
    <t>Demontáž dřevěných podlah z prken</t>
  </si>
  <si>
    <t>s polštáři</t>
  </si>
  <si>
    <t>193</t>
  </si>
  <si>
    <t>713190813R00</t>
  </si>
  <si>
    <t>Odstranění tepelné izolace ze sypkých hmot, lože ze škváry, tl. do 150 mm</t>
  </si>
  <si>
    <t>194</t>
  </si>
  <si>
    <t>195</t>
  </si>
  <si>
    <t>979990181R00</t>
  </si>
  <si>
    <t>Poplatek za uložení suti - PVC podlahová krytina, skupina odpadu 200307</t>
  </si>
  <si>
    <t>196</t>
  </si>
  <si>
    <t>979990265R00</t>
  </si>
  <si>
    <t>Poplatek za uložení směsné stavební a demoliční suti s obsahem nebezpečných látek</t>
  </si>
  <si>
    <t>197</t>
  </si>
  <si>
    <t>775540040RAC</t>
  </si>
  <si>
    <t>Podlaha lamelová, nášlap vinyl, podložka Adipan</t>
  </si>
  <si>
    <t>lamela tl. 5 mm, jádro se skelným vláknem, 33/42</t>
  </si>
  <si>
    <t>198</t>
  </si>
  <si>
    <t>775413021T00</t>
  </si>
  <si>
    <t>Montáž podlahové lišty připevněné vruty</t>
  </si>
  <si>
    <t>199</t>
  </si>
  <si>
    <t>28342451</t>
  </si>
  <si>
    <t>Lišta soklová PVC pro vinyl Bolta 25669 58x11,8 mm</t>
  </si>
  <si>
    <t>200</t>
  </si>
  <si>
    <t>775512953R00</t>
  </si>
  <si>
    <t>Doplnění podlah vlysových,asfalt.,21 mm do 2 m2</t>
  </si>
  <si>
    <t>201</t>
  </si>
  <si>
    <t>775591900R00</t>
  </si>
  <si>
    <t>Oprava podlah, broušení vlysů, parket trojnásobné, tmelení</t>
  </si>
  <si>
    <t>202</t>
  </si>
  <si>
    <t>777610022RA0</t>
  </si>
  <si>
    <t>Nátěr podlah dřevěných, 3 x Epostyl 200 V 55</t>
  </si>
  <si>
    <t>203</t>
  </si>
  <si>
    <t>775981115R00</t>
  </si>
  <si>
    <t>Lišta hliníková podlahová ukončující,vlys.podlaha</t>
  </si>
  <si>
    <t>204</t>
  </si>
  <si>
    <t>998775101R00</t>
  </si>
  <si>
    <t>Přesun hmot pro podlahy vlysové, výšky do 6 m</t>
  </si>
  <si>
    <t>783</t>
  </si>
  <si>
    <t>Nátěry</t>
  </si>
  <si>
    <t>205</t>
  </si>
  <si>
    <t>783900030RAB</t>
  </si>
  <si>
    <t>Odstranění nátěrů z truhlářských výrobků</t>
  </si>
  <si>
    <t>783_</t>
  </si>
  <si>
    <t>78_</t>
  </si>
  <si>
    <t>opálením s obroušením</t>
  </si>
  <si>
    <t>206</t>
  </si>
  <si>
    <t>783624200R00</t>
  </si>
  <si>
    <t>Nátěr synt. truhl. výrobků 2x + 1x email + 1x tmel</t>
  </si>
  <si>
    <t>207</t>
  </si>
  <si>
    <t>783220010RAC</t>
  </si>
  <si>
    <t>Nátěr kovových doplňkových konstrukcí syntetický</t>
  </si>
  <si>
    <t>dvojnásobný krycí s 1x emailováním</t>
  </si>
  <si>
    <t>208</t>
  </si>
  <si>
    <t>783424140R00</t>
  </si>
  <si>
    <t>Nátěr syntetický potrubí do DN 50 mm  Z + 2x</t>
  </si>
  <si>
    <t>784</t>
  </si>
  <si>
    <t>Malby</t>
  </si>
  <si>
    <t>209</t>
  </si>
  <si>
    <t>784900010RAB</t>
  </si>
  <si>
    <t>Odstranění stávajících maleb</t>
  </si>
  <si>
    <t>784_</t>
  </si>
  <si>
    <t>oškrábáním</t>
  </si>
  <si>
    <t>210</t>
  </si>
  <si>
    <t>784450075RA0</t>
  </si>
  <si>
    <t>Malba disperzní, penetrace 1x, malba bílá 2x</t>
  </si>
  <si>
    <t>M21</t>
  </si>
  <si>
    <t>Elektromontáže</t>
  </si>
  <si>
    <t>211</t>
  </si>
  <si>
    <t>210000001VD</t>
  </si>
  <si>
    <t>Demontáže stávajících prvků elektro k jejich výměně</t>
  </si>
  <si>
    <t>soub.</t>
  </si>
  <si>
    <t>M21_</t>
  </si>
  <si>
    <t>9_</t>
  </si>
  <si>
    <t>212</t>
  </si>
  <si>
    <t>210120901R00</t>
  </si>
  <si>
    <t>Hlavní vypínač v rozvaděči</t>
  </si>
  <si>
    <t>213</t>
  </si>
  <si>
    <t>35822000002VD</t>
  </si>
  <si>
    <t>Hlavní vypínač 25A</t>
  </si>
  <si>
    <t>214</t>
  </si>
  <si>
    <t>650063212R00</t>
  </si>
  <si>
    <t>Montáž svodiče přepětí</t>
  </si>
  <si>
    <t>215</t>
  </si>
  <si>
    <t>357160002VD</t>
  </si>
  <si>
    <t>Svodič přepětí B+C, EATON SPBT12-280/4</t>
  </si>
  <si>
    <t>216</t>
  </si>
  <si>
    <t>210120569R00</t>
  </si>
  <si>
    <t>Jistič trojpólový do 25 A se zapojením</t>
  </si>
  <si>
    <t>217</t>
  </si>
  <si>
    <t>35822000003VD</t>
  </si>
  <si>
    <t>Jistič EATON třífázový 16A</t>
  </si>
  <si>
    <t>218</t>
  </si>
  <si>
    <t>210120813R00</t>
  </si>
  <si>
    <t>Chránič proudový do 16 A</t>
  </si>
  <si>
    <t>219</t>
  </si>
  <si>
    <t>35822000004VD</t>
  </si>
  <si>
    <t>Proudový chránič s nadproud. ochranou šířka 1 modul, 10A</t>
  </si>
  <si>
    <t>220</t>
  </si>
  <si>
    <t>35822000005VD</t>
  </si>
  <si>
    <t>Proudový chránič s nadproud. ochranou šířka 2 moduly, 10A</t>
  </si>
  <si>
    <t>221</t>
  </si>
  <si>
    <t>35822000006VD</t>
  </si>
  <si>
    <t>Proudový chránič s nadproud. ochranou šířka 2 moduly, 16A</t>
  </si>
  <si>
    <t>222</t>
  </si>
  <si>
    <t>35822000007VD</t>
  </si>
  <si>
    <t>Proudový chránič s nadproud. ochranou šířka 2 moduly, 20A</t>
  </si>
  <si>
    <t>223</t>
  </si>
  <si>
    <t>210111011RT7</t>
  </si>
  <si>
    <t>Zásuvka domovní zapuštěná - provedení 2P+PE</t>
  </si>
  <si>
    <t>včetně dodávky zásuvky. Bez rámečku.</t>
  </si>
  <si>
    <t>224</t>
  </si>
  <si>
    <t>210110041RT6</t>
  </si>
  <si>
    <t>Spínač zapuštěný jednopólový, řazení 1</t>
  </si>
  <si>
    <t>vč. dodávky strojku, rámečku a krytu</t>
  </si>
  <si>
    <t>225</t>
  </si>
  <si>
    <t>210110043RT6</t>
  </si>
  <si>
    <t>Spínač zapuštěný seriový, řazení 5</t>
  </si>
  <si>
    <t>226</t>
  </si>
  <si>
    <t>222730001R00</t>
  </si>
  <si>
    <t>Účastnická zásuvka TV+R+SAT koncová pod omítku</t>
  </si>
  <si>
    <t>227</t>
  </si>
  <si>
    <t>34536515</t>
  </si>
  <si>
    <t>Přístroj zásuvky TV+R+SAT, koncový (typ EU 3303) 5011-A3303</t>
  </si>
  <si>
    <t>228</t>
  </si>
  <si>
    <t>222490901R00</t>
  </si>
  <si>
    <t>Zásuvka telefonní pod omítku, do krabice</t>
  </si>
  <si>
    <t>229</t>
  </si>
  <si>
    <t>3745165110</t>
  </si>
  <si>
    <t>Zásuvka telefonní 1 x RJ11</t>
  </si>
  <si>
    <t>230</t>
  </si>
  <si>
    <t>371202013</t>
  </si>
  <si>
    <t>Zásuvka datová OPUS 2xRJ45</t>
  </si>
  <si>
    <t>231</t>
  </si>
  <si>
    <t>34536705</t>
  </si>
  <si>
    <t>Rámeček dvojnásobný, vodorovný 3901A-B20</t>
  </si>
  <si>
    <t>232</t>
  </si>
  <si>
    <t>34536710</t>
  </si>
  <si>
    <t>Rámeček trojnásobný, vodorovný 3901A-B30</t>
  </si>
  <si>
    <t>233</t>
  </si>
  <si>
    <t>650101576R00</t>
  </si>
  <si>
    <t>Montáž LED svítidla nástěnného přisaz. s čidlem</t>
  </si>
  <si>
    <t>234</t>
  </si>
  <si>
    <t>3481410001VD</t>
  </si>
  <si>
    <t>Svítidlo interiérové stropní 18 W s pohybovým čidlem PIR nebo RF</t>
  </si>
  <si>
    <t>235</t>
  </si>
  <si>
    <t>650031112R00</t>
  </si>
  <si>
    <t>Osazení rozvodnice do výklenku, pl. do 0,3 m2</t>
  </si>
  <si>
    <t>236</t>
  </si>
  <si>
    <t>357160001VD</t>
  </si>
  <si>
    <t>Rozvodnice zapuštěná 4-řadá  ABB UK648E3</t>
  </si>
  <si>
    <t>237</t>
  </si>
  <si>
    <t>Zapuštěná rozvodnice, multimediální SEZ C-BOX MSF 14M</t>
  </si>
  <si>
    <t>238</t>
  </si>
  <si>
    <t>405417003VD</t>
  </si>
  <si>
    <t>Čidlo teplotní podlahové 3292U-A90100</t>
  </si>
  <si>
    <t>239</t>
  </si>
  <si>
    <t>37500007VD</t>
  </si>
  <si>
    <t>Super multifunkční relé ELKO SMR-H</t>
  </si>
  <si>
    <t>240</t>
  </si>
  <si>
    <t>54152726</t>
  </si>
  <si>
    <t>Tyč topná s regulátorem Z-KT7R-0800-10</t>
  </si>
  <si>
    <t>241</t>
  </si>
  <si>
    <t>725539002VD</t>
  </si>
  <si>
    <t>Montáž elektrických ohřívačů průtokových</t>
  </si>
  <si>
    <t>dolní umístění, baterie</t>
  </si>
  <si>
    <t>242</t>
  </si>
  <si>
    <t>541322009VD</t>
  </si>
  <si>
    <t>Průtokový ohřívač s dolním umístěním a s baterií  EPS2 3,5 DP/DELPO</t>
  </si>
  <si>
    <t>243</t>
  </si>
  <si>
    <t>210000002VD</t>
  </si>
  <si>
    <t>Revize elektro</t>
  </si>
  <si>
    <t>244</t>
  </si>
  <si>
    <t>M65</t>
  </si>
  <si>
    <t>Elektroinstalace</t>
  </si>
  <si>
    <t>245</t>
  </si>
  <si>
    <t>650125217RT2</t>
  </si>
  <si>
    <t>Uložení kabelu Cu 5 x 6 mm2 do trubky</t>
  </si>
  <si>
    <t>M65_</t>
  </si>
  <si>
    <t>včetně dodávky kabelu CYKY 5 x 6 mm2</t>
  </si>
  <si>
    <t>246</t>
  </si>
  <si>
    <t>650125213RT2</t>
  </si>
  <si>
    <t>Uložení kabelu Cu 5 x 2,5 mm2 do trubky</t>
  </si>
  <si>
    <t>včetně dodávky kabelu CYKY 5 x 2,5 mm2</t>
  </si>
  <si>
    <t>247</t>
  </si>
  <si>
    <t>650125143RT2</t>
  </si>
  <si>
    <t>Uložení kabelu Cu 3 x 2,5 mm2 do trubky</t>
  </si>
  <si>
    <t>včetně dodávky kabelu CYKY 3 x 2,5 mm2</t>
  </si>
  <si>
    <t>248</t>
  </si>
  <si>
    <t>650125145RT2</t>
  </si>
  <si>
    <t>Uložení kabelu Cu 3 x 4 mm2 do trubky</t>
  </si>
  <si>
    <t>včetně dodávky kabelu CYKY 3 x 4 mm2</t>
  </si>
  <si>
    <t>249</t>
  </si>
  <si>
    <t>650125141RT2</t>
  </si>
  <si>
    <t>Uložení kabelu Cu 3 x 1,5 mm2 do trubky</t>
  </si>
  <si>
    <t>včetně dodávky kabelu CYKY 3 x 1,5 mm2</t>
  </si>
  <si>
    <t>250</t>
  </si>
  <si>
    <t>222280001VD</t>
  </si>
  <si>
    <t>Koaxiální kabel v trubkách EMOS CB113UV</t>
  </si>
  <si>
    <t>Kabel koaxiální venkovní pro TV a SAT, třikrát stíněný</t>
  </si>
  <si>
    <t>251</t>
  </si>
  <si>
    <t>222280002VD</t>
  </si>
  <si>
    <t>Kabel instalační silikonový ohebný pro vývod k varné desce SIHF 5Cx2,5</t>
  </si>
  <si>
    <t>včetně kabelu SIHF 5Cx2,5</t>
  </si>
  <si>
    <t>252</t>
  </si>
  <si>
    <t>222280003VD</t>
  </si>
  <si>
    <t>FTP kabel Solarix SXKD-6-FTP-PE černý venkovní</t>
  </si>
  <si>
    <t>včetně kabelu SXKD-6-FTP-PE</t>
  </si>
  <si>
    <t>253</t>
  </si>
  <si>
    <t>222280004VD</t>
  </si>
  <si>
    <t>Instalační trubka plastová KOPOS MONOFLEX 1420</t>
  </si>
  <si>
    <t>vč. trubky KOPOS MONOFLEX 1420</t>
  </si>
  <si>
    <t>254</t>
  </si>
  <si>
    <t>222280005VD</t>
  </si>
  <si>
    <t>Instalační trubka plastová KOPOS MONOFLEX 1425</t>
  </si>
  <si>
    <t>vč. trubky KOPOS MONOFLEX 1425</t>
  </si>
  <si>
    <t>255</t>
  </si>
  <si>
    <t>Celkem:</t>
  </si>
  <si>
    <t>Poznámka:</t>
  </si>
  <si>
    <t>Výkaz výměr</t>
  </si>
  <si>
    <t>Objekt</t>
  </si>
  <si>
    <t>Potřebné množství</t>
  </si>
  <si>
    <t>demontáž+montáž</t>
  </si>
  <si>
    <t>bourání</t>
  </si>
  <si>
    <t>0,5*5,3</t>
  </si>
  <si>
    <t>průvlak m.č.105</t>
  </si>
  <si>
    <t>0,5*5,30</t>
  </si>
  <si>
    <t>4,75*(0,4+0,2)</t>
  </si>
  <si>
    <t>SDK obklad rozvodů ÚT</t>
  </si>
  <si>
    <t>0,9*0,15*1,15</t>
  </si>
  <si>
    <t>zabudování WC</t>
  </si>
  <si>
    <t>0,8*2,02+1,0*2,02</t>
  </si>
  <si>
    <t>nové dveře</t>
  </si>
  <si>
    <t>průrazy rozvod VZT</t>
  </si>
  <si>
    <t>plynovod</t>
  </si>
  <si>
    <t>zapravení rozvod VZT</t>
  </si>
  <si>
    <t>50+10</t>
  </si>
  <si>
    <t>rozvody elektro</t>
  </si>
  <si>
    <t>20+34,95</t>
  </si>
  <si>
    <t>rozvody vodovod</t>
  </si>
  <si>
    <t>78,3</t>
  </si>
  <si>
    <t>rozvody topení</t>
  </si>
  <si>
    <t>16,4+3,4</t>
  </si>
  <si>
    <t>rozvody kanalizace</t>
  </si>
  <si>
    <t>2,16725</t>
  </si>
  <si>
    <t>0,3*0,3*0,15</t>
  </si>
  <si>
    <t>5,6+2,85</t>
  </si>
  <si>
    <t>(0,075*2+0,22*2)*5,6+(0,075*2+0,1*2)*2,85</t>
  </si>
  <si>
    <t>0,075*0,22*5,7+0,075*0,1*2,85</t>
  </si>
  <si>
    <t>0,0081*1,3*2</t>
  </si>
  <si>
    <t>dveře překlad</t>
  </si>
  <si>
    <t>(0,12*1,3+0,1*2*1,3)*2</t>
  </si>
  <si>
    <t>1,2*0,9*2</t>
  </si>
  <si>
    <t>obezdění závěsného WC</t>
  </si>
  <si>
    <t>0,8*2,03+1,0*2,03</t>
  </si>
  <si>
    <t>zadění dveří</t>
  </si>
  <si>
    <t>0,9*2,89</t>
  </si>
  <si>
    <t>příčka m.č.102</t>
  </si>
  <si>
    <t>2,7*2,86</t>
  </si>
  <si>
    <t>příčka m.č.109</t>
  </si>
  <si>
    <t>5,27*2,85</t>
  </si>
  <si>
    <t>příčka m.č.105</t>
  </si>
  <si>
    <t>m.č.109</t>
  </si>
  <si>
    <t>1,53+9,56</t>
  </si>
  <si>
    <t>m.č.103, 108</t>
  </si>
  <si>
    <t>1,44+6,99</t>
  </si>
  <si>
    <t>m.č.102, 109</t>
  </si>
  <si>
    <t>1,08*1,72*4+1,125*1,7+0,655*0,54+0,66*1,05+0,9*2,57+0,58*1,7+0,67*1,7+0,7*1,05</t>
  </si>
  <si>
    <t>okna</t>
  </si>
  <si>
    <t>2,4*2,865</t>
  </si>
  <si>
    <t>dveře</t>
  </si>
  <si>
    <t>(1,43*2+0,9)*1,05</t>
  </si>
  <si>
    <t>obklad WC</t>
  </si>
  <si>
    <t>(2,705*2+1,71)*1,5-0,7*1,5</t>
  </si>
  <si>
    <t>obklad koupelna</t>
  </si>
  <si>
    <t>0,068</t>
  </si>
  <si>
    <t>obklady koupelna</t>
  </si>
  <si>
    <t>0,9233</t>
  </si>
  <si>
    <t>obklady</t>
  </si>
  <si>
    <t>54,95+19,8+78,3+60</t>
  </si>
  <si>
    <t>zához drážky</t>
  </si>
  <si>
    <t>(3,6+1,79+1,79+1,2)*2,865-1,0*2,22*3-0,8*2,03</t>
  </si>
  <si>
    <t>m.č.101</t>
  </si>
  <si>
    <t>(1,6+1,6+0,8)*2,89-0,8*2,03</t>
  </si>
  <si>
    <t>m.č.102</t>
  </si>
  <si>
    <t>(1,43+1,43+0,8)*2,89-0,655*0,54+(0,655+2*0,54)*0,3-0,8*2,03</t>
  </si>
  <si>
    <t>m.č.103</t>
  </si>
  <si>
    <t>(5,46+5,46+2,485+2,485)*2,89-1,125*1,7-1*2,22*2-0,8*2,03+(1,125+2*1,7)*0,3</t>
  </si>
  <si>
    <t>m.č.104</t>
  </si>
  <si>
    <t>(5,27+5,27+2,485+2,485)*2,85-1,08*1,72-1,0*2,22*1+(1,08+1,72*2)*0,3</t>
  </si>
  <si>
    <t>m.č.105</t>
  </si>
  <si>
    <t>(5,27+5,27+2,895+2,895)*2,87-1,0*2,22*2-1,08*1,72+(1,08+1,72*2)*0,3</t>
  </si>
  <si>
    <t>m.č.106</t>
  </si>
  <si>
    <t>(5,27+5,46+5,46+5,27)*2,87-1,08*1,72*2+(1,08+1,72*2)*2*0,3-1,0*2,22</t>
  </si>
  <si>
    <t>m.č.107</t>
  </si>
  <si>
    <t>(5,46+5,46+1,75+1,75)*2,85-0,67*1,7-0,7*1,2+(0,67+2*1,7)*0,3+(0,7+2*1,05)*0,3-0,9*2,03</t>
  </si>
  <si>
    <t>m.č.108</t>
  </si>
  <si>
    <t>(3,5+3,5*2,7)*2,86-0,6*0,9+(0,6+2*0,9)*0,3-0,85*2,4-1,7*0,6+(2,4*2+1,45)*0,3</t>
  </si>
  <si>
    <t>(2,7+1,76+1,76)*2,86-1,0*2,22*3</t>
  </si>
  <si>
    <t>m.č.110</t>
  </si>
  <si>
    <t>101,32</t>
  </si>
  <si>
    <t>stropy</t>
  </si>
  <si>
    <t>(2,7*2+3,5*2-0,67-1,45)*2,05</t>
  </si>
  <si>
    <t>m.č. 109</t>
  </si>
  <si>
    <t>3,6*0,8</t>
  </si>
  <si>
    <t>(3,6*0,8)*1,5*2</t>
  </si>
  <si>
    <t>m.č. 107</t>
  </si>
  <si>
    <t>((2,7*2+3,5*2-0,67-1,45)*2,05)*1,5*2</t>
  </si>
  <si>
    <t>;ztratné 5%; 3,5931</t>
  </si>
  <si>
    <t>(2*0,8+2*1,6*2-0,7)*1,3+(2,7*2+3,5*2-0,67-1,45)*2,05</t>
  </si>
  <si>
    <t>(1,6*2+0,8+1,3*4)+(3,5*2+2,7*2+2,05*8)</t>
  </si>
  <si>
    <t>(1,08+1,72*2)*4+(1,125+1,7*2)+(0,655+0,54*2)+(0,66+1,05*2)+(1,45*2,57*2)+(0,67*1,7*2)+(0,7*1,05*2)</t>
  </si>
  <si>
    <t>(1,1+2,25*2)*2*6+(0,9+2,05*2)*2*3</t>
  </si>
  <si>
    <t>101,32-11,09-8,43</t>
  </si>
  <si>
    <t>m.č.101,104,105,106,107,110</t>
  </si>
  <si>
    <t>3*2*1</t>
  </si>
  <si>
    <t>zapravení průrazů</t>
  </si>
  <si>
    <t>dveře stávající</t>
  </si>
  <si>
    <t>5,8+3*1+1,2+2,4+2*1+1+1</t>
  </si>
  <si>
    <t>splašková kanalizace</t>
  </si>
  <si>
    <t>0,75+1+0,65+1</t>
  </si>
  <si>
    <t>7,1+2*1+0,75+1+3,1+1+3*1+1</t>
  </si>
  <si>
    <t>voda studená</t>
  </si>
  <si>
    <t>5,7+1+3*1+4,3+2</t>
  </si>
  <si>
    <t>voda teplá</t>
  </si>
  <si>
    <t>8+1+1</t>
  </si>
  <si>
    <t>34,9+20</t>
  </si>
  <si>
    <t>vodovod</t>
  </si>
  <si>
    <t>4,5+1,5+1,5</t>
  </si>
  <si>
    <t>rozvod plynu</t>
  </si>
  <si>
    <t>plynové potrubí</t>
  </si>
  <si>
    <t>umyvadlo koupelna</t>
  </si>
  <si>
    <t>koupelna</t>
  </si>
  <si>
    <t>kuchyně</t>
  </si>
  <si>
    <t>umyvadlo kooupelna</t>
  </si>
  <si>
    <t>WC koupelna</t>
  </si>
  <si>
    <t>sprcha koupelna</t>
  </si>
  <si>
    <t>vodoměr</t>
  </si>
  <si>
    <t>vodoměr+vana</t>
  </si>
  <si>
    <t>dvířka vodoměr</t>
  </si>
  <si>
    <t>sprcha</t>
  </si>
  <si>
    <t>digestoř kuchyňská</t>
  </si>
  <si>
    <t>(3,3+0,5)</t>
  </si>
  <si>
    <t>VZT potrubí m.č.102</t>
  </si>
  <si>
    <t>(1,6+0,5)</t>
  </si>
  <si>
    <t>VZT potrubí m.č.107</t>
  </si>
  <si>
    <t>(2,8+0,5)</t>
  </si>
  <si>
    <t>VZT potrubí m.č.109</t>
  </si>
  <si>
    <t>1,0+0,75</t>
  </si>
  <si>
    <t>odvod kondenzátu VZT</t>
  </si>
  <si>
    <t>VZT</t>
  </si>
  <si>
    <t>odvětrání VZT</t>
  </si>
  <si>
    <t>odvětrání VZT fasáda</t>
  </si>
  <si>
    <t>vytápění</t>
  </si>
  <si>
    <t>rozovdy ÚT</t>
  </si>
  <si>
    <t>otopná tělesa</t>
  </si>
  <si>
    <t>elektrické topení</t>
  </si>
  <si>
    <t>topení koupelna</t>
  </si>
  <si>
    <t>koupelna m.č.109</t>
  </si>
  <si>
    <t>4,3</t>
  </si>
  <si>
    <t>2,5*0,5</t>
  </si>
  <si>
    <t>kanalizace vana</t>
  </si>
  <si>
    <t>5,27*2,87-0,8*1,97</t>
  </si>
  <si>
    <t>příčka dělící m.č.107</t>
  </si>
  <si>
    <t>kuchyňská linka</t>
  </si>
  <si>
    <t>kuch linka</t>
  </si>
  <si>
    <t>úprava pro VZT</t>
  </si>
  <si>
    <t>(1,7+1,29+4,74+4,65+10,85)*0,15</t>
  </si>
  <si>
    <t>m.č.102,103,108,109,111</t>
  </si>
  <si>
    <t>4,74</t>
  </si>
  <si>
    <t>m.č. 103 a 108</t>
  </si>
  <si>
    <t>7,974</t>
  </si>
  <si>
    <t>6,44+1,44+1,53+6,99+4,75</t>
  </si>
  <si>
    <t>m.č.101,102,103,109,110</t>
  </si>
  <si>
    <t>9,56</t>
  </si>
  <si>
    <t>(6,44+1,44+1,53+6,99+4,75)*0,06</t>
  </si>
  <si>
    <t>9,56*0,06</t>
  </si>
  <si>
    <t>;ztratné 10%; 3,071</t>
  </si>
  <si>
    <t>(6,44+1,44+1,53+4,75)*0,06</t>
  </si>
  <si>
    <t>m.č.101,102,103,110</t>
  </si>
  <si>
    <t>6,99</t>
  </si>
  <si>
    <t>(2*2,7+2*3,65)</t>
  </si>
  <si>
    <t>(3,6+1,79*2+1,2)+(1,43*2+0,8*2)+(2,7*2+1,79*2)-0,9*5-0,7*3</t>
  </si>
  <si>
    <t>soklík m.č. 101,103,110</t>
  </si>
  <si>
    <t>6,44+1,7+4,65+10,85</t>
  </si>
  <si>
    <t>m.č.101,102,109,111</t>
  </si>
  <si>
    <t>6,44</t>
  </si>
  <si>
    <t>1,75*2+5,46*2-0,9</t>
  </si>
  <si>
    <t>;ztratné 10%; 1,352</t>
  </si>
  <si>
    <t>13,49+13,1+15,26+28,76</t>
  </si>
  <si>
    <t>m.č.104,105,106,107</t>
  </si>
  <si>
    <t>(2*2,485+2*5,46)+(2*5,27+2*2,485)+(2*5,27+2*2,895)+(5,456*2+5,27*2)</t>
  </si>
  <si>
    <t>(0,2+0,6+0,2)*(2,3+2,3+1,2)*6</t>
  </si>
  <si>
    <t>dveře zárubně</t>
  </si>
  <si>
    <t>(1*2,2)*2*6</t>
  </si>
  <si>
    <t>dveře křídla</t>
  </si>
  <si>
    <t>2,40*2,86*2</t>
  </si>
  <si>
    <t>dveře vstupní</t>
  </si>
  <si>
    <t>0,9*0,45*7</t>
  </si>
  <si>
    <t>dveře práh</t>
  </si>
  <si>
    <t>(2,05+2,05+0,9)*(0,1+0,15+0,1)</t>
  </si>
  <si>
    <t>zárubně m.č.103</t>
  </si>
  <si>
    <t>(1,89+1,89+0,8)*2,89-0,8*2,03</t>
  </si>
  <si>
    <t>(1,43+1,43+0,8)*2,89-0,655*0,54+(0,655+2*0,54)*0,3</t>
  </si>
  <si>
    <t>(5,46+5,46+2,485+2,485)*2,89-1,125*1,7-1*2,22*2+(1,125+2*1,7)*0,3</t>
  </si>
  <si>
    <t>(5,27+5,27+5,48+5,48)*2,85-1,08*1,72*2-1,0*2,22*3+(1,08+1,72*2)*0,3*2</t>
  </si>
  <si>
    <t>(5,27+2,64+2,64)*2,87-1,0*2,12*2-1,08*1,72+(1,08+1,72*2)*0,3</t>
  </si>
  <si>
    <t>(5,27+2,72+2,72)*2,87-1,08*1,72+(1,08+1,72*2)*0,3</t>
  </si>
  <si>
    <t>(2,84-1,5)*(2,705+2,705+1,75+1,75)-0,7*(2,05-1,5)-0,7*1,2*(0,7+2*1,2)*0,3</t>
  </si>
  <si>
    <t>(2,655+2,655+1,75+1,75)*2,85-0,67*1,7+(0,67+2*1,7)*0,3-0,9*2,03</t>
  </si>
  <si>
    <t>(1,19+1,19+0,9+0,9)*2,86-0,9*2,03-0,6*0,9+(0,6+2*0,9)*0,3</t>
  </si>
  <si>
    <t>(4,02+4,2+2,7+2,7)*2,86-1,0*2,22*2-0,9*2,03*2-0,85*2,4-1,7*0,6+(2,4*2+1,45)*0,3</t>
  </si>
  <si>
    <t>m.č.111</t>
  </si>
  <si>
    <t>elektro</t>
  </si>
  <si>
    <t>2+2+9</t>
  </si>
  <si>
    <t>400</t>
  </si>
  <si>
    <t>2,5</t>
  </si>
  <si>
    <t>0,138</t>
  </si>
  <si>
    <t>Krycí list slepého rozpočtu</t>
  </si>
  <si>
    <t>IČO/DIČ:</t>
  </si>
  <si>
    <t>00303461/</t>
  </si>
  <si>
    <t>71779647/</t>
  </si>
  <si>
    <t>Položek:</t>
  </si>
  <si>
    <t>Datum:</t>
  </si>
  <si>
    <t>Rozpočtové náklady v Kč</t>
  </si>
  <si>
    <t>A</t>
  </si>
  <si>
    <t>Základní rozpočtové náklady</t>
  </si>
  <si>
    <t>B</t>
  </si>
  <si>
    <t>Doplňkové náklady</t>
  </si>
  <si>
    <t>C</t>
  </si>
  <si>
    <t>Náklady na umístění stavby (NUS)</t>
  </si>
  <si>
    <t>HSV</t>
  </si>
  <si>
    <t>Dodávky</t>
  </si>
  <si>
    <t>Práce přesčas</t>
  </si>
  <si>
    <t>Zařízení staveniště</t>
  </si>
  <si>
    <t>Bez pevné podl.</t>
  </si>
  <si>
    <t>Mimostav. doprava</t>
  </si>
  <si>
    <t>PSV</t>
  </si>
  <si>
    <t>Kulturní památka</t>
  </si>
  <si>
    <t>Územní vlivy</t>
  </si>
  <si>
    <t>Provozní vlivy</t>
  </si>
  <si>
    <t>"M"</t>
  </si>
  <si>
    <t>Ostatní</t>
  </si>
  <si>
    <t>NUS z rozpočtu</t>
  </si>
  <si>
    <t>Ostatní materiál</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</si>
  <si>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</si>
  <si>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</si>
  <si>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</si>
  <si>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</si>
  <si>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</si>
  <si>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</si>
  <si>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</si>
  <si>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</si>
  <si>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</si>
  <si>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</si>
  <si>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</si>
  <si>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</si>
  <si>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</si>
  <si>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</si>
  <si>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</si>
  <si>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</si>
  <si>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</si>
  <si>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</si>
  <si>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</si>
  <si>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a ostatní rozpočtové náklady</t>
  </si>
  <si>
    <t>Vedlejší rozpočtové náklady VRN</t>
  </si>
  <si>
    <t>Doplňkové náklady DN</t>
  </si>
  <si>
    <t>Kč</t>
  </si>
  <si>
    <t>%</t>
  </si>
  <si>
    <t>Základna</t>
  </si>
  <si>
    <t>Celkem DN</t>
  </si>
  <si>
    <t>Celkem NUS</t>
  </si>
  <si>
    <t>Celkem VRN</t>
  </si>
  <si>
    <t>Ostatní rozpočtové náklady ORN</t>
  </si>
  <si>
    <t>Ostatní rozpočtové náklady (ORN)</t>
  </si>
  <si>
    <t>Celkem ORN</t>
  </si>
  <si>
    <t>EPS2 3,5 DP/DELPO</t>
  </si>
  <si>
    <t>Průtokový ohřívač s dolním umístěním a s baterií</t>
  </si>
  <si>
    <t>Topná tyč 800W s termostatem pro koupelnový žebřík s kroucenou šňůrou a zapojením do zásuvky</t>
  </si>
  <si>
    <t xml:space="preserve">  3299A-A40100 B</t>
  </si>
  <si>
    <t>Kryt pro přístroje s displejovým modulem</t>
  </si>
  <si>
    <t>3292U-A90100</t>
  </si>
  <si>
    <t>Podlahový teplotní snímač 2 kohm.</t>
  </si>
  <si>
    <t>2CHX880040A0033</t>
  </si>
  <si>
    <t>Termostat univerzální se spínacími hodinami ABB</t>
  </si>
  <si>
    <t>SEZ C-BOX MSF 14M</t>
  </si>
  <si>
    <t>Zapuštěná rozvodnice, multimediální SEZ</t>
  </si>
  <si>
    <t>2CPX077843R9999</t>
  </si>
  <si>
    <r>
      <t xml:space="preserve">Zapuštěná rozvodnice, 4-řadá </t>
    </r>
    <r>
      <rPr>
        <b/>
        <sz val="11"/>
        <color theme="1"/>
        <rFont val="Calibri"/>
        <family val="2"/>
        <charset val="238"/>
        <scheme val="minor"/>
      </rPr>
      <t>např</t>
    </r>
    <r>
      <rPr>
        <sz val="11"/>
        <rFont val="Calibri"/>
        <charset val="1"/>
      </rPr>
      <t>. ABB UK648E3</t>
    </r>
  </si>
  <si>
    <t>JOTA 18W</t>
  </si>
  <si>
    <t>Stropní LED svítidlo s pohybovým čidlem PIR nebo RF např.</t>
  </si>
  <si>
    <t>3901A-B30 B</t>
  </si>
  <si>
    <t>Rámeček pro el. přístroje, trojnásobný vodorovný</t>
  </si>
  <si>
    <t>3901A-B21 B</t>
  </si>
  <si>
    <t>Rámeček pro el. přístroje, dvojnásobný svislý</t>
  </si>
  <si>
    <t>3901A-B20 B</t>
  </si>
  <si>
    <t>Rámeček pro el. přístroje, dvojnásobný vodorovný</t>
  </si>
  <si>
    <t>SMR-H</t>
  </si>
  <si>
    <t>Super multifunkční relé ELKO (doběh ventilátoru WC)</t>
  </si>
  <si>
    <t>5014A-A02018 B</t>
  </si>
  <si>
    <t>Kryt zásuvky komunikační</t>
  </si>
  <si>
    <t>5011C-A201 B1</t>
  </si>
  <si>
    <t>Kryt zásuvky anténní s 3 otvory</t>
  </si>
  <si>
    <t>RJ45C6U</t>
  </si>
  <si>
    <t>Přístroj zásuvky datové Modular Jack RJ 45-8 Cat. 6</t>
  </si>
  <si>
    <t>5011-A3303</t>
  </si>
  <si>
    <t>Přístroj zásuvky anténní TV, rozhlasové a satelitní - koncové</t>
  </si>
  <si>
    <t>3559-A05345</t>
  </si>
  <si>
    <t>Přístroj přepínače sériového (5)</t>
  </si>
  <si>
    <t>3559-A01345</t>
  </si>
  <si>
    <t>Přístroj spínače jednopólového (1)</t>
  </si>
  <si>
    <t>5519A-A02357 B</t>
  </si>
  <si>
    <t>Zásuvka jednonásobná s ochranným kolíkem, s clonkami</t>
  </si>
  <si>
    <t>PFL6-20/1N/B/003</t>
  </si>
  <si>
    <t>PFL6-16/1N/B/003</t>
  </si>
  <si>
    <t>PFL6-10/1N/B/003</t>
  </si>
  <si>
    <t>LMF-10B-1N-030A</t>
  </si>
  <si>
    <t>PL6-B16/3 16A</t>
  </si>
  <si>
    <t>SPBT12-280/4</t>
  </si>
  <si>
    <t>Svodič přepětí B+C</t>
  </si>
  <si>
    <t>IS-25/3 25A</t>
  </si>
  <si>
    <t>Počet ks</t>
  </si>
  <si>
    <t>Označení výrobce</t>
  </si>
  <si>
    <t>Název</t>
  </si>
  <si>
    <r>
      <t>Byt č.1,</t>
    </r>
    <r>
      <rPr>
        <sz val="11"/>
        <rFont val="Calibri"/>
        <charset val="1"/>
      </rPr>
      <t xml:space="preserve"> č.p.1247/3, 2. NP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</si>
</sst>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00"/>
      <name val="Arial"/>
      <charset val="238"/>
    </font>
    <font>
      <i/>
      <sz val="8"/>
      <color rgb="FF000000"/>
      <name val="Arial"/>
      <charset val="238"/>
    </font>
    <font>
      <i/>
      <sz val="9"/>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
      <sz val="11"/>
      <color theme="1"/>
      <name val="Calibri"/>
      <family val="2"/>
      <charset val="238"/>
      <scheme val="minor"/>
    </font>
    <font>
      <sz val="11"/>
      <color theme="1" tint="0.1499984740745262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rgb="FFC0C0C0"/>
        <bgColor rgb="FFC0C0C0"/>
      </patternFill>
    </fill>
    <fill>
      <patternFill patternType="solid">
        <fgColor rgb="FFCCFFFF"/>
        <bgColor rgb="FFCCFFFF"/>
      </patternFill>
    </fill>
    <fill>
      <patternFill patternType="solid">
        <fgColor rgb="FFCCFFFF"/>
        <bgColor rgb="FFCCFFFF"/>
      </patternFill>
    </fill>
    <fill>
      <patternFill patternType="solid">
        <fgColor rgb="FFC8E1D8"/>
        <bgColor rgb="FFC8E1D8"/>
      </patternFill>
    </fill>
    <fill>
      <patternFill patternType="solid">
        <fgColor theme="4" tint="0.79998168889431442"/>
        <bgColor indexed="64"/>
      </patternFill>
    </fill>
  </fills>
  <borders count="109">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C0C0C0"/>
      </left>
      <right/>
      <top/>
      <bottom/>
      <diagonal/>
    </border>
    <border>
      <left/>
      <right/>
      <top/>
      <bottom/>
      <diagonal/>
    </border>
    <border>
      <left/>
      <right style="thin">
        <color rgb="FFC0C0C0"/>
      </right>
      <top/>
      <bottom/>
      <diagonal/>
    </border>
    <border>
      <left style="thin">
        <color rgb="FFC0C0C0"/>
      </left>
      <right/>
      <top/>
      <bottom/>
      <diagonal/>
    </border>
    <border>
      <left/>
      <right/>
      <top/>
      <bottom/>
      <diagonal/>
    </border>
    <border>
      <left/>
      <right style="thin">
        <color rgb="FFC0C0C0"/>
      </right>
      <top/>
      <bottom/>
      <diagonal/>
    </border>
    <border>
      <left style="thin">
        <color rgb="FF000000"/>
      </left>
      <right/>
      <top/>
      <bottom/>
      <diagonal/>
    </border>
    <border>
      <left/>
      <right/>
      <top/>
      <bottom/>
      <diagonal/>
    </border>
    <border>
      <left/>
      <right style="thin">
        <color rgb="FF000000"/>
      </right>
      <top/>
      <bottom/>
      <diagonal/>
    </border>
    <border>
      <left style="thin">
        <color rgb="FFC0C0C0"/>
      </left>
      <right/>
      <top/>
      <bottom style="thin">
        <color rgb="FFC0C0C0"/>
      </bottom>
      <diagonal/>
    </border>
    <border>
      <left/>
      <right/>
      <top/>
      <bottom style="thin">
        <color rgb="FFC0C0C0"/>
      </bottom>
      <diagonal/>
    </border>
    <border>
      <left/>
      <right style="thin">
        <color rgb="FFC0C0C0"/>
      </right>
      <top/>
      <bottom style="thin">
        <color rgb="FFC0C0C0"/>
      </bottom>
      <diagonal/>
    </border>
    <border>
      <left/>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2" fillId="0" borderId="87"/>
  </cellStyleXfs>
  <cellXfs count="219">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3" borderId="14" xfId="0" applyFont="1" applyFill="1" applyBorder="1" applyAlignment="1" applyProtection="1">
      <alignment horizontal="center" vertical="center"/>
      <protection locked="0"/>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3" borderId="23" xfId="0"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0" fontId="3" fillId="4" borderId="29" xfId="0" applyFont="1" applyFill="1" applyBorder="1" applyAlignment="1" applyProtection="1">
      <alignment horizontal="left" vertical="center"/>
      <protection locked="0"/>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0" fontId="3" fillId="5" borderId="31" xfId="0" applyFont="1" applyFill="1" applyBorder="1" applyAlignment="1">
      <alignment horizontal="left" vertical="center"/>
    </xf>
    <xf numFmtId="0" fontId="3" fillId="5" borderId="32" xfId="0" applyFont="1" applyFill="1" applyBorder="1" applyAlignment="1">
      <alignment horizontal="left" vertical="center"/>
    </xf>
    <xf numFmtId="4" fontId="3" fillId="5" borderId="32" xfId="0" applyNumberFormat="1" applyFont="1" applyFill="1" applyBorder="1" applyAlignment="1">
      <alignment horizontal="right" vertical="center"/>
    </xf>
    <xf numFmtId="4" fontId="3" fillId="3" borderId="32" xfId="0" applyNumberFormat="1" applyFont="1" applyFill="1" applyBorder="1" applyAlignment="1" applyProtection="1">
      <alignment horizontal="right" vertical="center"/>
      <protection locked="0"/>
    </xf>
    <xf numFmtId="0" fontId="3" fillId="5" borderId="33" xfId="0" applyFont="1" applyFill="1" applyBorder="1" applyAlignment="1">
      <alignment horizontal="right" vertical="center"/>
    </xf>
    <xf numFmtId="4" fontId="3" fillId="0" borderId="0" xfId="0" applyNumberFormat="1" applyFont="1" applyAlignment="1">
      <alignment horizontal="right" vertical="center"/>
    </xf>
    <xf numFmtId="0" fontId="3" fillId="0" borderId="0" xfId="0" applyFont="1" applyAlignment="1">
      <alignment horizontal="right" vertical="center"/>
    </xf>
    <xf numFmtId="0" fontId="3" fillId="5" borderId="34" xfId="0" applyFont="1" applyFill="1" applyBorder="1" applyAlignment="1">
      <alignment horizontal="left" vertical="center"/>
    </xf>
    <xf numFmtId="0" fontId="3" fillId="5" borderId="35" xfId="0" applyFont="1" applyFill="1" applyBorder="1" applyAlignment="1">
      <alignment horizontal="left" vertical="center"/>
    </xf>
    <xf numFmtId="4" fontId="3" fillId="5" borderId="35" xfId="0" applyNumberFormat="1" applyFont="1" applyFill="1" applyBorder="1" applyAlignment="1">
      <alignment horizontal="right" vertical="center"/>
    </xf>
    <xf numFmtId="4" fontId="3" fillId="3" borderId="35" xfId="0" applyNumberFormat="1" applyFont="1" applyFill="1" applyBorder="1" applyAlignment="1" applyProtection="1">
      <alignment horizontal="right" vertical="center"/>
      <protection locked="0"/>
    </xf>
    <xf numFmtId="0" fontId="3" fillId="5" borderId="36" xfId="0" applyFont="1" applyFill="1" applyBorder="1" applyAlignment="1">
      <alignment horizontal="right" vertical="center"/>
    </xf>
    <xf numFmtId="0" fontId="0" fillId="0" borderId="37" xfId="0" applyBorder="1"/>
    <xf numFmtId="0" fontId="4" fillId="0" borderId="38" xfId="0" applyFont="1" applyBorder="1" applyAlignment="1">
      <alignment horizontal="right" vertical="center"/>
    </xf>
    <xf numFmtId="0" fontId="3" fillId="2" borderId="37" xfId="0" applyFont="1" applyFill="1" applyBorder="1" applyAlignment="1">
      <alignment horizontal="left" vertical="center"/>
    </xf>
    <xf numFmtId="0" fontId="2" fillId="2" borderId="38" xfId="0" applyFont="1" applyFill="1" applyBorder="1" applyAlignment="1">
      <alignment horizontal="left" vertical="center"/>
    </xf>
    <xf numFmtId="0" fontId="3" fillId="2" borderId="38" xfId="0" applyFont="1" applyFill="1" applyBorder="1" applyAlignment="1">
      <alignment horizontal="left" vertical="center"/>
    </xf>
    <xf numFmtId="0" fontId="3" fillId="4" borderId="38" xfId="0" applyFont="1" applyFill="1" applyBorder="1" applyAlignment="1" applyProtection="1">
      <alignment horizontal="left" vertical="center"/>
      <protection locked="0"/>
    </xf>
    <xf numFmtId="4" fontId="2" fillId="2" borderId="38" xfId="0" applyNumberFormat="1" applyFont="1" applyFill="1" applyBorder="1" applyAlignment="1">
      <alignment horizontal="right" vertical="center"/>
    </xf>
    <xf numFmtId="0" fontId="2" fillId="2" borderId="39" xfId="0" applyFont="1" applyFill="1" applyBorder="1" applyAlignment="1">
      <alignment horizontal="right" vertical="center"/>
    </xf>
    <xf numFmtId="0" fontId="3" fillId="5" borderId="40" xfId="0" applyFont="1" applyFill="1" applyBorder="1" applyAlignment="1">
      <alignment horizontal="left" vertical="center"/>
    </xf>
    <xf numFmtId="0" fontId="3" fillId="5" borderId="41" xfId="0" applyFont="1" applyFill="1" applyBorder="1" applyAlignment="1">
      <alignment horizontal="left" vertical="center"/>
    </xf>
    <xf numFmtId="4" fontId="3" fillId="5" borderId="41" xfId="0" applyNumberFormat="1" applyFont="1" applyFill="1" applyBorder="1" applyAlignment="1">
      <alignment horizontal="right" vertical="center"/>
    </xf>
    <xf numFmtId="4" fontId="3" fillId="3" borderId="41" xfId="0" applyNumberFormat="1" applyFont="1" applyFill="1" applyBorder="1" applyAlignment="1" applyProtection="1">
      <alignment horizontal="right" vertical="center"/>
      <protection locked="0"/>
    </xf>
    <xf numFmtId="0" fontId="3" fillId="5" borderId="42" xfId="0" applyFont="1" applyFill="1" applyBorder="1" applyAlignment="1">
      <alignment horizontal="right" vertical="center"/>
    </xf>
    <xf numFmtId="4" fontId="2" fillId="0" borderId="43" xfId="0" applyNumberFormat="1" applyFont="1" applyBorder="1" applyAlignment="1">
      <alignment horizontal="right" vertical="center"/>
    </xf>
    <xf numFmtId="0" fontId="5" fillId="0" borderId="0" xfId="0" applyFont="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8" xfId="0" applyFont="1" applyBorder="1" applyAlignment="1">
      <alignment horizontal="right" vertical="center"/>
    </xf>
    <xf numFmtId="0" fontId="2"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4" fontId="3" fillId="0" borderId="51" xfId="0" applyNumberFormat="1" applyFont="1" applyBorder="1" applyAlignment="1">
      <alignment horizontal="right" vertical="center"/>
    </xf>
    <xf numFmtId="4" fontId="3" fillId="0" borderId="52" xfId="0" applyNumberFormat="1" applyFont="1" applyBorder="1" applyAlignment="1">
      <alignment horizontal="right" vertical="center"/>
    </xf>
    <xf numFmtId="0" fontId="0" fillId="0" borderId="5" xfId="0" applyBorder="1"/>
    <xf numFmtId="0" fontId="6" fillId="0" borderId="0" xfId="0" applyFont="1" applyAlignment="1">
      <alignment horizontal="left" vertical="center"/>
    </xf>
    <xf numFmtId="4" fontId="6" fillId="0" borderId="0" xfId="0" applyNumberFormat="1" applyFont="1" applyAlignment="1">
      <alignment horizontal="right" vertical="center"/>
    </xf>
    <xf numFmtId="0" fontId="0" fillId="0" borderId="6" xfId="0" applyBorder="1"/>
    <xf numFmtId="4" fontId="3" fillId="0" borderId="6" xfId="0" applyNumberFormat="1" applyFont="1" applyBorder="1" applyAlignment="1">
      <alignment horizontal="right" vertical="center"/>
    </xf>
    <xf numFmtId="0" fontId="3" fillId="0" borderId="6" xfId="0" applyFont="1" applyBorder="1" applyAlignment="1">
      <alignment horizontal="right" vertical="center"/>
    </xf>
    <xf numFmtId="0" fontId="0" fillId="0" borderId="53" xfId="0" applyBorder="1"/>
    <xf numFmtId="0" fontId="0" fillId="0" borderId="54" xfId="0" applyBorder="1"/>
    <xf numFmtId="0" fontId="6" fillId="0" borderId="54" xfId="0" applyFont="1" applyBorder="1" applyAlignment="1">
      <alignment horizontal="left" vertical="center"/>
    </xf>
    <xf numFmtId="4" fontId="6" fillId="0" borderId="54" xfId="0" applyNumberFormat="1" applyFont="1" applyBorder="1" applyAlignment="1">
      <alignment horizontal="right" vertical="center"/>
    </xf>
    <xf numFmtId="0" fontId="0" fillId="0" borderId="55" xfId="0" applyBorder="1"/>
    <xf numFmtId="0" fontId="8" fillId="2" borderId="57" xfId="0" applyFont="1" applyFill="1" applyBorder="1" applyAlignment="1">
      <alignment horizontal="center" vertical="center"/>
    </xf>
    <xf numFmtId="0" fontId="8" fillId="2" borderId="60" xfId="0" applyFont="1" applyFill="1" applyBorder="1" applyAlignment="1">
      <alignment horizontal="center" vertical="center"/>
    </xf>
    <xf numFmtId="0" fontId="10" fillId="0" borderId="61" xfId="0" applyFont="1" applyBorder="1" applyAlignment="1">
      <alignment horizontal="left" vertical="center"/>
    </xf>
    <xf numFmtId="0" fontId="11" fillId="0" borderId="62" xfId="0" applyFont="1" applyBorder="1" applyAlignment="1">
      <alignment horizontal="left" vertical="center"/>
    </xf>
    <xf numFmtId="4" fontId="11" fillId="0" borderId="62" xfId="0" applyNumberFormat="1" applyFont="1" applyBorder="1" applyAlignment="1">
      <alignment horizontal="right" vertical="center"/>
    </xf>
    <xf numFmtId="0" fontId="11" fillId="0" borderId="62" xfId="0" applyFont="1" applyBorder="1" applyAlignment="1">
      <alignment horizontal="right" vertical="center"/>
    </xf>
    <xf numFmtId="0" fontId="10" fillId="0" borderId="65" xfId="0" applyFont="1" applyBorder="1" applyAlignment="1">
      <alignment horizontal="left" vertical="center"/>
    </xf>
    <xf numFmtId="4" fontId="11" fillId="0" borderId="69" xfId="0" applyNumberFormat="1" applyFont="1" applyBorder="1" applyAlignment="1">
      <alignment horizontal="right" vertical="center"/>
    </xf>
    <xf numFmtId="0" fontId="11" fillId="0" borderId="69" xfId="0" applyFont="1" applyBorder="1" applyAlignment="1">
      <alignment horizontal="right" vertical="center"/>
    </xf>
    <xf numFmtId="4" fontId="11" fillId="0" borderId="60"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0" fillId="2" borderId="59" xfId="0" applyNumberFormat="1" applyFont="1" applyFill="1" applyBorder="1" applyAlignment="1">
      <alignment horizontal="right" vertical="center"/>
    </xf>
    <xf numFmtId="4" fontId="10" fillId="2" borderId="64" xfId="0" applyNumberFormat="1" applyFont="1" applyFill="1" applyBorder="1" applyAlignment="1">
      <alignment horizontal="right" vertical="center"/>
    </xf>
    <xf numFmtId="0" fontId="5" fillId="0" borderId="51" xfId="0" applyFont="1" applyBorder="1" applyAlignment="1">
      <alignment horizontal="left" vertical="center"/>
    </xf>
    <xf numFmtId="0" fontId="2" fillId="0" borderId="85" xfId="0" applyFont="1" applyBorder="1" applyAlignment="1">
      <alignment horizontal="right" vertical="center"/>
    </xf>
    <xf numFmtId="4" fontId="3" fillId="0" borderId="62" xfId="0" applyNumberFormat="1" applyFont="1" applyBorder="1" applyAlignment="1">
      <alignment horizontal="right" vertical="center"/>
    </xf>
    <xf numFmtId="0" fontId="3" fillId="0" borderId="62" xfId="0" applyFont="1" applyBorder="1" applyAlignment="1">
      <alignment horizontal="left" vertical="center"/>
    </xf>
    <xf numFmtId="4" fontId="3" fillId="0" borderId="89" xfId="0" applyNumberFormat="1" applyFont="1" applyBorder="1" applyAlignment="1">
      <alignment horizontal="right" vertical="center"/>
    </xf>
    <xf numFmtId="0" fontId="3" fillId="0" borderId="89" xfId="0" applyFont="1" applyBorder="1" applyAlignment="1">
      <alignment horizontal="left" vertical="center"/>
    </xf>
    <xf numFmtId="0" fontId="2" fillId="0" borderId="93" xfId="0" applyFont="1" applyBorder="1" applyAlignment="1">
      <alignment horizontal="left" vertical="center"/>
    </xf>
    <xf numFmtId="0" fontId="2" fillId="0" borderId="93" xfId="0" applyFont="1" applyBorder="1" applyAlignment="1">
      <alignment horizontal="right" vertical="center"/>
    </xf>
    <xf numFmtId="4" fontId="2" fillId="0" borderId="93" xfId="0" applyNumberFormat="1" applyFont="1" applyBorder="1" applyAlignment="1">
      <alignment horizontal="right" vertical="center"/>
    </xf>
    <xf numFmtId="0" fontId="12" fillId="0" borderId="87" xfId="1"/>
    <xf numFmtId="0" fontId="12" fillId="0" borderId="87" xfId="1" applyAlignment="1">
      <alignment horizontal="center"/>
    </xf>
    <xf numFmtId="0" fontId="13" fillId="0" borderId="87" xfId="1" applyFont="1"/>
    <xf numFmtId="0" fontId="13" fillId="0" borderId="96" xfId="1" applyFont="1" applyBorder="1" applyAlignment="1">
      <alignment horizontal="center" vertical="center"/>
    </xf>
    <xf numFmtId="0" fontId="13" fillId="0" borderId="97" xfId="1" applyFont="1" applyBorder="1" applyAlignment="1">
      <alignment wrapText="1"/>
    </xf>
    <xf numFmtId="0" fontId="12" fillId="0" borderId="99" xfId="1" applyBorder="1" applyAlignment="1">
      <alignment horizontal="center" vertical="center"/>
    </xf>
    <xf numFmtId="0" fontId="12" fillId="0" borderId="100" xfId="1" applyBorder="1" applyAlignment="1">
      <alignment wrapText="1"/>
    </xf>
    <xf numFmtId="0" fontId="12" fillId="0" borderId="101" xfId="1" applyBorder="1" applyAlignment="1">
      <alignment horizontal="center"/>
    </xf>
    <xf numFmtId="0" fontId="12" fillId="0" borderId="102" xfId="1" applyBorder="1"/>
    <xf numFmtId="0" fontId="14" fillId="0" borderId="103" xfId="1" applyFont="1" applyBorder="1" applyAlignment="1">
      <alignment horizontal="center"/>
    </xf>
    <xf numFmtId="0" fontId="14" fillId="0" borderId="104" xfId="1" applyFont="1" applyBorder="1" applyAlignment="1">
      <alignment horizontal="center"/>
    </xf>
    <xf numFmtId="0" fontId="14" fillId="0" borderId="105" xfId="1" applyFont="1" applyBorder="1" applyAlignment="1">
      <alignment horizontal="center"/>
    </xf>
    <xf numFmtId="0" fontId="15" fillId="0" borderId="101" xfId="1" applyFont="1" applyBorder="1" applyAlignment="1">
      <alignment horizontal="center"/>
    </xf>
    <xf numFmtId="0" fontId="16" fillId="0" borderId="101" xfId="1" applyFont="1" applyBorder="1" applyAlignment="1">
      <alignment horizontal="center"/>
    </xf>
    <xf numFmtId="0" fontId="15" fillId="0" borderId="98" xfId="1" applyFont="1" applyBorder="1" applyAlignment="1">
      <alignment horizontal="center" vertical="center"/>
    </xf>
    <xf numFmtId="0" fontId="16" fillId="0" borderId="95" xfId="1" applyFont="1" applyBorder="1" applyAlignment="1">
      <alignment horizontal="center" vertical="center"/>
    </xf>
    <xf numFmtId="0" fontId="14" fillId="6" borderId="108" xfId="1" applyFont="1" applyFill="1" applyBorder="1" applyAlignment="1">
      <alignment horizontal="center"/>
    </xf>
    <xf numFmtId="0" fontId="14" fillId="6" borderId="107" xfId="1" applyFont="1" applyFill="1" applyBorder="1" applyAlignment="1">
      <alignment horizontal="center"/>
    </xf>
    <xf numFmtId="0" fontId="14" fillId="6" borderId="106" xfId="1" applyFont="1" applyFill="1" applyBorder="1" applyAlignment="1">
      <alignment horizontal="center"/>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6" fillId="0" borderId="0" xfId="0" applyFont="1" applyAlignment="1">
      <alignment horizontal="left" vertical="center"/>
    </xf>
    <xf numFmtId="0" fontId="3" fillId="0" borderId="9"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3" fillId="0" borderId="51" xfId="0" applyFont="1" applyBorder="1" applyAlignment="1">
      <alignment horizontal="left" vertical="center"/>
    </xf>
    <xf numFmtId="0" fontId="6" fillId="0" borderId="54" xfId="0" applyFont="1" applyBorder="1" applyAlignment="1">
      <alignment horizontal="left" vertical="center"/>
    </xf>
    <xf numFmtId="0" fontId="3" fillId="3" borderId="0" xfId="0" applyFont="1" applyFill="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3" borderId="0" xfId="0" applyFont="1" applyFill="1" applyAlignment="1" applyProtection="1">
      <alignment horizontal="left" vertical="center" wrapText="1"/>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3" fillId="3" borderId="3" xfId="0" applyFont="1" applyFill="1" applyBorder="1" applyAlignment="1" applyProtection="1">
      <alignment horizontal="left" vertical="center"/>
      <protection locked="0"/>
    </xf>
    <xf numFmtId="0" fontId="3" fillId="5" borderId="35" xfId="0" applyFont="1" applyFill="1" applyBorder="1" applyAlignment="1">
      <alignment horizontal="left" vertical="center" wrapText="1"/>
    </xf>
    <xf numFmtId="0" fontId="3" fillId="5" borderId="35" xfId="0" applyFont="1" applyFill="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3" fillId="5" borderId="32" xfId="0" applyFont="1" applyFill="1" applyBorder="1" applyAlignment="1">
      <alignment horizontal="left" vertical="center" wrapText="1"/>
    </xf>
    <xf numFmtId="0" fontId="3" fillId="5" borderId="32" xfId="0" applyFont="1" applyFill="1" applyBorder="1" applyAlignment="1">
      <alignment horizontal="left" vertical="center"/>
    </xf>
    <xf numFmtId="0" fontId="4" fillId="0" borderId="38" xfId="0" applyFont="1" applyBorder="1" applyAlignment="1">
      <alignment horizontal="left" vertical="center" wrapText="1"/>
    </xf>
    <xf numFmtId="0" fontId="4" fillId="0" borderId="38" xfId="0" applyFont="1" applyBorder="1" applyAlignment="1">
      <alignment horizontal="left" vertical="center"/>
    </xf>
    <xf numFmtId="0" fontId="4" fillId="3" borderId="38" xfId="0" applyFont="1" applyFill="1" applyBorder="1" applyAlignment="1" applyProtection="1">
      <alignment horizontal="left" vertical="center"/>
      <protection locked="0"/>
    </xf>
    <xf numFmtId="0" fontId="4" fillId="0" borderId="39" xfId="0" applyFont="1" applyBorder="1" applyAlignment="1">
      <alignment horizontal="left" vertical="center"/>
    </xf>
    <xf numFmtId="0" fontId="2" fillId="2" borderId="38" xfId="0" applyFont="1" applyFill="1" applyBorder="1" applyAlignment="1">
      <alignment horizontal="left" vertical="center" wrapText="1"/>
    </xf>
    <xf numFmtId="0" fontId="2" fillId="2" borderId="38" xfId="0" applyFont="1" applyFill="1" applyBorder="1" applyAlignment="1">
      <alignment horizontal="left" vertical="center"/>
    </xf>
    <xf numFmtId="0" fontId="2" fillId="0" borderId="43" xfId="0" applyFont="1" applyBorder="1" applyAlignment="1">
      <alignment horizontal="left" vertical="center"/>
    </xf>
    <xf numFmtId="0" fontId="3" fillId="5" borderId="41" xfId="0" applyFont="1" applyFill="1" applyBorder="1" applyAlignment="1">
      <alignment horizontal="left" vertical="center" wrapText="1"/>
    </xf>
    <xf numFmtId="0" fontId="3" fillId="5" borderId="41" xfId="0" applyFont="1" applyFill="1" applyBorder="1" applyAlignment="1">
      <alignment horizontal="left" vertical="center"/>
    </xf>
    <xf numFmtId="0" fontId="1" fillId="0" borderId="1" xfId="0" applyFont="1" applyBorder="1" applyAlignment="1">
      <alignment horizontal="center" vertical="center" wrapText="1"/>
    </xf>
    <xf numFmtId="1" fontId="3" fillId="0" borderId="6" xfId="0" applyNumberFormat="1" applyFont="1" applyBorder="1" applyAlignment="1">
      <alignment horizontal="left" vertical="center"/>
    </xf>
    <xf numFmtId="0" fontId="3" fillId="0" borderId="54" xfId="0" applyFont="1" applyBorder="1" applyAlignment="1">
      <alignment horizontal="left" vertical="center"/>
    </xf>
    <xf numFmtId="0" fontId="3" fillId="0" borderId="6" xfId="0" applyFont="1" applyBorder="1" applyAlignment="1">
      <alignment horizontal="left" vertical="center" wrapText="1"/>
    </xf>
    <xf numFmtId="0" fontId="3" fillId="0" borderId="55" xfId="0" applyFont="1" applyBorder="1" applyAlignment="1">
      <alignment horizontal="left" vertical="center"/>
    </xf>
    <xf numFmtId="0" fontId="7" fillId="0" borderId="56" xfId="0" applyFont="1" applyBorder="1" applyAlignment="1">
      <alignment horizontal="center" vertical="center"/>
    </xf>
    <xf numFmtId="0" fontId="9" fillId="0" borderId="58" xfId="0" applyFont="1" applyBorder="1" applyAlignment="1">
      <alignment horizontal="left" vertical="center"/>
    </xf>
    <xf numFmtId="0" fontId="9" fillId="0" borderId="59" xfId="0" applyFont="1" applyBorder="1" applyAlignment="1">
      <alignment horizontal="left" vertical="center"/>
    </xf>
    <xf numFmtId="0" fontId="3" fillId="0" borderId="53" xfId="0" applyFont="1" applyBorder="1" applyAlignment="1">
      <alignment horizontal="left" vertical="center"/>
    </xf>
    <xf numFmtId="0" fontId="10" fillId="0" borderId="66" xfId="0" applyFont="1" applyBorder="1" applyAlignment="1">
      <alignment horizontal="left" vertical="center"/>
    </xf>
    <xf numFmtId="0" fontId="10" fillId="0" borderId="64" xfId="0" applyFont="1" applyBorder="1" applyAlignment="1">
      <alignment horizontal="left" vertical="center"/>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71" xfId="0" applyFont="1" applyBorder="1" applyAlignment="1">
      <alignment horizontal="left" vertical="center"/>
    </xf>
    <xf numFmtId="0" fontId="10" fillId="0" borderId="59"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70" xfId="0" applyFont="1" applyBorder="1" applyAlignment="1">
      <alignment horizontal="left" vertical="center"/>
    </xf>
    <xf numFmtId="0" fontId="11" fillId="0" borderId="68" xfId="0" applyFont="1" applyBorder="1" applyAlignment="1">
      <alignment horizontal="left" vertical="center"/>
    </xf>
    <xf numFmtId="0" fontId="10" fillId="0" borderId="58" xfId="0" applyFont="1" applyBorder="1" applyAlignment="1">
      <alignment horizontal="left" vertical="center"/>
    </xf>
    <xf numFmtId="0" fontId="10" fillId="0" borderId="63" xfId="0" applyFont="1" applyBorder="1" applyAlignment="1">
      <alignment horizontal="left" vertical="center"/>
    </xf>
    <xf numFmtId="0" fontId="10" fillId="2" borderId="71" xfId="0" applyFont="1" applyFill="1" applyBorder="1" applyAlignment="1">
      <alignment horizontal="left" vertical="center"/>
    </xf>
    <xf numFmtId="0" fontId="10" fillId="2" borderId="72" xfId="0" applyFont="1" applyFill="1" applyBorder="1" applyAlignment="1">
      <alignment horizontal="left" vertical="center"/>
    </xf>
    <xf numFmtId="0" fontId="10" fillId="2" borderId="66" xfId="0" applyFont="1" applyFill="1" applyBorder="1" applyAlignment="1">
      <alignment horizontal="left" vertical="center"/>
    </xf>
    <xf numFmtId="0" fontId="10" fillId="2" borderId="73" xfId="0" applyFont="1" applyFill="1" applyBorder="1" applyAlignment="1">
      <alignment horizontal="left" vertical="center"/>
    </xf>
    <xf numFmtId="0" fontId="10" fillId="2" borderId="58" xfId="0" applyFont="1" applyFill="1" applyBorder="1" applyAlignment="1">
      <alignment horizontal="left" vertical="center"/>
    </xf>
    <xf numFmtId="0" fontId="10" fillId="2" borderId="63" xfId="0" applyFont="1" applyFill="1" applyBorder="1" applyAlignment="1">
      <alignment horizontal="left" vertical="center"/>
    </xf>
    <xf numFmtId="0" fontId="11" fillId="0" borderId="77" xfId="0" applyFont="1" applyBorder="1" applyAlignment="1">
      <alignment horizontal="left" vertical="center"/>
    </xf>
    <xf numFmtId="0" fontId="11" fillId="0" borderId="75" xfId="0" applyFont="1" applyBorder="1" applyAlignment="1">
      <alignment horizontal="left" vertical="center"/>
    </xf>
    <xf numFmtId="0" fontId="11" fillId="0" borderId="76" xfId="0" applyFont="1" applyBorder="1" applyAlignment="1">
      <alignment horizontal="left" vertical="center"/>
    </xf>
    <xf numFmtId="0" fontId="11" fillId="0" borderId="80" xfId="0" applyFont="1" applyBorder="1" applyAlignment="1">
      <alignment horizontal="left" vertical="center"/>
    </xf>
    <xf numFmtId="0" fontId="11" fillId="0" borderId="0" xfId="0" applyFont="1" applyAlignment="1">
      <alignment horizontal="left" vertical="center"/>
    </xf>
    <xf numFmtId="0" fontId="11" fillId="0" borderId="79" xfId="0" applyFont="1" applyBorder="1" applyAlignment="1">
      <alignment horizontal="left" vertical="center"/>
    </xf>
    <xf numFmtId="0" fontId="11" fillId="0" borderId="84" xfId="0" applyFont="1" applyBorder="1" applyAlignment="1">
      <alignment horizontal="left" vertical="center"/>
    </xf>
    <xf numFmtId="0" fontId="11" fillId="0" borderId="82" xfId="0" applyFont="1" applyBorder="1" applyAlignment="1">
      <alignment horizontal="left" vertical="center"/>
    </xf>
    <xf numFmtId="0" fontId="11" fillId="0" borderId="83" xfId="0" applyFont="1" applyBorder="1" applyAlignment="1">
      <alignment horizontal="left" vertical="center"/>
    </xf>
    <xf numFmtId="0" fontId="11" fillId="0" borderId="74" xfId="0" applyFont="1" applyBorder="1" applyAlignment="1">
      <alignment horizontal="left" vertical="center"/>
    </xf>
    <xf numFmtId="0" fontId="11" fillId="0" borderId="78" xfId="0" applyFont="1" applyBorder="1" applyAlignment="1">
      <alignment horizontal="left" vertical="center"/>
    </xf>
    <xf numFmtId="0" fontId="11" fillId="0" borderId="81" xfId="0" applyFont="1" applyBorder="1" applyAlignment="1">
      <alignment horizontal="left" vertical="center"/>
    </xf>
    <xf numFmtId="0" fontId="10"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66" xfId="0" applyFont="1" applyBorder="1" applyAlignment="1">
      <alignment horizontal="left" vertical="center"/>
    </xf>
    <xf numFmtId="0" fontId="3" fillId="0" borderId="73" xfId="0" applyFont="1" applyBorder="1" applyAlignment="1">
      <alignment horizontal="left" vertical="center"/>
    </xf>
    <xf numFmtId="0" fontId="3" fillId="0" borderId="64" xfId="0" applyFont="1" applyBorder="1" applyAlignment="1">
      <alignment horizontal="left" vertical="center"/>
    </xf>
    <xf numFmtId="0" fontId="3" fillId="0" borderId="86" xfId="0" applyFont="1" applyBorder="1" applyAlignment="1">
      <alignment horizontal="left"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2" fillId="0" borderId="90" xfId="0" applyFont="1" applyBorder="1" applyAlignment="1">
      <alignment horizontal="left" vertical="center"/>
    </xf>
    <xf numFmtId="0" fontId="2" fillId="0" borderId="91" xfId="0" applyFont="1" applyBorder="1" applyAlignment="1">
      <alignment horizontal="left" vertical="center"/>
    </xf>
    <xf numFmtId="0" fontId="2" fillId="0" borderId="92" xfId="0" applyFont="1" applyBorder="1" applyAlignment="1">
      <alignment horizontal="left" vertical="center"/>
    </xf>
    <xf numFmtId="0" fontId="10" fillId="0" borderId="90" xfId="0" applyFont="1" applyBorder="1" applyAlignment="1">
      <alignment horizontal="left" vertical="center"/>
    </xf>
    <xf numFmtId="0" fontId="10" fillId="0" borderId="91" xfId="0" applyFont="1" applyBorder="1" applyAlignment="1">
      <alignment horizontal="left" vertical="center"/>
    </xf>
    <xf numFmtId="0" fontId="10" fillId="0" borderId="92" xfId="0" applyFont="1" applyBorder="1" applyAlignment="1">
      <alignment horizontal="left" vertical="center"/>
    </xf>
    <xf numFmtId="4" fontId="10" fillId="0" borderId="94" xfId="0" applyNumberFormat="1" applyFont="1" applyBorder="1" applyAlignment="1">
      <alignment horizontal="right" vertical="center"/>
    </xf>
    <xf numFmtId="0" fontId="10" fillId="0" borderId="91" xfId="0" applyFont="1" applyBorder="1" applyAlignment="1">
      <alignment horizontal="right" vertical="center"/>
    </xf>
    <xf numFmtId="0" fontId="10" fillId="0" borderId="92" xfId="0" applyFont="1" applyBorder="1" applyAlignment="1">
      <alignment horizontal="right" vertical="center"/>
    </xf>
  </cellXfs>
  <cellStyles count="2">
    <cellStyle name="Normální" xfId="0" builtinId="0"/>
    <cellStyle name="Normální 2" xfId="1" xr:uid="{A0233AB8-8F9C-4C72-81AD-733681C640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workbookViewId="0">
      <selection activeCell="A37" sqref="A37:I37"/>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161" t="s">
        <v>1123</v>
      </c>
      <c r="B1" s="112"/>
      <c r="C1" s="112"/>
      <c r="D1" s="112"/>
      <c r="E1" s="112"/>
      <c r="F1" s="112"/>
      <c r="G1" s="112"/>
      <c r="H1" s="112"/>
      <c r="I1" s="112"/>
    </row>
    <row r="2" spans="1:9" x14ac:dyDescent="0.25">
      <c r="A2" s="113" t="s">
        <v>1</v>
      </c>
      <c r="B2" s="114"/>
      <c r="C2" s="122" t="str">
        <f>'Stavební rozpočet'!C2</f>
        <v>Revitalizace městských bytů v Šumperku - BJ č.1</v>
      </c>
      <c r="D2" s="123"/>
      <c r="E2" s="120" t="s">
        <v>5</v>
      </c>
      <c r="F2" s="120" t="str">
        <f>'Stavební rozpočet'!I2</f>
        <v>Město Šumperk, nám. Míru 1, 787 01 Šumperk</v>
      </c>
      <c r="G2" s="114"/>
      <c r="H2" s="120" t="s">
        <v>1124</v>
      </c>
      <c r="I2" s="125" t="s">
        <v>1125</v>
      </c>
    </row>
    <row r="3" spans="1:9" ht="15" customHeight="1" x14ac:dyDescent="0.25">
      <c r="A3" s="115"/>
      <c r="B3" s="116"/>
      <c r="C3" s="124"/>
      <c r="D3" s="124"/>
      <c r="E3" s="116"/>
      <c r="F3" s="116"/>
      <c r="G3" s="116"/>
      <c r="H3" s="116"/>
      <c r="I3" s="126"/>
    </row>
    <row r="4" spans="1:9" x14ac:dyDescent="0.25">
      <c r="A4" s="117" t="s">
        <v>7</v>
      </c>
      <c r="B4" s="116"/>
      <c r="C4" s="121" t="str">
        <f>'Stavební rozpočet'!C4</f>
        <v>Bytový dům</v>
      </c>
      <c r="D4" s="116"/>
      <c r="E4" s="121" t="s">
        <v>10</v>
      </c>
      <c r="F4" s="121" t="str">
        <f>'Stavební rozpočet'!I4</f>
        <v>Ing. Petr Doleček</v>
      </c>
      <c r="G4" s="116"/>
      <c r="H4" s="121" t="s">
        <v>1124</v>
      </c>
      <c r="I4" s="126" t="s">
        <v>1126</v>
      </c>
    </row>
    <row r="5" spans="1:9" ht="15" customHeight="1" x14ac:dyDescent="0.25">
      <c r="A5" s="115"/>
      <c r="B5" s="116"/>
      <c r="C5" s="116"/>
      <c r="D5" s="116"/>
      <c r="E5" s="116"/>
      <c r="F5" s="116"/>
      <c r="G5" s="116"/>
      <c r="H5" s="116"/>
      <c r="I5" s="126"/>
    </row>
    <row r="6" spans="1:9" x14ac:dyDescent="0.25">
      <c r="A6" s="117" t="s">
        <v>12</v>
      </c>
      <c r="B6" s="116"/>
      <c r="C6" s="121" t="str">
        <f>'Stavební rozpočet'!C6</f>
        <v>17.listopadu 1247/3 Šumperk</v>
      </c>
      <c r="D6" s="116"/>
      <c r="E6" s="121" t="s">
        <v>15</v>
      </c>
      <c r="F6" s="121" t="str">
        <f>'Stavební rozpočet'!I6</f>
        <v> </v>
      </c>
      <c r="G6" s="116"/>
      <c r="H6" s="121" t="s">
        <v>1124</v>
      </c>
      <c r="I6" s="126" t="s">
        <v>50</v>
      </c>
    </row>
    <row r="7" spans="1:9" ht="15" customHeight="1" x14ac:dyDescent="0.25">
      <c r="A7" s="115"/>
      <c r="B7" s="116"/>
      <c r="C7" s="116"/>
      <c r="D7" s="116"/>
      <c r="E7" s="116"/>
      <c r="F7" s="116"/>
      <c r="G7" s="116"/>
      <c r="H7" s="116"/>
      <c r="I7" s="126"/>
    </row>
    <row r="8" spans="1:9" x14ac:dyDescent="0.25">
      <c r="A8" s="117" t="s">
        <v>9</v>
      </c>
      <c r="B8" s="116"/>
      <c r="C8" s="121" t="str">
        <f>'Stavební rozpočet'!G4</f>
        <v xml:space="preserve"> </v>
      </c>
      <c r="D8" s="116"/>
      <c r="E8" s="121" t="s">
        <v>14</v>
      </c>
      <c r="F8" s="121" t="str">
        <f>'Stavební rozpočet'!G6</f>
        <v xml:space="preserve"> </v>
      </c>
      <c r="G8" s="116"/>
      <c r="H8" s="116" t="s">
        <v>1127</v>
      </c>
      <c r="I8" s="162">
        <v>255</v>
      </c>
    </row>
    <row r="9" spans="1:9" x14ac:dyDescent="0.25">
      <c r="A9" s="115"/>
      <c r="B9" s="116"/>
      <c r="C9" s="116"/>
      <c r="D9" s="116"/>
      <c r="E9" s="116"/>
      <c r="F9" s="116"/>
      <c r="G9" s="116"/>
      <c r="H9" s="116"/>
      <c r="I9" s="126"/>
    </row>
    <row r="10" spans="1:9" x14ac:dyDescent="0.25">
      <c r="A10" s="117" t="s">
        <v>17</v>
      </c>
      <c r="B10" s="116"/>
      <c r="C10" s="121" t="str">
        <f>'Stavební rozpočet'!C8</f>
        <v xml:space="preserve"> </v>
      </c>
      <c r="D10" s="116"/>
      <c r="E10" s="121" t="s">
        <v>20</v>
      </c>
      <c r="F10" s="121" t="str">
        <f>'Stavební rozpočet'!I8</f>
        <v>Ing. Petr Doleček</v>
      </c>
      <c r="G10" s="116"/>
      <c r="H10" s="116" t="s">
        <v>1128</v>
      </c>
      <c r="I10" s="164" t="str">
        <f>'Stavební rozpočet'!G8</f>
        <v>26.06.2024</v>
      </c>
    </row>
    <row r="11" spans="1:9" x14ac:dyDescent="0.25">
      <c r="A11" s="169"/>
      <c r="B11" s="163"/>
      <c r="C11" s="163"/>
      <c r="D11" s="163"/>
      <c r="E11" s="163"/>
      <c r="F11" s="163"/>
      <c r="G11" s="163"/>
      <c r="H11" s="163"/>
      <c r="I11" s="165"/>
    </row>
    <row r="12" spans="1:9" ht="23.25" x14ac:dyDescent="0.25">
      <c r="A12" s="166" t="s">
        <v>1129</v>
      </c>
      <c r="B12" s="166"/>
      <c r="C12" s="166"/>
      <c r="D12" s="166"/>
      <c r="E12" s="166"/>
      <c r="F12" s="166"/>
      <c r="G12" s="166"/>
      <c r="H12" s="166"/>
      <c r="I12" s="166"/>
    </row>
    <row r="13" spans="1:9" ht="26.25" customHeight="1" x14ac:dyDescent="0.25">
      <c r="A13" s="71" t="s">
        <v>1130</v>
      </c>
      <c r="B13" s="167" t="s">
        <v>1131</v>
      </c>
      <c r="C13" s="168"/>
      <c r="D13" s="72" t="s">
        <v>1132</v>
      </c>
      <c r="E13" s="167" t="s">
        <v>1133</v>
      </c>
      <c r="F13" s="168"/>
      <c r="G13" s="72" t="s">
        <v>1134</v>
      </c>
      <c r="H13" s="167" t="s">
        <v>1135</v>
      </c>
      <c r="I13" s="168"/>
    </row>
    <row r="14" spans="1:9" ht="15.75" x14ac:dyDescent="0.25">
      <c r="A14" s="73" t="s">
        <v>1136</v>
      </c>
      <c r="B14" s="74" t="s">
        <v>1137</v>
      </c>
      <c r="C14" s="75">
        <f>SUM('Stavební rozpočet'!AB12:AB339)</f>
        <v>0</v>
      </c>
      <c r="D14" s="176" t="s">
        <v>1138</v>
      </c>
      <c r="E14" s="177"/>
      <c r="F14" s="75">
        <f>VORN!I15</f>
        <v>0</v>
      </c>
      <c r="G14" s="176" t="s">
        <v>1139</v>
      </c>
      <c r="H14" s="177"/>
      <c r="I14" s="76">
        <f>VORN!I21</f>
        <v>0</v>
      </c>
    </row>
    <row r="15" spans="1:9" ht="15.75" x14ac:dyDescent="0.25">
      <c r="A15" s="77" t="s">
        <v>50</v>
      </c>
      <c r="B15" s="74" t="s">
        <v>35</v>
      </c>
      <c r="C15" s="75">
        <f>SUM('Stavební rozpočet'!AC12:AC339)</f>
        <v>0</v>
      </c>
      <c r="D15" s="176" t="s">
        <v>1140</v>
      </c>
      <c r="E15" s="177"/>
      <c r="F15" s="75">
        <f>VORN!I16</f>
        <v>0</v>
      </c>
      <c r="G15" s="176" t="s">
        <v>1141</v>
      </c>
      <c r="H15" s="177"/>
      <c r="I15" s="76">
        <f>VORN!I22</f>
        <v>0</v>
      </c>
    </row>
    <row r="16" spans="1:9" ht="15.75" x14ac:dyDescent="0.25">
      <c r="A16" s="73" t="s">
        <v>1142</v>
      </c>
      <c r="B16" s="74" t="s">
        <v>1137</v>
      </c>
      <c r="C16" s="75">
        <f>SUM('Stavební rozpočet'!AD12:AD339)</f>
        <v>0</v>
      </c>
      <c r="D16" s="176" t="s">
        <v>1143</v>
      </c>
      <c r="E16" s="177"/>
      <c r="F16" s="75">
        <f>VORN!I17</f>
        <v>0</v>
      </c>
      <c r="G16" s="176" t="s">
        <v>1144</v>
      </c>
      <c r="H16" s="177"/>
      <c r="I16" s="76">
        <f>VORN!I23</f>
        <v>0</v>
      </c>
    </row>
    <row r="17" spans="1:9" ht="15.75" x14ac:dyDescent="0.25">
      <c r="A17" s="77" t="s">
        <v>50</v>
      </c>
      <c r="B17" s="74" t="s">
        <v>35</v>
      </c>
      <c r="C17" s="75">
        <f>SUM('Stavební rozpočet'!AE12:AE339)</f>
        <v>0</v>
      </c>
      <c r="D17" s="176" t="s">
        <v>50</v>
      </c>
      <c r="E17" s="177"/>
      <c r="F17" s="76" t="s">
        <v>50</v>
      </c>
      <c r="G17" s="176" t="s">
        <v>1145</v>
      </c>
      <c r="H17" s="177"/>
      <c r="I17" s="76">
        <f>VORN!I24</f>
        <v>0</v>
      </c>
    </row>
    <row r="18" spans="1:9" ht="15.75" x14ac:dyDescent="0.25">
      <c r="A18" s="73" t="s">
        <v>1146</v>
      </c>
      <c r="B18" s="74" t="s">
        <v>1137</v>
      </c>
      <c r="C18" s="75">
        <f>SUM('Stavební rozpočet'!AF12:AF339)</f>
        <v>0</v>
      </c>
      <c r="D18" s="176" t="s">
        <v>50</v>
      </c>
      <c r="E18" s="177"/>
      <c r="F18" s="76" t="s">
        <v>50</v>
      </c>
      <c r="G18" s="176" t="s">
        <v>1147</v>
      </c>
      <c r="H18" s="177"/>
      <c r="I18" s="76">
        <f>VORN!I25</f>
        <v>0</v>
      </c>
    </row>
    <row r="19" spans="1:9" ht="15.75" x14ac:dyDescent="0.25">
      <c r="A19" s="77" t="s">
        <v>50</v>
      </c>
      <c r="B19" s="74" t="s">
        <v>35</v>
      </c>
      <c r="C19" s="75">
        <f>SUM('Stavební rozpočet'!AG12:AG339)</f>
        <v>0</v>
      </c>
      <c r="D19" s="176" t="s">
        <v>50</v>
      </c>
      <c r="E19" s="177"/>
      <c r="F19" s="76" t="s">
        <v>50</v>
      </c>
      <c r="G19" s="176" t="s">
        <v>1148</v>
      </c>
      <c r="H19" s="177"/>
      <c r="I19" s="76">
        <f>VORN!I26</f>
        <v>0</v>
      </c>
    </row>
    <row r="20" spans="1:9" ht="15.75" x14ac:dyDescent="0.25">
      <c r="A20" s="170" t="s">
        <v>1149</v>
      </c>
      <c r="B20" s="171"/>
      <c r="C20" s="75">
        <f>SUM('Stavební rozpočet'!AH12:AH339)</f>
        <v>0</v>
      </c>
      <c r="D20" s="176" t="s">
        <v>50</v>
      </c>
      <c r="E20" s="177"/>
      <c r="F20" s="76" t="s">
        <v>50</v>
      </c>
      <c r="G20" s="176" t="s">
        <v>50</v>
      </c>
      <c r="H20" s="177"/>
      <c r="I20" s="76" t="s">
        <v>50</v>
      </c>
    </row>
    <row r="21" spans="1:9" ht="15.75" x14ac:dyDescent="0.25">
      <c r="A21" s="172" t="s">
        <v>1150</v>
      </c>
      <c r="B21" s="173"/>
      <c r="C21" s="78">
        <f>SUM('Stavební rozpočet'!Z12:Z339)</f>
        <v>0</v>
      </c>
      <c r="D21" s="178" t="s">
        <v>50</v>
      </c>
      <c r="E21" s="179"/>
      <c r="F21" s="79" t="s">
        <v>50</v>
      </c>
      <c r="G21" s="178" t="s">
        <v>50</v>
      </c>
      <c r="H21" s="179"/>
      <c r="I21" s="79" t="s">
        <v>50</v>
      </c>
    </row>
    <row r="22" spans="1:9" ht="16.5" customHeight="1" x14ac:dyDescent="0.25">
      <c r="A22" s="174" t="s">
        <v>1151</v>
      </c>
      <c r="B22" s="175"/>
      <c r="C22" s="80">
        <f>SUM(C14:C21)</f>
        <v>0</v>
      </c>
      <c r="D22" s="180" t="s">
        <v>1152</v>
      </c>
      <c r="E22" s="175"/>
      <c r="F22" s="80">
        <f>SUM(F14:F21)</f>
        <v>0</v>
      </c>
      <c r="G22" s="180" t="s">
        <v>1153</v>
      </c>
      <c r="H22" s="175"/>
      <c r="I22" s="80">
        <f>ROUND(C22*(3/100),2)</f>
        <v>0</v>
      </c>
    </row>
    <row r="23" spans="1:9" ht="15.75" x14ac:dyDescent="0.25">
      <c r="D23" s="170" t="s">
        <v>1154</v>
      </c>
      <c r="E23" s="171"/>
      <c r="F23" s="81">
        <v>0</v>
      </c>
      <c r="G23" s="181" t="s">
        <v>1155</v>
      </c>
      <c r="H23" s="171"/>
      <c r="I23" s="75">
        <v>0</v>
      </c>
    </row>
    <row r="24" spans="1:9" ht="15.75" x14ac:dyDescent="0.25">
      <c r="G24" s="170" t="s">
        <v>1156</v>
      </c>
      <c r="H24" s="171"/>
      <c r="I24" s="78">
        <f>vorn_sum</f>
        <v>0</v>
      </c>
    </row>
    <row r="25" spans="1:9" ht="15.75" x14ac:dyDescent="0.25">
      <c r="G25" s="170" t="s">
        <v>1157</v>
      </c>
      <c r="H25" s="171"/>
      <c r="I25" s="80">
        <v>0</v>
      </c>
    </row>
    <row r="27" spans="1:9" ht="15.75" x14ac:dyDescent="0.25">
      <c r="A27" s="182" t="s">
        <v>1158</v>
      </c>
      <c r="B27" s="183"/>
      <c r="C27" s="82">
        <f>SUM('Stavební rozpočet'!AJ12:AJ339)</f>
        <v>0</v>
      </c>
    </row>
    <row r="28" spans="1:9" ht="15.75" x14ac:dyDescent="0.25">
      <c r="A28" s="184" t="s">
        <v>1159</v>
      </c>
      <c r="B28" s="185"/>
      <c r="C28" s="83">
        <f>SUM('Stavební rozpočet'!AK12:AK339)+(F22+I22+F23+I23+I24+I25)</f>
        <v>0</v>
      </c>
      <c r="D28" s="186" t="s">
        <v>1160</v>
      </c>
      <c r="E28" s="183"/>
      <c r="F28" s="82">
        <f>ROUND(C28*(12/100),2)</f>
        <v>0</v>
      </c>
      <c r="G28" s="186" t="s">
        <v>1161</v>
      </c>
      <c r="H28" s="183"/>
      <c r="I28" s="82">
        <f>SUM(C27:C29)</f>
        <v>0</v>
      </c>
    </row>
    <row r="29" spans="1:9" ht="15.75" x14ac:dyDescent="0.25">
      <c r="A29" s="184" t="s">
        <v>1162</v>
      </c>
      <c r="B29" s="185"/>
      <c r="C29" s="83">
        <f>SUM('Stavební rozpočet'!AL12:AL339)</f>
        <v>0</v>
      </c>
      <c r="D29" s="187" t="s">
        <v>1163</v>
      </c>
      <c r="E29" s="185"/>
      <c r="F29" s="83">
        <f>ROUND(C29*(21/100),2)</f>
        <v>0</v>
      </c>
      <c r="G29" s="187" t="s">
        <v>1164</v>
      </c>
      <c r="H29" s="185"/>
      <c r="I29" s="83">
        <f>SUM(F28:F29)+I28</f>
        <v>0</v>
      </c>
    </row>
    <row r="31" spans="1:9" x14ac:dyDescent="0.25">
      <c r="A31" s="197" t="s">
        <v>1165</v>
      </c>
      <c r="B31" s="189"/>
      <c r="C31" s="190"/>
      <c r="D31" s="188" t="s">
        <v>1166</v>
      </c>
      <c r="E31" s="189"/>
      <c r="F31" s="190"/>
      <c r="G31" s="188" t="s">
        <v>1167</v>
      </c>
      <c r="H31" s="189"/>
      <c r="I31" s="190"/>
    </row>
    <row r="32" spans="1:9" x14ac:dyDescent="0.25">
      <c r="A32" s="198" t="s">
        <v>50</v>
      </c>
      <c r="B32" s="192"/>
      <c r="C32" s="193"/>
      <c r="D32" s="191" t="s">
        <v>50</v>
      </c>
      <c r="E32" s="192"/>
      <c r="F32" s="193"/>
      <c r="G32" s="191" t="s">
        <v>50</v>
      </c>
      <c r="H32" s="192"/>
      <c r="I32" s="193"/>
    </row>
    <row r="33" spans="1:9" x14ac:dyDescent="0.25">
      <c r="A33" s="198" t="s">
        <v>50</v>
      </c>
      <c r="B33" s="192"/>
      <c r="C33" s="193"/>
      <c r="D33" s="191" t="s">
        <v>50</v>
      </c>
      <c r="E33" s="192"/>
      <c r="F33" s="193"/>
      <c r="G33" s="191" t="s">
        <v>50</v>
      </c>
      <c r="H33" s="192"/>
      <c r="I33" s="193"/>
    </row>
    <row r="34" spans="1:9" x14ac:dyDescent="0.25">
      <c r="A34" s="198" t="s">
        <v>50</v>
      </c>
      <c r="B34" s="192"/>
      <c r="C34" s="193"/>
      <c r="D34" s="191" t="s">
        <v>50</v>
      </c>
      <c r="E34" s="192"/>
      <c r="F34" s="193"/>
      <c r="G34" s="191" t="s">
        <v>50</v>
      </c>
      <c r="H34" s="192"/>
      <c r="I34" s="193"/>
    </row>
    <row r="35" spans="1:9" x14ac:dyDescent="0.25">
      <c r="A35" s="199" t="s">
        <v>1168</v>
      </c>
      <c r="B35" s="195"/>
      <c r="C35" s="196"/>
      <c r="D35" s="194" t="s">
        <v>1168</v>
      </c>
      <c r="E35" s="195"/>
      <c r="F35" s="196"/>
      <c r="G35" s="194" t="s">
        <v>1168</v>
      </c>
      <c r="H35" s="195"/>
      <c r="I35" s="196"/>
    </row>
    <row r="36" spans="1:9" x14ac:dyDescent="0.25">
      <c r="A36" s="84" t="s">
        <v>923</v>
      </c>
    </row>
    <row r="37" spans="1:9" ht="12.75" customHeight="1" x14ac:dyDescent="0.25">
      <c r="A37" s="121" t="s">
        <v>50</v>
      </c>
      <c r="B37" s="116"/>
      <c r="C37" s="116"/>
      <c r="D37" s="116"/>
      <c r="E37" s="116"/>
      <c r="F37" s="116"/>
      <c r="G37" s="116"/>
      <c r="H37" s="116"/>
      <c r="I37" s="116"/>
    </row>
  </sheetData>
  <sheetProtection password="C7C0" sheet="1"/>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342"/>
  <sheetViews>
    <sheetView tabSelected="1" workbookViewId="0">
      <pane ySplit="11" topLeftCell="A12" activePane="bottomLeft" state="frozen"/>
      <selection pane="bottomLeft" activeCell="A342" sqref="A342:K342"/>
    </sheetView>
  </sheetViews>
  <sheetFormatPr defaultColWidth="12.140625" defaultRowHeight="15" customHeight="1" x14ac:dyDescent="0.25"/>
  <cols>
    <col min="1" max="1" width="4" customWidth="1"/>
    <col min="2" max="2" width="17.85546875" customWidth="1"/>
    <col min="3" max="3" width="42.85546875" customWidth="1"/>
    <col min="4" max="4" width="35.7109375" customWidth="1"/>
    <col min="5" max="5" width="6.42578125" customWidth="1"/>
    <col min="6" max="6" width="12.85546875" customWidth="1"/>
    <col min="7" max="7" width="12" customWidth="1"/>
    <col min="8" max="10" width="15.7109375" customWidth="1"/>
    <col min="11" max="11" width="13.42578125" customWidth="1"/>
    <col min="25" max="75" width="12.140625" hidden="1"/>
    <col min="76" max="76" width="78.5703125" hidden="1" customWidth="1"/>
    <col min="77" max="78" width="12.140625" hidden="1"/>
  </cols>
  <sheetData>
    <row r="1" spans="1:76" ht="54.75" customHeight="1" x14ac:dyDescent="0.25">
      <c r="A1" s="112" t="s">
        <v>0</v>
      </c>
      <c r="B1" s="112"/>
      <c r="C1" s="112"/>
      <c r="D1" s="112"/>
      <c r="E1" s="112"/>
      <c r="F1" s="112"/>
      <c r="G1" s="112"/>
      <c r="H1" s="112"/>
      <c r="I1" s="112"/>
      <c r="J1" s="112"/>
      <c r="K1" s="112"/>
      <c r="AS1" s="1">
        <f>SUM(AJ1:AJ2)</f>
        <v>0</v>
      </c>
      <c r="AT1" s="1">
        <f>SUM(AK1:AK2)</f>
        <v>0</v>
      </c>
      <c r="AU1" s="1">
        <f>SUM(AL1:AL2)</f>
        <v>0</v>
      </c>
    </row>
    <row r="2" spans="1:76" x14ac:dyDescent="0.25">
      <c r="A2" s="113" t="s">
        <v>1</v>
      </c>
      <c r="B2" s="114"/>
      <c r="C2" s="122" t="s">
        <v>2</v>
      </c>
      <c r="D2" s="123"/>
      <c r="E2" s="114" t="s">
        <v>3</v>
      </c>
      <c r="F2" s="114"/>
      <c r="G2" s="140" t="s">
        <v>4</v>
      </c>
      <c r="H2" s="120" t="s">
        <v>5</v>
      </c>
      <c r="I2" s="120" t="s">
        <v>6</v>
      </c>
      <c r="J2" s="114"/>
      <c r="K2" s="125"/>
    </row>
    <row r="3" spans="1:76" x14ac:dyDescent="0.25">
      <c r="A3" s="115"/>
      <c r="B3" s="116"/>
      <c r="C3" s="124"/>
      <c r="D3" s="124"/>
      <c r="E3" s="116"/>
      <c r="F3" s="116"/>
      <c r="G3" s="133"/>
      <c r="H3" s="116"/>
      <c r="I3" s="116"/>
      <c r="J3" s="116"/>
      <c r="K3" s="126"/>
    </row>
    <row r="4" spans="1:76" x14ac:dyDescent="0.25">
      <c r="A4" s="117" t="s">
        <v>7</v>
      </c>
      <c r="B4" s="116"/>
      <c r="C4" s="121" t="s">
        <v>8</v>
      </c>
      <c r="D4" s="116"/>
      <c r="E4" s="116" t="s">
        <v>9</v>
      </c>
      <c r="F4" s="116"/>
      <c r="G4" s="133" t="s">
        <v>4</v>
      </c>
      <c r="H4" s="121" t="s">
        <v>10</v>
      </c>
      <c r="I4" s="121" t="s">
        <v>11</v>
      </c>
      <c r="J4" s="116"/>
      <c r="K4" s="126"/>
    </row>
    <row r="5" spans="1:76" x14ac:dyDescent="0.25">
      <c r="A5" s="115"/>
      <c r="B5" s="116"/>
      <c r="C5" s="116"/>
      <c r="D5" s="116"/>
      <c r="E5" s="116"/>
      <c r="F5" s="116"/>
      <c r="G5" s="133"/>
      <c r="H5" s="116"/>
      <c r="I5" s="116"/>
      <c r="J5" s="116"/>
      <c r="K5" s="126"/>
    </row>
    <row r="6" spans="1:76" x14ac:dyDescent="0.25">
      <c r="A6" s="117" t="s">
        <v>12</v>
      </c>
      <c r="B6" s="116"/>
      <c r="C6" s="121" t="s">
        <v>13</v>
      </c>
      <c r="D6" s="116"/>
      <c r="E6" s="116" t="s">
        <v>14</v>
      </c>
      <c r="F6" s="116"/>
      <c r="G6" s="133" t="s">
        <v>4</v>
      </c>
      <c r="H6" s="121" t="s">
        <v>15</v>
      </c>
      <c r="I6" s="133" t="s">
        <v>16</v>
      </c>
      <c r="J6" s="133"/>
      <c r="K6" s="134"/>
    </row>
    <row r="7" spans="1:76" x14ac:dyDescent="0.25">
      <c r="A7" s="115"/>
      <c r="B7" s="116"/>
      <c r="C7" s="116"/>
      <c r="D7" s="116"/>
      <c r="E7" s="116"/>
      <c r="F7" s="116"/>
      <c r="G7" s="133"/>
      <c r="H7" s="116"/>
      <c r="I7" s="133"/>
      <c r="J7" s="133"/>
      <c r="K7" s="134"/>
    </row>
    <row r="8" spans="1:76" x14ac:dyDescent="0.25">
      <c r="A8" s="117" t="s">
        <v>17</v>
      </c>
      <c r="B8" s="116"/>
      <c r="C8" s="121" t="s">
        <v>4</v>
      </c>
      <c r="D8" s="116"/>
      <c r="E8" s="116" t="s">
        <v>18</v>
      </c>
      <c r="F8" s="116"/>
      <c r="G8" s="133" t="s">
        <v>19</v>
      </c>
      <c r="H8" s="121" t="s">
        <v>20</v>
      </c>
      <c r="I8" s="135" t="s">
        <v>11</v>
      </c>
      <c r="J8" s="133"/>
      <c r="K8" s="134"/>
    </row>
    <row r="9" spans="1:76" x14ac:dyDescent="0.25">
      <c r="A9" s="118"/>
      <c r="B9" s="119"/>
      <c r="C9" s="119"/>
      <c r="D9" s="119"/>
      <c r="E9" s="119"/>
      <c r="F9" s="119"/>
      <c r="G9" s="136"/>
      <c r="H9" s="119"/>
      <c r="I9" s="136"/>
      <c r="J9" s="136"/>
      <c r="K9" s="137"/>
    </row>
    <row r="10" spans="1:76" x14ac:dyDescent="0.25">
      <c r="A10" s="5" t="s">
        <v>21</v>
      </c>
      <c r="B10" s="6" t="s">
        <v>22</v>
      </c>
      <c r="C10" s="138" t="s">
        <v>23</v>
      </c>
      <c r="D10" s="139"/>
      <c r="E10" s="6" t="s">
        <v>24</v>
      </c>
      <c r="F10" s="7" t="s">
        <v>25</v>
      </c>
      <c r="G10" s="8" t="s">
        <v>26</v>
      </c>
      <c r="H10" s="145" t="s">
        <v>27</v>
      </c>
      <c r="I10" s="146"/>
      <c r="J10" s="147"/>
      <c r="K10" s="9" t="s">
        <v>28</v>
      </c>
      <c r="BK10" s="10" t="s">
        <v>29</v>
      </c>
      <c r="BL10" s="11" t="s">
        <v>30</v>
      </c>
      <c r="BW10" s="11" t="s">
        <v>31</v>
      </c>
    </row>
    <row r="11" spans="1:76" x14ac:dyDescent="0.25">
      <c r="A11" s="12" t="s">
        <v>4</v>
      </c>
      <c r="B11" s="13" t="s">
        <v>4</v>
      </c>
      <c r="C11" s="143" t="s">
        <v>32</v>
      </c>
      <c r="D11" s="144"/>
      <c r="E11" s="13" t="s">
        <v>4</v>
      </c>
      <c r="F11" s="13" t="s">
        <v>4</v>
      </c>
      <c r="G11" s="14" t="s">
        <v>33</v>
      </c>
      <c r="H11" s="15" t="s">
        <v>34</v>
      </c>
      <c r="I11" s="16" t="s">
        <v>35</v>
      </c>
      <c r="J11" s="17" t="s">
        <v>36</v>
      </c>
      <c r="K11" s="18" t="s">
        <v>37</v>
      </c>
      <c r="Z11" s="10" t="s">
        <v>38</v>
      </c>
      <c r="AA11" s="10" t="s">
        <v>39</v>
      </c>
      <c r="AB11" s="10" t="s">
        <v>40</v>
      </c>
      <c r="AC11" s="10" t="s">
        <v>41</v>
      </c>
      <c r="AD11" s="10" t="s">
        <v>42</v>
      </c>
      <c r="AE11" s="10" t="s">
        <v>43</v>
      </c>
      <c r="AF11" s="10" t="s">
        <v>44</v>
      </c>
      <c r="AG11" s="10" t="s">
        <v>45</v>
      </c>
      <c r="AH11" s="10" t="s">
        <v>46</v>
      </c>
      <c r="BH11" s="10" t="s">
        <v>47</v>
      </c>
      <c r="BI11" s="10" t="s">
        <v>48</v>
      </c>
      <c r="BJ11" s="10" t="s">
        <v>49</v>
      </c>
    </row>
    <row r="12" spans="1:76" x14ac:dyDescent="0.25">
      <c r="A12" s="19" t="s">
        <v>50</v>
      </c>
      <c r="B12" s="20" t="s">
        <v>51</v>
      </c>
      <c r="C12" s="148" t="s">
        <v>52</v>
      </c>
      <c r="D12" s="149"/>
      <c r="E12" s="21" t="s">
        <v>4</v>
      </c>
      <c r="F12" s="21" t="s">
        <v>4</v>
      </c>
      <c r="G12" s="22" t="s">
        <v>4</v>
      </c>
      <c r="H12" s="23">
        <f>SUM(H13:H53)</f>
        <v>0</v>
      </c>
      <c r="I12" s="23">
        <f>SUM(I13:I53)</f>
        <v>0</v>
      </c>
      <c r="J12" s="23">
        <f>SUM(J13:J53)</f>
        <v>0</v>
      </c>
      <c r="K12" s="24" t="s">
        <v>50</v>
      </c>
      <c r="AI12" s="10" t="s">
        <v>50</v>
      </c>
      <c r="AS12" s="1">
        <f>SUM(AJ13:AJ53)</f>
        <v>0</v>
      </c>
      <c r="AT12" s="1">
        <f>SUM(AK13:AK53)</f>
        <v>0</v>
      </c>
      <c r="AU12" s="1">
        <f>SUM(AL13:AL53)</f>
        <v>0</v>
      </c>
    </row>
    <row r="13" spans="1:76" x14ac:dyDescent="0.25">
      <c r="A13" s="25" t="s">
        <v>53</v>
      </c>
      <c r="B13" s="26" t="s">
        <v>54</v>
      </c>
      <c r="C13" s="150" t="s">
        <v>55</v>
      </c>
      <c r="D13" s="151"/>
      <c r="E13" s="26" t="s">
        <v>56</v>
      </c>
      <c r="F13" s="27">
        <v>13</v>
      </c>
      <c r="G13" s="28">
        <v>0</v>
      </c>
      <c r="H13" s="27">
        <f t="shared" ref="H13:H20" si="0">F13*AO13</f>
        <v>0</v>
      </c>
      <c r="I13" s="27">
        <f t="shared" ref="I13:I20" si="1">F13*AP13</f>
        <v>0</v>
      </c>
      <c r="J13" s="27">
        <f t="shared" ref="J13:J20" si="2">F13*G13</f>
        <v>0</v>
      </c>
      <c r="K13" s="29" t="s">
        <v>57</v>
      </c>
      <c r="Z13" s="30">
        <f t="shared" ref="Z13:Z20" si="3">IF(AQ13="5",BJ13,0)</f>
        <v>0</v>
      </c>
      <c r="AB13" s="30">
        <f t="shared" ref="AB13:AB20" si="4">IF(AQ13="1",BH13,0)</f>
        <v>0</v>
      </c>
      <c r="AC13" s="30">
        <f t="shared" ref="AC13:AC20" si="5">IF(AQ13="1",BI13,0)</f>
        <v>0</v>
      </c>
      <c r="AD13" s="30">
        <f t="shared" ref="AD13:AD20" si="6">IF(AQ13="7",BH13,0)</f>
        <v>0</v>
      </c>
      <c r="AE13" s="30">
        <f t="shared" ref="AE13:AE20" si="7">IF(AQ13="7",BI13,0)</f>
        <v>0</v>
      </c>
      <c r="AF13" s="30">
        <f t="shared" ref="AF13:AF20" si="8">IF(AQ13="2",BH13,0)</f>
        <v>0</v>
      </c>
      <c r="AG13" s="30">
        <f t="shared" ref="AG13:AG20" si="9">IF(AQ13="2",BI13,0)</f>
        <v>0</v>
      </c>
      <c r="AH13" s="30">
        <f t="shared" ref="AH13:AH20" si="10">IF(AQ13="0",BJ13,0)</f>
        <v>0</v>
      </c>
      <c r="AI13" s="10" t="s">
        <v>50</v>
      </c>
      <c r="AJ13" s="30">
        <f t="shared" ref="AJ13:AJ20" si="11">IF(AN13=0,J13,0)</f>
        <v>0</v>
      </c>
      <c r="AK13" s="30">
        <f t="shared" ref="AK13:AK20" si="12">IF(AN13=12,J13,0)</f>
        <v>0</v>
      </c>
      <c r="AL13" s="30">
        <f t="shared" ref="AL13:AL20" si="13">IF(AN13=21,J13,0)</f>
        <v>0</v>
      </c>
      <c r="AN13" s="30">
        <v>12</v>
      </c>
      <c r="AO13" s="30">
        <f>G13*0</f>
        <v>0</v>
      </c>
      <c r="AP13" s="30">
        <f>G13*(1-0)</f>
        <v>0</v>
      </c>
      <c r="AQ13" s="31" t="s">
        <v>53</v>
      </c>
      <c r="AV13" s="30">
        <f t="shared" ref="AV13:AV20" si="14">AW13+AX13</f>
        <v>0</v>
      </c>
      <c r="AW13" s="30">
        <f t="shared" ref="AW13:AW20" si="15">F13*AO13</f>
        <v>0</v>
      </c>
      <c r="AX13" s="30">
        <f t="shared" ref="AX13:AX20" si="16">F13*AP13</f>
        <v>0</v>
      </c>
      <c r="AY13" s="31" t="s">
        <v>58</v>
      </c>
      <c r="AZ13" s="31" t="s">
        <v>59</v>
      </c>
      <c r="BA13" s="10" t="s">
        <v>60</v>
      </c>
      <c r="BC13" s="30">
        <f t="shared" ref="BC13:BC20" si="17">AW13+AX13</f>
        <v>0</v>
      </c>
      <c r="BD13" s="30">
        <f t="shared" ref="BD13:BD20" si="18">G13/(100-BE13)*100</f>
        <v>0</v>
      </c>
      <c r="BE13" s="30">
        <v>0</v>
      </c>
      <c r="BF13" s="30">
        <f>13</f>
        <v>13</v>
      </c>
      <c r="BH13" s="30">
        <f t="shared" ref="BH13:BH20" si="19">F13*AO13</f>
        <v>0</v>
      </c>
      <c r="BI13" s="30">
        <f t="shared" ref="BI13:BI20" si="20">F13*AP13</f>
        <v>0</v>
      </c>
      <c r="BJ13" s="30">
        <f t="shared" ref="BJ13:BJ20" si="21">F13*G13</f>
        <v>0</v>
      </c>
      <c r="BK13" s="30"/>
      <c r="BL13" s="30">
        <v>34</v>
      </c>
      <c r="BW13" s="30">
        <v>12</v>
      </c>
      <c r="BX13" s="4" t="s">
        <v>55</v>
      </c>
    </row>
    <row r="14" spans="1:76" x14ac:dyDescent="0.25">
      <c r="A14" s="32" t="s">
        <v>61</v>
      </c>
      <c r="B14" s="33" t="s">
        <v>62</v>
      </c>
      <c r="C14" s="141" t="s">
        <v>63</v>
      </c>
      <c r="D14" s="142"/>
      <c r="E14" s="33" t="s">
        <v>64</v>
      </c>
      <c r="F14" s="34">
        <v>6</v>
      </c>
      <c r="G14" s="35">
        <v>0</v>
      </c>
      <c r="H14" s="34">
        <f t="shared" si="0"/>
        <v>0</v>
      </c>
      <c r="I14" s="34">
        <f t="shared" si="1"/>
        <v>0</v>
      </c>
      <c r="J14" s="34">
        <f t="shared" si="2"/>
        <v>0</v>
      </c>
      <c r="K14" s="36" t="s">
        <v>57</v>
      </c>
      <c r="Z14" s="30">
        <f t="shared" si="3"/>
        <v>0</v>
      </c>
      <c r="AB14" s="30">
        <f t="shared" si="4"/>
        <v>0</v>
      </c>
      <c r="AC14" s="30">
        <f t="shared" si="5"/>
        <v>0</v>
      </c>
      <c r="AD14" s="30">
        <f t="shared" si="6"/>
        <v>0</v>
      </c>
      <c r="AE14" s="30">
        <f t="shared" si="7"/>
        <v>0</v>
      </c>
      <c r="AF14" s="30">
        <f t="shared" si="8"/>
        <v>0</v>
      </c>
      <c r="AG14" s="30">
        <f t="shared" si="9"/>
        <v>0</v>
      </c>
      <c r="AH14" s="30">
        <f t="shared" si="10"/>
        <v>0</v>
      </c>
      <c r="AI14" s="10" t="s">
        <v>50</v>
      </c>
      <c r="AJ14" s="30">
        <f t="shared" si="11"/>
        <v>0</v>
      </c>
      <c r="AK14" s="30">
        <f t="shared" si="12"/>
        <v>0</v>
      </c>
      <c r="AL14" s="30">
        <f t="shared" si="13"/>
        <v>0</v>
      </c>
      <c r="AN14" s="30">
        <v>12</v>
      </c>
      <c r="AO14" s="30">
        <f>G14*0.106029257</f>
        <v>0</v>
      </c>
      <c r="AP14" s="30">
        <f>G14*(1-0.106029257)</f>
        <v>0</v>
      </c>
      <c r="AQ14" s="31" t="s">
        <v>53</v>
      </c>
      <c r="AV14" s="30">
        <f t="shared" si="14"/>
        <v>0</v>
      </c>
      <c r="AW14" s="30">
        <f t="shared" si="15"/>
        <v>0</v>
      </c>
      <c r="AX14" s="30">
        <f t="shared" si="16"/>
        <v>0</v>
      </c>
      <c r="AY14" s="31" t="s">
        <v>58</v>
      </c>
      <c r="AZ14" s="31" t="s">
        <v>59</v>
      </c>
      <c r="BA14" s="10" t="s">
        <v>60</v>
      </c>
      <c r="BC14" s="30">
        <f t="shared" si="17"/>
        <v>0</v>
      </c>
      <c r="BD14" s="30">
        <f t="shared" si="18"/>
        <v>0</v>
      </c>
      <c r="BE14" s="30">
        <v>0</v>
      </c>
      <c r="BF14" s="30">
        <f>14</f>
        <v>14</v>
      </c>
      <c r="BH14" s="30">
        <f t="shared" si="19"/>
        <v>0</v>
      </c>
      <c r="BI14" s="30">
        <f t="shared" si="20"/>
        <v>0</v>
      </c>
      <c r="BJ14" s="30">
        <f t="shared" si="21"/>
        <v>0</v>
      </c>
      <c r="BK14" s="30"/>
      <c r="BL14" s="30">
        <v>34</v>
      </c>
      <c r="BW14" s="30">
        <v>12</v>
      </c>
      <c r="BX14" s="4" t="s">
        <v>63</v>
      </c>
    </row>
    <row r="15" spans="1:76" x14ac:dyDescent="0.25">
      <c r="A15" s="32" t="s">
        <v>65</v>
      </c>
      <c r="B15" s="33" t="s">
        <v>66</v>
      </c>
      <c r="C15" s="141" t="s">
        <v>67</v>
      </c>
      <c r="D15" s="142"/>
      <c r="E15" s="33" t="s">
        <v>64</v>
      </c>
      <c r="F15" s="34">
        <v>2.65</v>
      </c>
      <c r="G15" s="35">
        <v>0</v>
      </c>
      <c r="H15" s="34">
        <f t="shared" si="0"/>
        <v>0</v>
      </c>
      <c r="I15" s="34">
        <f t="shared" si="1"/>
        <v>0</v>
      </c>
      <c r="J15" s="34">
        <f t="shared" si="2"/>
        <v>0</v>
      </c>
      <c r="K15" s="36" t="s">
        <v>57</v>
      </c>
      <c r="Z15" s="30">
        <f t="shared" si="3"/>
        <v>0</v>
      </c>
      <c r="AB15" s="30">
        <f t="shared" si="4"/>
        <v>0</v>
      </c>
      <c r="AC15" s="30">
        <f t="shared" si="5"/>
        <v>0</v>
      </c>
      <c r="AD15" s="30">
        <f t="shared" si="6"/>
        <v>0</v>
      </c>
      <c r="AE15" s="30">
        <f t="shared" si="7"/>
        <v>0</v>
      </c>
      <c r="AF15" s="30">
        <f t="shared" si="8"/>
        <v>0</v>
      </c>
      <c r="AG15" s="30">
        <f t="shared" si="9"/>
        <v>0</v>
      </c>
      <c r="AH15" s="30">
        <f t="shared" si="10"/>
        <v>0</v>
      </c>
      <c r="AI15" s="10" t="s">
        <v>50</v>
      </c>
      <c r="AJ15" s="30">
        <f t="shared" si="11"/>
        <v>0</v>
      </c>
      <c r="AK15" s="30">
        <f t="shared" si="12"/>
        <v>0</v>
      </c>
      <c r="AL15" s="30">
        <f t="shared" si="13"/>
        <v>0</v>
      </c>
      <c r="AN15" s="30">
        <v>12</v>
      </c>
      <c r="AO15" s="30">
        <f>G15*0</f>
        <v>0</v>
      </c>
      <c r="AP15" s="30">
        <f>G15*(1-0)</f>
        <v>0</v>
      </c>
      <c r="AQ15" s="31" t="s">
        <v>53</v>
      </c>
      <c r="AV15" s="30">
        <f t="shared" si="14"/>
        <v>0</v>
      </c>
      <c r="AW15" s="30">
        <f t="shared" si="15"/>
        <v>0</v>
      </c>
      <c r="AX15" s="30">
        <f t="shared" si="16"/>
        <v>0</v>
      </c>
      <c r="AY15" s="31" t="s">
        <v>58</v>
      </c>
      <c r="AZ15" s="31" t="s">
        <v>59</v>
      </c>
      <c r="BA15" s="10" t="s">
        <v>60</v>
      </c>
      <c r="BC15" s="30">
        <f t="shared" si="17"/>
        <v>0</v>
      </c>
      <c r="BD15" s="30">
        <f t="shared" si="18"/>
        <v>0</v>
      </c>
      <c r="BE15" s="30">
        <v>0</v>
      </c>
      <c r="BF15" s="30">
        <f>15</f>
        <v>15</v>
      </c>
      <c r="BH15" s="30">
        <f t="shared" si="19"/>
        <v>0</v>
      </c>
      <c r="BI15" s="30">
        <f t="shared" si="20"/>
        <v>0</v>
      </c>
      <c r="BJ15" s="30">
        <f t="shared" si="21"/>
        <v>0</v>
      </c>
      <c r="BK15" s="30"/>
      <c r="BL15" s="30">
        <v>34</v>
      </c>
      <c r="BW15" s="30">
        <v>12</v>
      </c>
      <c r="BX15" s="4" t="s">
        <v>67</v>
      </c>
    </row>
    <row r="16" spans="1:76" x14ac:dyDescent="0.25">
      <c r="A16" s="32" t="s">
        <v>68</v>
      </c>
      <c r="B16" s="33" t="s">
        <v>69</v>
      </c>
      <c r="C16" s="141" t="s">
        <v>70</v>
      </c>
      <c r="D16" s="142"/>
      <c r="E16" s="33" t="s">
        <v>64</v>
      </c>
      <c r="F16" s="34">
        <v>2.65</v>
      </c>
      <c r="G16" s="35">
        <v>0</v>
      </c>
      <c r="H16" s="34">
        <f t="shared" si="0"/>
        <v>0</v>
      </c>
      <c r="I16" s="34">
        <f t="shared" si="1"/>
        <v>0</v>
      </c>
      <c r="J16" s="34">
        <f t="shared" si="2"/>
        <v>0</v>
      </c>
      <c r="K16" s="36" t="s">
        <v>57</v>
      </c>
      <c r="Z16" s="30">
        <f t="shared" si="3"/>
        <v>0</v>
      </c>
      <c r="AB16" s="30">
        <f t="shared" si="4"/>
        <v>0</v>
      </c>
      <c r="AC16" s="30">
        <f t="shared" si="5"/>
        <v>0</v>
      </c>
      <c r="AD16" s="30">
        <f t="shared" si="6"/>
        <v>0</v>
      </c>
      <c r="AE16" s="30">
        <f t="shared" si="7"/>
        <v>0</v>
      </c>
      <c r="AF16" s="30">
        <f t="shared" si="8"/>
        <v>0</v>
      </c>
      <c r="AG16" s="30">
        <f t="shared" si="9"/>
        <v>0</v>
      </c>
      <c r="AH16" s="30">
        <f t="shared" si="10"/>
        <v>0</v>
      </c>
      <c r="AI16" s="10" t="s">
        <v>50</v>
      </c>
      <c r="AJ16" s="30">
        <f t="shared" si="11"/>
        <v>0</v>
      </c>
      <c r="AK16" s="30">
        <f t="shared" si="12"/>
        <v>0</v>
      </c>
      <c r="AL16" s="30">
        <f t="shared" si="13"/>
        <v>0</v>
      </c>
      <c r="AN16" s="30">
        <v>12</v>
      </c>
      <c r="AO16" s="30">
        <f>G16*0</f>
        <v>0</v>
      </c>
      <c r="AP16" s="30">
        <f>G16*(1-0)</f>
        <v>0</v>
      </c>
      <c r="AQ16" s="31" t="s">
        <v>53</v>
      </c>
      <c r="AV16" s="30">
        <f t="shared" si="14"/>
        <v>0</v>
      </c>
      <c r="AW16" s="30">
        <f t="shared" si="15"/>
        <v>0</v>
      </c>
      <c r="AX16" s="30">
        <f t="shared" si="16"/>
        <v>0</v>
      </c>
      <c r="AY16" s="31" t="s">
        <v>58</v>
      </c>
      <c r="AZ16" s="31" t="s">
        <v>59</v>
      </c>
      <c r="BA16" s="10" t="s">
        <v>60</v>
      </c>
      <c r="BC16" s="30">
        <f t="shared" si="17"/>
        <v>0</v>
      </c>
      <c r="BD16" s="30">
        <f t="shared" si="18"/>
        <v>0</v>
      </c>
      <c r="BE16" s="30">
        <v>0</v>
      </c>
      <c r="BF16" s="30">
        <f>16</f>
        <v>16</v>
      </c>
      <c r="BH16" s="30">
        <f t="shared" si="19"/>
        <v>0</v>
      </c>
      <c r="BI16" s="30">
        <f t="shared" si="20"/>
        <v>0</v>
      </c>
      <c r="BJ16" s="30">
        <f t="shared" si="21"/>
        <v>0</v>
      </c>
      <c r="BK16" s="30"/>
      <c r="BL16" s="30">
        <v>34</v>
      </c>
      <c r="BW16" s="30">
        <v>12</v>
      </c>
      <c r="BX16" s="4" t="s">
        <v>70</v>
      </c>
    </row>
    <row r="17" spans="1:76" x14ac:dyDescent="0.25">
      <c r="A17" s="32" t="s">
        <v>71</v>
      </c>
      <c r="B17" s="33" t="s">
        <v>72</v>
      </c>
      <c r="C17" s="141" t="s">
        <v>73</v>
      </c>
      <c r="D17" s="142"/>
      <c r="E17" s="33" t="s">
        <v>56</v>
      </c>
      <c r="F17" s="34">
        <v>2</v>
      </c>
      <c r="G17" s="35">
        <v>0</v>
      </c>
      <c r="H17" s="34">
        <f t="shared" si="0"/>
        <v>0</v>
      </c>
      <c r="I17" s="34">
        <f t="shared" si="1"/>
        <v>0</v>
      </c>
      <c r="J17" s="34">
        <f t="shared" si="2"/>
        <v>0</v>
      </c>
      <c r="K17" s="36" t="s">
        <v>57</v>
      </c>
      <c r="Z17" s="30">
        <f t="shared" si="3"/>
        <v>0</v>
      </c>
      <c r="AB17" s="30">
        <f t="shared" si="4"/>
        <v>0</v>
      </c>
      <c r="AC17" s="30">
        <f t="shared" si="5"/>
        <v>0</v>
      </c>
      <c r="AD17" s="30">
        <f t="shared" si="6"/>
        <v>0</v>
      </c>
      <c r="AE17" s="30">
        <f t="shared" si="7"/>
        <v>0</v>
      </c>
      <c r="AF17" s="30">
        <f t="shared" si="8"/>
        <v>0</v>
      </c>
      <c r="AG17" s="30">
        <f t="shared" si="9"/>
        <v>0</v>
      </c>
      <c r="AH17" s="30">
        <f t="shared" si="10"/>
        <v>0</v>
      </c>
      <c r="AI17" s="10" t="s">
        <v>50</v>
      </c>
      <c r="AJ17" s="30">
        <f t="shared" si="11"/>
        <v>0</v>
      </c>
      <c r="AK17" s="30">
        <f t="shared" si="12"/>
        <v>0</v>
      </c>
      <c r="AL17" s="30">
        <f t="shared" si="13"/>
        <v>0</v>
      </c>
      <c r="AN17" s="30">
        <v>12</v>
      </c>
      <c r="AO17" s="30">
        <f>G17*0.053238851</f>
        <v>0</v>
      </c>
      <c r="AP17" s="30">
        <f>G17*(1-0.053238851)</f>
        <v>0</v>
      </c>
      <c r="AQ17" s="31" t="s">
        <v>53</v>
      </c>
      <c r="AV17" s="30">
        <f t="shared" si="14"/>
        <v>0</v>
      </c>
      <c r="AW17" s="30">
        <f t="shared" si="15"/>
        <v>0</v>
      </c>
      <c r="AX17" s="30">
        <f t="shared" si="16"/>
        <v>0</v>
      </c>
      <c r="AY17" s="31" t="s">
        <v>58</v>
      </c>
      <c r="AZ17" s="31" t="s">
        <v>59</v>
      </c>
      <c r="BA17" s="10" t="s">
        <v>60</v>
      </c>
      <c r="BC17" s="30">
        <f t="shared" si="17"/>
        <v>0</v>
      </c>
      <c r="BD17" s="30">
        <f t="shared" si="18"/>
        <v>0</v>
      </c>
      <c r="BE17" s="30">
        <v>0</v>
      </c>
      <c r="BF17" s="30">
        <f>17</f>
        <v>17</v>
      </c>
      <c r="BH17" s="30">
        <f t="shared" si="19"/>
        <v>0</v>
      </c>
      <c r="BI17" s="30">
        <f t="shared" si="20"/>
        <v>0</v>
      </c>
      <c r="BJ17" s="30">
        <f t="shared" si="21"/>
        <v>0</v>
      </c>
      <c r="BK17" s="30"/>
      <c r="BL17" s="30">
        <v>34</v>
      </c>
      <c r="BW17" s="30">
        <v>12</v>
      </c>
      <c r="BX17" s="4" t="s">
        <v>73</v>
      </c>
    </row>
    <row r="18" spans="1:76" x14ac:dyDescent="0.25">
      <c r="A18" s="32" t="s">
        <v>74</v>
      </c>
      <c r="B18" s="33" t="s">
        <v>75</v>
      </c>
      <c r="C18" s="141" t="s">
        <v>76</v>
      </c>
      <c r="D18" s="142"/>
      <c r="E18" s="33" t="s">
        <v>64</v>
      </c>
      <c r="F18" s="34">
        <v>2.85</v>
      </c>
      <c r="G18" s="35">
        <v>0</v>
      </c>
      <c r="H18" s="34">
        <f t="shared" si="0"/>
        <v>0</v>
      </c>
      <c r="I18" s="34">
        <f t="shared" si="1"/>
        <v>0</v>
      </c>
      <c r="J18" s="34">
        <f t="shared" si="2"/>
        <v>0</v>
      </c>
      <c r="K18" s="36" t="s">
        <v>57</v>
      </c>
      <c r="Z18" s="30">
        <f t="shared" si="3"/>
        <v>0</v>
      </c>
      <c r="AB18" s="30">
        <f t="shared" si="4"/>
        <v>0</v>
      </c>
      <c r="AC18" s="30">
        <f t="shared" si="5"/>
        <v>0</v>
      </c>
      <c r="AD18" s="30">
        <f t="shared" si="6"/>
        <v>0</v>
      </c>
      <c r="AE18" s="30">
        <f t="shared" si="7"/>
        <v>0</v>
      </c>
      <c r="AF18" s="30">
        <f t="shared" si="8"/>
        <v>0</v>
      </c>
      <c r="AG18" s="30">
        <f t="shared" si="9"/>
        <v>0</v>
      </c>
      <c r="AH18" s="30">
        <f t="shared" si="10"/>
        <v>0</v>
      </c>
      <c r="AI18" s="10" t="s">
        <v>50</v>
      </c>
      <c r="AJ18" s="30">
        <f t="shared" si="11"/>
        <v>0</v>
      </c>
      <c r="AK18" s="30">
        <f t="shared" si="12"/>
        <v>0</v>
      </c>
      <c r="AL18" s="30">
        <f t="shared" si="13"/>
        <v>0</v>
      </c>
      <c r="AN18" s="30">
        <v>12</v>
      </c>
      <c r="AO18" s="30">
        <f>G18*0.056768221</f>
        <v>0</v>
      </c>
      <c r="AP18" s="30">
        <f>G18*(1-0.056768221)</f>
        <v>0</v>
      </c>
      <c r="AQ18" s="31" t="s">
        <v>53</v>
      </c>
      <c r="AV18" s="30">
        <f t="shared" si="14"/>
        <v>0</v>
      </c>
      <c r="AW18" s="30">
        <f t="shared" si="15"/>
        <v>0</v>
      </c>
      <c r="AX18" s="30">
        <f t="shared" si="16"/>
        <v>0</v>
      </c>
      <c r="AY18" s="31" t="s">
        <v>58</v>
      </c>
      <c r="AZ18" s="31" t="s">
        <v>59</v>
      </c>
      <c r="BA18" s="10" t="s">
        <v>60</v>
      </c>
      <c r="BC18" s="30">
        <f t="shared" si="17"/>
        <v>0</v>
      </c>
      <c r="BD18" s="30">
        <f t="shared" si="18"/>
        <v>0</v>
      </c>
      <c r="BE18" s="30">
        <v>0</v>
      </c>
      <c r="BF18" s="30">
        <f>18</f>
        <v>18</v>
      </c>
      <c r="BH18" s="30">
        <f t="shared" si="19"/>
        <v>0</v>
      </c>
      <c r="BI18" s="30">
        <f t="shared" si="20"/>
        <v>0</v>
      </c>
      <c r="BJ18" s="30">
        <f t="shared" si="21"/>
        <v>0</v>
      </c>
      <c r="BK18" s="30"/>
      <c r="BL18" s="30">
        <v>34</v>
      </c>
      <c r="BW18" s="30">
        <v>12</v>
      </c>
      <c r="BX18" s="4" t="s">
        <v>76</v>
      </c>
    </row>
    <row r="19" spans="1:76" x14ac:dyDescent="0.25">
      <c r="A19" s="32" t="s">
        <v>77</v>
      </c>
      <c r="B19" s="33" t="s">
        <v>78</v>
      </c>
      <c r="C19" s="141" t="s">
        <v>79</v>
      </c>
      <c r="D19" s="142"/>
      <c r="E19" s="33" t="s">
        <v>80</v>
      </c>
      <c r="F19" s="34">
        <v>0.15525</v>
      </c>
      <c r="G19" s="35">
        <v>0</v>
      </c>
      <c r="H19" s="34">
        <f t="shared" si="0"/>
        <v>0</v>
      </c>
      <c r="I19" s="34">
        <f t="shared" si="1"/>
        <v>0</v>
      </c>
      <c r="J19" s="34">
        <f t="shared" si="2"/>
        <v>0</v>
      </c>
      <c r="K19" s="36" t="s">
        <v>57</v>
      </c>
      <c r="Z19" s="30">
        <f t="shared" si="3"/>
        <v>0</v>
      </c>
      <c r="AB19" s="30">
        <f t="shared" si="4"/>
        <v>0</v>
      </c>
      <c r="AC19" s="30">
        <f t="shared" si="5"/>
        <v>0</v>
      </c>
      <c r="AD19" s="30">
        <f t="shared" si="6"/>
        <v>0</v>
      </c>
      <c r="AE19" s="30">
        <f t="shared" si="7"/>
        <v>0</v>
      </c>
      <c r="AF19" s="30">
        <f t="shared" si="8"/>
        <v>0</v>
      </c>
      <c r="AG19" s="30">
        <f t="shared" si="9"/>
        <v>0</v>
      </c>
      <c r="AH19" s="30">
        <f t="shared" si="10"/>
        <v>0</v>
      </c>
      <c r="AI19" s="10" t="s">
        <v>50</v>
      </c>
      <c r="AJ19" s="30">
        <f t="shared" si="11"/>
        <v>0</v>
      </c>
      <c r="AK19" s="30">
        <f t="shared" si="12"/>
        <v>0</v>
      </c>
      <c r="AL19" s="30">
        <f t="shared" si="13"/>
        <v>0</v>
      </c>
      <c r="AN19" s="30">
        <v>12</v>
      </c>
      <c r="AO19" s="30">
        <f>G19*0.050964151</f>
        <v>0</v>
      </c>
      <c r="AP19" s="30">
        <f>G19*(1-0.050964151)</f>
        <v>0</v>
      </c>
      <c r="AQ19" s="31" t="s">
        <v>53</v>
      </c>
      <c r="AV19" s="30">
        <f t="shared" si="14"/>
        <v>0</v>
      </c>
      <c r="AW19" s="30">
        <f t="shared" si="15"/>
        <v>0</v>
      </c>
      <c r="AX19" s="30">
        <f t="shared" si="16"/>
        <v>0</v>
      </c>
      <c r="AY19" s="31" t="s">
        <v>58</v>
      </c>
      <c r="AZ19" s="31" t="s">
        <v>59</v>
      </c>
      <c r="BA19" s="10" t="s">
        <v>60</v>
      </c>
      <c r="BC19" s="30">
        <f t="shared" si="17"/>
        <v>0</v>
      </c>
      <c r="BD19" s="30">
        <f t="shared" si="18"/>
        <v>0</v>
      </c>
      <c r="BE19" s="30">
        <v>0</v>
      </c>
      <c r="BF19" s="30">
        <f>19</f>
        <v>19</v>
      </c>
      <c r="BH19" s="30">
        <f t="shared" si="19"/>
        <v>0</v>
      </c>
      <c r="BI19" s="30">
        <f t="shared" si="20"/>
        <v>0</v>
      </c>
      <c r="BJ19" s="30">
        <f t="shared" si="21"/>
        <v>0</v>
      </c>
      <c r="BK19" s="30"/>
      <c r="BL19" s="30">
        <v>34</v>
      </c>
      <c r="BW19" s="30">
        <v>12</v>
      </c>
      <c r="BX19" s="4" t="s">
        <v>79</v>
      </c>
    </row>
    <row r="20" spans="1:76" x14ac:dyDescent="0.25">
      <c r="A20" s="32" t="s">
        <v>81</v>
      </c>
      <c r="B20" s="33" t="s">
        <v>82</v>
      </c>
      <c r="C20" s="141" t="s">
        <v>83</v>
      </c>
      <c r="D20" s="142"/>
      <c r="E20" s="33" t="s">
        <v>64</v>
      </c>
      <c r="F20" s="34">
        <v>3.6360000000000001</v>
      </c>
      <c r="G20" s="35">
        <v>0</v>
      </c>
      <c r="H20" s="34">
        <f t="shared" si="0"/>
        <v>0</v>
      </c>
      <c r="I20" s="34">
        <f t="shared" si="1"/>
        <v>0</v>
      </c>
      <c r="J20" s="34">
        <f t="shared" si="2"/>
        <v>0</v>
      </c>
      <c r="K20" s="36" t="s">
        <v>57</v>
      </c>
      <c r="Z20" s="30">
        <f t="shared" si="3"/>
        <v>0</v>
      </c>
      <c r="AB20" s="30">
        <f t="shared" si="4"/>
        <v>0</v>
      </c>
      <c r="AC20" s="30">
        <f t="shared" si="5"/>
        <v>0</v>
      </c>
      <c r="AD20" s="30">
        <f t="shared" si="6"/>
        <v>0</v>
      </c>
      <c r="AE20" s="30">
        <f t="shared" si="7"/>
        <v>0</v>
      </c>
      <c r="AF20" s="30">
        <f t="shared" si="8"/>
        <v>0</v>
      </c>
      <c r="AG20" s="30">
        <f t="shared" si="9"/>
        <v>0</v>
      </c>
      <c r="AH20" s="30">
        <f t="shared" si="10"/>
        <v>0</v>
      </c>
      <c r="AI20" s="10" t="s">
        <v>50</v>
      </c>
      <c r="AJ20" s="30">
        <f t="shared" si="11"/>
        <v>0</v>
      </c>
      <c r="AK20" s="30">
        <f t="shared" si="12"/>
        <v>0</v>
      </c>
      <c r="AL20" s="30">
        <f t="shared" si="13"/>
        <v>0</v>
      </c>
      <c r="AN20" s="30">
        <v>12</v>
      </c>
      <c r="AO20" s="30">
        <f>G20*0.041648723</f>
        <v>0</v>
      </c>
      <c r="AP20" s="30">
        <f>G20*(1-0.041648723)</f>
        <v>0</v>
      </c>
      <c r="AQ20" s="31" t="s">
        <v>53</v>
      </c>
      <c r="AV20" s="30">
        <f t="shared" si="14"/>
        <v>0</v>
      </c>
      <c r="AW20" s="30">
        <f t="shared" si="15"/>
        <v>0</v>
      </c>
      <c r="AX20" s="30">
        <f t="shared" si="16"/>
        <v>0</v>
      </c>
      <c r="AY20" s="31" t="s">
        <v>58</v>
      </c>
      <c r="AZ20" s="31" t="s">
        <v>59</v>
      </c>
      <c r="BA20" s="10" t="s">
        <v>60</v>
      </c>
      <c r="BC20" s="30">
        <f t="shared" si="17"/>
        <v>0</v>
      </c>
      <c r="BD20" s="30">
        <f t="shared" si="18"/>
        <v>0</v>
      </c>
      <c r="BE20" s="30">
        <v>0</v>
      </c>
      <c r="BF20" s="30">
        <f>20</f>
        <v>20</v>
      </c>
      <c r="BH20" s="30">
        <f t="shared" si="19"/>
        <v>0</v>
      </c>
      <c r="BI20" s="30">
        <f t="shared" si="20"/>
        <v>0</v>
      </c>
      <c r="BJ20" s="30">
        <f t="shared" si="21"/>
        <v>0</v>
      </c>
      <c r="BK20" s="30"/>
      <c r="BL20" s="30">
        <v>34</v>
      </c>
      <c r="BW20" s="30">
        <v>12</v>
      </c>
      <c r="BX20" s="4" t="s">
        <v>83</v>
      </c>
    </row>
    <row r="21" spans="1:76" ht="13.5" customHeight="1" x14ac:dyDescent="0.25">
      <c r="A21" s="37"/>
      <c r="B21" s="38" t="s">
        <v>84</v>
      </c>
      <c r="C21" s="152" t="s">
        <v>85</v>
      </c>
      <c r="D21" s="153"/>
      <c r="E21" s="153"/>
      <c r="F21" s="153"/>
      <c r="G21" s="154"/>
      <c r="H21" s="153"/>
      <c r="I21" s="153"/>
      <c r="J21" s="153"/>
      <c r="K21" s="155"/>
    </row>
    <row r="22" spans="1:76" x14ac:dyDescent="0.25">
      <c r="A22" s="25" t="s">
        <v>86</v>
      </c>
      <c r="B22" s="26" t="s">
        <v>87</v>
      </c>
      <c r="C22" s="150" t="s">
        <v>88</v>
      </c>
      <c r="D22" s="151"/>
      <c r="E22" s="26" t="s">
        <v>56</v>
      </c>
      <c r="F22" s="27">
        <v>1</v>
      </c>
      <c r="G22" s="28">
        <v>0</v>
      </c>
      <c r="H22" s="27">
        <f>F22*AO22</f>
        <v>0</v>
      </c>
      <c r="I22" s="27">
        <f>F22*AP22</f>
        <v>0</v>
      </c>
      <c r="J22" s="27">
        <f>F22*G22</f>
        <v>0</v>
      </c>
      <c r="K22" s="29" t="s">
        <v>57</v>
      </c>
      <c r="Z22" s="30">
        <f>IF(AQ22="5",BJ22,0)</f>
        <v>0</v>
      </c>
      <c r="AB22" s="30">
        <f>IF(AQ22="1",BH22,0)</f>
        <v>0</v>
      </c>
      <c r="AC22" s="30">
        <f>IF(AQ22="1",BI22,0)</f>
        <v>0</v>
      </c>
      <c r="AD22" s="30">
        <f>IF(AQ22="7",BH22,0)</f>
        <v>0</v>
      </c>
      <c r="AE22" s="30">
        <f>IF(AQ22="7",BI22,0)</f>
        <v>0</v>
      </c>
      <c r="AF22" s="30">
        <f>IF(AQ22="2",BH22,0)</f>
        <v>0</v>
      </c>
      <c r="AG22" s="30">
        <f>IF(AQ22="2",BI22,0)</f>
        <v>0</v>
      </c>
      <c r="AH22" s="30">
        <f>IF(AQ22="0",BJ22,0)</f>
        <v>0</v>
      </c>
      <c r="AI22" s="10" t="s">
        <v>50</v>
      </c>
      <c r="AJ22" s="30">
        <f>IF(AN22=0,J22,0)</f>
        <v>0</v>
      </c>
      <c r="AK22" s="30">
        <f>IF(AN22=12,J22,0)</f>
        <v>0</v>
      </c>
      <c r="AL22" s="30">
        <f>IF(AN22=21,J22,0)</f>
        <v>0</v>
      </c>
      <c r="AN22" s="30">
        <v>12</v>
      </c>
      <c r="AO22" s="30">
        <f>G22*0.024978541</f>
        <v>0</v>
      </c>
      <c r="AP22" s="30">
        <f>G22*(1-0.024978541)</f>
        <v>0</v>
      </c>
      <c r="AQ22" s="31" t="s">
        <v>61</v>
      </c>
      <c r="AV22" s="30">
        <f>AW22+AX22</f>
        <v>0</v>
      </c>
      <c r="AW22" s="30">
        <f>F22*AO22</f>
        <v>0</v>
      </c>
      <c r="AX22" s="30">
        <f>F22*AP22</f>
        <v>0</v>
      </c>
      <c r="AY22" s="31" t="s">
        <v>58</v>
      </c>
      <c r="AZ22" s="31" t="s">
        <v>59</v>
      </c>
      <c r="BA22" s="10" t="s">
        <v>60</v>
      </c>
      <c r="BC22" s="30">
        <f>AW22+AX22</f>
        <v>0</v>
      </c>
      <c r="BD22" s="30">
        <f>G22/(100-BE22)*100</f>
        <v>0</v>
      </c>
      <c r="BE22" s="30">
        <v>0</v>
      </c>
      <c r="BF22" s="30">
        <f>22</f>
        <v>22</v>
      </c>
      <c r="BH22" s="30">
        <f>F22*AO22</f>
        <v>0</v>
      </c>
      <c r="BI22" s="30">
        <f>F22*AP22</f>
        <v>0</v>
      </c>
      <c r="BJ22" s="30">
        <f>F22*G22</f>
        <v>0</v>
      </c>
      <c r="BK22" s="30"/>
      <c r="BL22" s="30">
        <v>34</v>
      </c>
      <c r="BW22" s="30">
        <v>12</v>
      </c>
      <c r="BX22" s="4" t="s">
        <v>88</v>
      </c>
    </row>
    <row r="23" spans="1:76" ht="13.5" customHeight="1" x14ac:dyDescent="0.25">
      <c r="A23" s="37"/>
      <c r="B23" s="38" t="s">
        <v>84</v>
      </c>
      <c r="C23" s="152" t="s">
        <v>89</v>
      </c>
      <c r="D23" s="153"/>
      <c r="E23" s="153"/>
      <c r="F23" s="153"/>
      <c r="G23" s="154"/>
      <c r="H23" s="153"/>
      <c r="I23" s="153"/>
      <c r="J23" s="153"/>
      <c r="K23" s="155"/>
    </row>
    <row r="24" spans="1:76" x14ac:dyDescent="0.25">
      <c r="A24" s="25" t="s">
        <v>90</v>
      </c>
      <c r="B24" s="26" t="s">
        <v>91</v>
      </c>
      <c r="C24" s="150" t="s">
        <v>92</v>
      </c>
      <c r="D24" s="151"/>
      <c r="E24" s="26" t="s">
        <v>56</v>
      </c>
      <c r="F24" s="27">
        <v>3</v>
      </c>
      <c r="G24" s="28">
        <v>0</v>
      </c>
      <c r="H24" s="27">
        <f>F24*AO24</f>
        <v>0</v>
      </c>
      <c r="I24" s="27">
        <f>F24*AP24</f>
        <v>0</v>
      </c>
      <c r="J24" s="27">
        <f>F24*G24</f>
        <v>0</v>
      </c>
      <c r="K24" s="29" t="s">
        <v>57</v>
      </c>
      <c r="Z24" s="30">
        <f>IF(AQ24="5",BJ24,0)</f>
        <v>0</v>
      </c>
      <c r="AB24" s="30">
        <f>IF(AQ24="1",BH24,0)</f>
        <v>0</v>
      </c>
      <c r="AC24" s="30">
        <f>IF(AQ24="1",BI24,0)</f>
        <v>0</v>
      </c>
      <c r="AD24" s="30">
        <f>IF(AQ24="7",BH24,0)</f>
        <v>0</v>
      </c>
      <c r="AE24" s="30">
        <f>IF(AQ24="7",BI24,0)</f>
        <v>0</v>
      </c>
      <c r="AF24" s="30">
        <f>IF(AQ24="2",BH24,0)</f>
        <v>0</v>
      </c>
      <c r="AG24" s="30">
        <f>IF(AQ24="2",BI24,0)</f>
        <v>0</v>
      </c>
      <c r="AH24" s="30">
        <f>IF(AQ24="0",BJ24,0)</f>
        <v>0</v>
      </c>
      <c r="AI24" s="10" t="s">
        <v>50</v>
      </c>
      <c r="AJ24" s="30">
        <f>IF(AN24=0,J24,0)</f>
        <v>0</v>
      </c>
      <c r="AK24" s="30">
        <f>IF(AN24=12,J24,0)</f>
        <v>0</v>
      </c>
      <c r="AL24" s="30">
        <f>IF(AN24=21,J24,0)</f>
        <v>0</v>
      </c>
      <c r="AN24" s="30">
        <v>12</v>
      </c>
      <c r="AO24" s="30">
        <f>G24*0.019495677</f>
        <v>0</v>
      </c>
      <c r="AP24" s="30">
        <f>G24*(1-0.019495677)</f>
        <v>0</v>
      </c>
      <c r="AQ24" s="31" t="s">
        <v>61</v>
      </c>
      <c r="AV24" s="30">
        <f>AW24+AX24</f>
        <v>0</v>
      </c>
      <c r="AW24" s="30">
        <f>F24*AO24</f>
        <v>0</v>
      </c>
      <c r="AX24" s="30">
        <f>F24*AP24</f>
        <v>0</v>
      </c>
      <c r="AY24" s="31" t="s">
        <v>58</v>
      </c>
      <c r="AZ24" s="31" t="s">
        <v>59</v>
      </c>
      <c r="BA24" s="10" t="s">
        <v>60</v>
      </c>
      <c r="BC24" s="30">
        <f>AW24+AX24</f>
        <v>0</v>
      </c>
      <c r="BD24" s="30">
        <f>G24/(100-BE24)*100</f>
        <v>0</v>
      </c>
      <c r="BE24" s="30">
        <v>0</v>
      </c>
      <c r="BF24" s="30">
        <f>24</f>
        <v>24</v>
      </c>
      <c r="BH24" s="30">
        <f>F24*AO24</f>
        <v>0</v>
      </c>
      <c r="BI24" s="30">
        <f>F24*AP24</f>
        <v>0</v>
      </c>
      <c r="BJ24" s="30">
        <f>F24*G24</f>
        <v>0</v>
      </c>
      <c r="BK24" s="30"/>
      <c r="BL24" s="30">
        <v>34</v>
      </c>
      <c r="BW24" s="30">
        <v>12</v>
      </c>
      <c r="BX24" s="4" t="s">
        <v>92</v>
      </c>
    </row>
    <row r="25" spans="1:76" ht="13.5" customHeight="1" x14ac:dyDescent="0.25">
      <c r="A25" s="37"/>
      <c r="B25" s="38" t="s">
        <v>84</v>
      </c>
      <c r="C25" s="152" t="s">
        <v>89</v>
      </c>
      <c r="D25" s="153"/>
      <c r="E25" s="153"/>
      <c r="F25" s="153"/>
      <c r="G25" s="154"/>
      <c r="H25" s="153"/>
      <c r="I25" s="153"/>
      <c r="J25" s="153"/>
      <c r="K25" s="155"/>
    </row>
    <row r="26" spans="1:76" x14ac:dyDescent="0.25">
      <c r="A26" s="25" t="s">
        <v>93</v>
      </c>
      <c r="B26" s="26" t="s">
        <v>94</v>
      </c>
      <c r="C26" s="150" t="s">
        <v>95</v>
      </c>
      <c r="D26" s="151"/>
      <c r="E26" s="26" t="s">
        <v>56</v>
      </c>
      <c r="F26" s="27">
        <v>3</v>
      </c>
      <c r="G26" s="28">
        <v>0</v>
      </c>
      <c r="H26" s="27">
        <f t="shared" ref="H26:H33" si="22">F26*AO26</f>
        <v>0</v>
      </c>
      <c r="I26" s="27">
        <f t="shared" ref="I26:I33" si="23">F26*AP26</f>
        <v>0</v>
      </c>
      <c r="J26" s="27">
        <f t="shared" ref="J26:J33" si="24">F26*G26</f>
        <v>0</v>
      </c>
      <c r="K26" s="29" t="s">
        <v>57</v>
      </c>
      <c r="Z26" s="30">
        <f t="shared" ref="Z26:Z33" si="25">IF(AQ26="5",BJ26,0)</f>
        <v>0</v>
      </c>
      <c r="AB26" s="30">
        <f t="shared" ref="AB26:AB33" si="26">IF(AQ26="1",BH26,0)</f>
        <v>0</v>
      </c>
      <c r="AC26" s="30">
        <f t="shared" ref="AC26:AC33" si="27">IF(AQ26="1",BI26,0)</f>
        <v>0</v>
      </c>
      <c r="AD26" s="30">
        <f t="shared" ref="AD26:AD33" si="28">IF(AQ26="7",BH26,0)</f>
        <v>0</v>
      </c>
      <c r="AE26" s="30">
        <f t="shared" ref="AE26:AE33" si="29">IF(AQ26="7",BI26,0)</f>
        <v>0</v>
      </c>
      <c r="AF26" s="30">
        <f t="shared" ref="AF26:AF33" si="30">IF(AQ26="2",BH26,0)</f>
        <v>0</v>
      </c>
      <c r="AG26" s="30">
        <f t="shared" ref="AG26:AG33" si="31">IF(AQ26="2",BI26,0)</f>
        <v>0</v>
      </c>
      <c r="AH26" s="30">
        <f t="shared" ref="AH26:AH33" si="32">IF(AQ26="0",BJ26,0)</f>
        <v>0</v>
      </c>
      <c r="AI26" s="10" t="s">
        <v>50</v>
      </c>
      <c r="AJ26" s="30">
        <f t="shared" ref="AJ26:AJ33" si="33">IF(AN26=0,J26,0)</f>
        <v>0</v>
      </c>
      <c r="AK26" s="30">
        <f t="shared" ref="AK26:AK33" si="34">IF(AN26=12,J26,0)</f>
        <v>0</v>
      </c>
      <c r="AL26" s="30">
        <f t="shared" ref="AL26:AL33" si="35">IF(AN26=21,J26,0)</f>
        <v>0</v>
      </c>
      <c r="AN26" s="30">
        <v>12</v>
      </c>
      <c r="AO26" s="30">
        <f>G26*0.185462069</f>
        <v>0</v>
      </c>
      <c r="AP26" s="30">
        <f>G26*(1-0.185462069)</f>
        <v>0</v>
      </c>
      <c r="AQ26" s="31" t="s">
        <v>53</v>
      </c>
      <c r="AV26" s="30">
        <f t="shared" ref="AV26:AV33" si="36">AW26+AX26</f>
        <v>0</v>
      </c>
      <c r="AW26" s="30">
        <f t="shared" ref="AW26:AW33" si="37">F26*AO26</f>
        <v>0</v>
      </c>
      <c r="AX26" s="30">
        <f t="shared" ref="AX26:AX33" si="38">F26*AP26</f>
        <v>0</v>
      </c>
      <c r="AY26" s="31" t="s">
        <v>58</v>
      </c>
      <c r="AZ26" s="31" t="s">
        <v>59</v>
      </c>
      <c r="BA26" s="10" t="s">
        <v>60</v>
      </c>
      <c r="BC26" s="30">
        <f t="shared" ref="BC26:BC33" si="39">AW26+AX26</f>
        <v>0</v>
      </c>
      <c r="BD26" s="30">
        <f t="shared" ref="BD26:BD33" si="40">G26/(100-BE26)*100</f>
        <v>0</v>
      </c>
      <c r="BE26" s="30">
        <v>0</v>
      </c>
      <c r="BF26" s="30">
        <f>26</f>
        <v>26</v>
      </c>
      <c r="BH26" s="30">
        <f t="shared" ref="BH26:BH33" si="41">F26*AO26</f>
        <v>0</v>
      </c>
      <c r="BI26" s="30">
        <f t="shared" ref="BI26:BI33" si="42">F26*AP26</f>
        <v>0</v>
      </c>
      <c r="BJ26" s="30">
        <f t="shared" ref="BJ26:BJ33" si="43">F26*G26</f>
        <v>0</v>
      </c>
      <c r="BK26" s="30"/>
      <c r="BL26" s="30">
        <v>34</v>
      </c>
      <c r="BW26" s="30">
        <v>12</v>
      </c>
      <c r="BX26" s="4" t="s">
        <v>95</v>
      </c>
    </row>
    <row r="27" spans="1:76" x14ac:dyDescent="0.25">
      <c r="A27" s="32" t="s">
        <v>96</v>
      </c>
      <c r="B27" s="33" t="s">
        <v>97</v>
      </c>
      <c r="C27" s="141" t="s">
        <v>98</v>
      </c>
      <c r="D27" s="142"/>
      <c r="E27" s="33" t="s">
        <v>99</v>
      </c>
      <c r="F27" s="34">
        <v>60</v>
      </c>
      <c r="G27" s="35">
        <v>0</v>
      </c>
      <c r="H27" s="34">
        <f t="shared" si="22"/>
        <v>0</v>
      </c>
      <c r="I27" s="34">
        <f t="shared" si="23"/>
        <v>0</v>
      </c>
      <c r="J27" s="34">
        <f t="shared" si="24"/>
        <v>0</v>
      </c>
      <c r="K27" s="36" t="s">
        <v>57</v>
      </c>
      <c r="Z27" s="30">
        <f t="shared" si="25"/>
        <v>0</v>
      </c>
      <c r="AB27" s="30">
        <f t="shared" si="26"/>
        <v>0</v>
      </c>
      <c r="AC27" s="30">
        <f t="shared" si="27"/>
        <v>0</v>
      </c>
      <c r="AD27" s="30">
        <f t="shared" si="28"/>
        <v>0</v>
      </c>
      <c r="AE27" s="30">
        <f t="shared" si="29"/>
        <v>0</v>
      </c>
      <c r="AF27" s="30">
        <f t="shared" si="30"/>
        <v>0</v>
      </c>
      <c r="AG27" s="30">
        <f t="shared" si="31"/>
        <v>0</v>
      </c>
      <c r="AH27" s="30">
        <f t="shared" si="32"/>
        <v>0</v>
      </c>
      <c r="AI27" s="10" t="s">
        <v>50</v>
      </c>
      <c r="AJ27" s="30">
        <f t="shared" si="33"/>
        <v>0</v>
      </c>
      <c r="AK27" s="30">
        <f t="shared" si="34"/>
        <v>0</v>
      </c>
      <c r="AL27" s="30">
        <f t="shared" si="35"/>
        <v>0</v>
      </c>
      <c r="AN27" s="30">
        <v>12</v>
      </c>
      <c r="AO27" s="30">
        <f>G27*0.136679684</f>
        <v>0</v>
      </c>
      <c r="AP27" s="30">
        <f>G27*(1-0.136679684)</f>
        <v>0</v>
      </c>
      <c r="AQ27" s="31" t="s">
        <v>53</v>
      </c>
      <c r="AV27" s="30">
        <f t="shared" si="36"/>
        <v>0</v>
      </c>
      <c r="AW27" s="30">
        <f t="shared" si="37"/>
        <v>0</v>
      </c>
      <c r="AX27" s="30">
        <f t="shared" si="38"/>
        <v>0</v>
      </c>
      <c r="AY27" s="31" t="s">
        <v>58</v>
      </c>
      <c r="AZ27" s="31" t="s">
        <v>59</v>
      </c>
      <c r="BA27" s="10" t="s">
        <v>60</v>
      </c>
      <c r="BC27" s="30">
        <f t="shared" si="39"/>
        <v>0</v>
      </c>
      <c r="BD27" s="30">
        <f t="shared" si="40"/>
        <v>0</v>
      </c>
      <c r="BE27" s="30">
        <v>0</v>
      </c>
      <c r="BF27" s="30">
        <f>27</f>
        <v>27</v>
      </c>
      <c r="BH27" s="30">
        <f t="shared" si="41"/>
        <v>0</v>
      </c>
      <c r="BI27" s="30">
        <f t="shared" si="42"/>
        <v>0</v>
      </c>
      <c r="BJ27" s="30">
        <f t="shared" si="43"/>
        <v>0</v>
      </c>
      <c r="BK27" s="30"/>
      <c r="BL27" s="30">
        <v>34</v>
      </c>
      <c r="BW27" s="30">
        <v>12</v>
      </c>
      <c r="BX27" s="4" t="s">
        <v>98</v>
      </c>
    </row>
    <row r="28" spans="1:76" x14ac:dyDescent="0.25">
      <c r="A28" s="32" t="s">
        <v>100</v>
      </c>
      <c r="B28" s="33" t="s">
        <v>101</v>
      </c>
      <c r="C28" s="141" t="s">
        <v>102</v>
      </c>
      <c r="D28" s="142"/>
      <c r="E28" s="33" t="s">
        <v>99</v>
      </c>
      <c r="F28" s="34">
        <v>133.25</v>
      </c>
      <c r="G28" s="35">
        <v>0</v>
      </c>
      <c r="H28" s="34">
        <f t="shared" si="22"/>
        <v>0</v>
      </c>
      <c r="I28" s="34">
        <f t="shared" si="23"/>
        <v>0</v>
      </c>
      <c r="J28" s="34">
        <f t="shared" si="24"/>
        <v>0</v>
      </c>
      <c r="K28" s="36" t="s">
        <v>57</v>
      </c>
      <c r="Z28" s="30">
        <f t="shared" si="25"/>
        <v>0</v>
      </c>
      <c r="AB28" s="30">
        <f t="shared" si="26"/>
        <v>0</v>
      </c>
      <c r="AC28" s="30">
        <f t="shared" si="27"/>
        <v>0</v>
      </c>
      <c r="AD28" s="30">
        <f t="shared" si="28"/>
        <v>0</v>
      </c>
      <c r="AE28" s="30">
        <f t="shared" si="29"/>
        <v>0</v>
      </c>
      <c r="AF28" s="30">
        <f t="shared" si="30"/>
        <v>0</v>
      </c>
      <c r="AG28" s="30">
        <f t="shared" si="31"/>
        <v>0</v>
      </c>
      <c r="AH28" s="30">
        <f t="shared" si="32"/>
        <v>0</v>
      </c>
      <c r="AI28" s="10" t="s">
        <v>50</v>
      </c>
      <c r="AJ28" s="30">
        <f t="shared" si="33"/>
        <v>0</v>
      </c>
      <c r="AK28" s="30">
        <f t="shared" si="34"/>
        <v>0</v>
      </c>
      <c r="AL28" s="30">
        <f t="shared" si="35"/>
        <v>0</v>
      </c>
      <c r="AN28" s="30">
        <v>12</v>
      </c>
      <c r="AO28" s="30">
        <f>G28*0.100006982</f>
        <v>0</v>
      </c>
      <c r="AP28" s="30">
        <f>G28*(1-0.100006982)</f>
        <v>0</v>
      </c>
      <c r="AQ28" s="31" t="s">
        <v>53</v>
      </c>
      <c r="AV28" s="30">
        <f t="shared" si="36"/>
        <v>0</v>
      </c>
      <c r="AW28" s="30">
        <f t="shared" si="37"/>
        <v>0</v>
      </c>
      <c r="AX28" s="30">
        <f t="shared" si="38"/>
        <v>0</v>
      </c>
      <c r="AY28" s="31" t="s">
        <v>58</v>
      </c>
      <c r="AZ28" s="31" t="s">
        <v>59</v>
      </c>
      <c r="BA28" s="10" t="s">
        <v>60</v>
      </c>
      <c r="BC28" s="30">
        <f t="shared" si="39"/>
        <v>0</v>
      </c>
      <c r="BD28" s="30">
        <f t="shared" si="40"/>
        <v>0</v>
      </c>
      <c r="BE28" s="30">
        <v>0</v>
      </c>
      <c r="BF28" s="30">
        <f>28</f>
        <v>28</v>
      </c>
      <c r="BH28" s="30">
        <f t="shared" si="41"/>
        <v>0</v>
      </c>
      <c r="BI28" s="30">
        <f t="shared" si="42"/>
        <v>0</v>
      </c>
      <c r="BJ28" s="30">
        <f t="shared" si="43"/>
        <v>0</v>
      </c>
      <c r="BK28" s="30"/>
      <c r="BL28" s="30">
        <v>34</v>
      </c>
      <c r="BW28" s="30">
        <v>12</v>
      </c>
      <c r="BX28" s="4" t="s">
        <v>102</v>
      </c>
    </row>
    <row r="29" spans="1:76" x14ac:dyDescent="0.25">
      <c r="A29" s="32" t="s">
        <v>103</v>
      </c>
      <c r="B29" s="33" t="s">
        <v>104</v>
      </c>
      <c r="C29" s="141" t="s">
        <v>105</v>
      </c>
      <c r="D29" s="142"/>
      <c r="E29" s="33" t="s">
        <v>99</v>
      </c>
      <c r="F29" s="34">
        <v>19.8</v>
      </c>
      <c r="G29" s="35">
        <v>0</v>
      </c>
      <c r="H29" s="34">
        <f t="shared" si="22"/>
        <v>0</v>
      </c>
      <c r="I29" s="34">
        <f t="shared" si="23"/>
        <v>0</v>
      </c>
      <c r="J29" s="34">
        <f t="shared" si="24"/>
        <v>0</v>
      </c>
      <c r="K29" s="36" t="s">
        <v>57</v>
      </c>
      <c r="Z29" s="30">
        <f t="shared" si="25"/>
        <v>0</v>
      </c>
      <c r="AB29" s="30">
        <f t="shared" si="26"/>
        <v>0</v>
      </c>
      <c r="AC29" s="30">
        <f t="shared" si="27"/>
        <v>0</v>
      </c>
      <c r="AD29" s="30">
        <f t="shared" si="28"/>
        <v>0</v>
      </c>
      <c r="AE29" s="30">
        <f t="shared" si="29"/>
        <v>0</v>
      </c>
      <c r="AF29" s="30">
        <f t="shared" si="30"/>
        <v>0</v>
      </c>
      <c r="AG29" s="30">
        <f t="shared" si="31"/>
        <v>0</v>
      </c>
      <c r="AH29" s="30">
        <f t="shared" si="32"/>
        <v>0</v>
      </c>
      <c r="AI29" s="10" t="s">
        <v>50</v>
      </c>
      <c r="AJ29" s="30">
        <f t="shared" si="33"/>
        <v>0</v>
      </c>
      <c r="AK29" s="30">
        <f t="shared" si="34"/>
        <v>0</v>
      </c>
      <c r="AL29" s="30">
        <f t="shared" si="35"/>
        <v>0</v>
      </c>
      <c r="AN29" s="30">
        <v>12</v>
      </c>
      <c r="AO29" s="30">
        <f>G29*0.10000704</f>
        <v>0</v>
      </c>
      <c r="AP29" s="30">
        <f>G29*(1-0.10000704)</f>
        <v>0</v>
      </c>
      <c r="AQ29" s="31" t="s">
        <v>53</v>
      </c>
      <c r="AV29" s="30">
        <f t="shared" si="36"/>
        <v>0</v>
      </c>
      <c r="AW29" s="30">
        <f t="shared" si="37"/>
        <v>0</v>
      </c>
      <c r="AX29" s="30">
        <f t="shared" si="38"/>
        <v>0</v>
      </c>
      <c r="AY29" s="31" t="s">
        <v>58</v>
      </c>
      <c r="AZ29" s="31" t="s">
        <v>59</v>
      </c>
      <c r="BA29" s="10" t="s">
        <v>60</v>
      </c>
      <c r="BC29" s="30">
        <f t="shared" si="39"/>
        <v>0</v>
      </c>
      <c r="BD29" s="30">
        <f t="shared" si="40"/>
        <v>0</v>
      </c>
      <c r="BE29" s="30">
        <v>0</v>
      </c>
      <c r="BF29" s="30">
        <f>29</f>
        <v>29</v>
      </c>
      <c r="BH29" s="30">
        <f t="shared" si="41"/>
        <v>0</v>
      </c>
      <c r="BI29" s="30">
        <f t="shared" si="42"/>
        <v>0</v>
      </c>
      <c r="BJ29" s="30">
        <f t="shared" si="43"/>
        <v>0</v>
      </c>
      <c r="BK29" s="30"/>
      <c r="BL29" s="30">
        <v>34</v>
      </c>
      <c r="BW29" s="30">
        <v>12</v>
      </c>
      <c r="BX29" s="4" t="s">
        <v>105</v>
      </c>
    </row>
    <row r="30" spans="1:76" x14ac:dyDescent="0.25">
      <c r="A30" s="32" t="s">
        <v>106</v>
      </c>
      <c r="B30" s="33" t="s">
        <v>107</v>
      </c>
      <c r="C30" s="141" t="s">
        <v>108</v>
      </c>
      <c r="D30" s="142"/>
      <c r="E30" s="33" t="s">
        <v>109</v>
      </c>
      <c r="F30" s="34">
        <v>3.3212000000000002</v>
      </c>
      <c r="G30" s="35">
        <v>0</v>
      </c>
      <c r="H30" s="34">
        <f t="shared" si="22"/>
        <v>0</v>
      </c>
      <c r="I30" s="34">
        <f t="shared" si="23"/>
        <v>0</v>
      </c>
      <c r="J30" s="34">
        <f t="shared" si="24"/>
        <v>0</v>
      </c>
      <c r="K30" s="36" t="s">
        <v>57</v>
      </c>
      <c r="Z30" s="30">
        <f t="shared" si="25"/>
        <v>0</v>
      </c>
      <c r="AB30" s="30">
        <f t="shared" si="26"/>
        <v>0</v>
      </c>
      <c r="AC30" s="30">
        <f t="shared" si="27"/>
        <v>0</v>
      </c>
      <c r="AD30" s="30">
        <f t="shared" si="28"/>
        <v>0</v>
      </c>
      <c r="AE30" s="30">
        <f t="shared" si="29"/>
        <v>0</v>
      </c>
      <c r="AF30" s="30">
        <f t="shared" si="30"/>
        <v>0</v>
      </c>
      <c r="AG30" s="30">
        <f t="shared" si="31"/>
        <v>0</v>
      </c>
      <c r="AH30" s="30">
        <f t="shared" si="32"/>
        <v>0</v>
      </c>
      <c r="AI30" s="10" t="s">
        <v>50</v>
      </c>
      <c r="AJ30" s="30">
        <f t="shared" si="33"/>
        <v>0</v>
      </c>
      <c r="AK30" s="30">
        <f t="shared" si="34"/>
        <v>0</v>
      </c>
      <c r="AL30" s="30">
        <f t="shared" si="35"/>
        <v>0</v>
      </c>
      <c r="AN30" s="30">
        <v>12</v>
      </c>
      <c r="AO30" s="30">
        <f>G30*0</f>
        <v>0</v>
      </c>
      <c r="AP30" s="30">
        <f>G30*(1-0)</f>
        <v>0</v>
      </c>
      <c r="AQ30" s="31" t="s">
        <v>71</v>
      </c>
      <c r="AV30" s="30">
        <f t="shared" si="36"/>
        <v>0</v>
      </c>
      <c r="AW30" s="30">
        <f t="shared" si="37"/>
        <v>0</v>
      </c>
      <c r="AX30" s="30">
        <f t="shared" si="38"/>
        <v>0</v>
      </c>
      <c r="AY30" s="31" t="s">
        <v>58</v>
      </c>
      <c r="AZ30" s="31" t="s">
        <v>59</v>
      </c>
      <c r="BA30" s="10" t="s">
        <v>60</v>
      </c>
      <c r="BC30" s="30">
        <f t="shared" si="39"/>
        <v>0</v>
      </c>
      <c r="BD30" s="30">
        <f t="shared" si="40"/>
        <v>0</v>
      </c>
      <c r="BE30" s="30">
        <v>0</v>
      </c>
      <c r="BF30" s="30">
        <f>30</f>
        <v>30</v>
      </c>
      <c r="BH30" s="30">
        <f t="shared" si="41"/>
        <v>0</v>
      </c>
      <c r="BI30" s="30">
        <f t="shared" si="42"/>
        <v>0</v>
      </c>
      <c r="BJ30" s="30">
        <f t="shared" si="43"/>
        <v>0</v>
      </c>
      <c r="BK30" s="30"/>
      <c r="BL30" s="30">
        <v>34</v>
      </c>
      <c r="BW30" s="30">
        <v>12</v>
      </c>
      <c r="BX30" s="4" t="s">
        <v>108</v>
      </c>
    </row>
    <row r="31" spans="1:76" x14ac:dyDescent="0.25">
      <c r="A31" s="32" t="s">
        <v>110</v>
      </c>
      <c r="B31" s="33" t="s">
        <v>111</v>
      </c>
      <c r="C31" s="141" t="s">
        <v>112</v>
      </c>
      <c r="D31" s="142"/>
      <c r="E31" s="33" t="s">
        <v>109</v>
      </c>
      <c r="F31" s="34">
        <v>3.3212000000000002</v>
      </c>
      <c r="G31" s="35">
        <v>0</v>
      </c>
      <c r="H31" s="34">
        <f t="shared" si="22"/>
        <v>0</v>
      </c>
      <c r="I31" s="34">
        <f t="shared" si="23"/>
        <v>0</v>
      </c>
      <c r="J31" s="34">
        <f t="shared" si="24"/>
        <v>0</v>
      </c>
      <c r="K31" s="36" t="s">
        <v>57</v>
      </c>
      <c r="Z31" s="30">
        <f t="shared" si="25"/>
        <v>0</v>
      </c>
      <c r="AB31" s="30">
        <f t="shared" si="26"/>
        <v>0</v>
      </c>
      <c r="AC31" s="30">
        <f t="shared" si="27"/>
        <v>0</v>
      </c>
      <c r="AD31" s="30">
        <f t="shared" si="28"/>
        <v>0</v>
      </c>
      <c r="AE31" s="30">
        <f t="shared" si="29"/>
        <v>0</v>
      </c>
      <c r="AF31" s="30">
        <f t="shared" si="30"/>
        <v>0</v>
      </c>
      <c r="AG31" s="30">
        <f t="shared" si="31"/>
        <v>0</v>
      </c>
      <c r="AH31" s="30">
        <f t="shared" si="32"/>
        <v>0</v>
      </c>
      <c r="AI31" s="10" t="s">
        <v>50</v>
      </c>
      <c r="AJ31" s="30">
        <f t="shared" si="33"/>
        <v>0</v>
      </c>
      <c r="AK31" s="30">
        <f t="shared" si="34"/>
        <v>0</v>
      </c>
      <c r="AL31" s="30">
        <f t="shared" si="35"/>
        <v>0</v>
      </c>
      <c r="AN31" s="30">
        <v>12</v>
      </c>
      <c r="AO31" s="30">
        <f>G31*0.010795562</f>
        <v>0</v>
      </c>
      <c r="AP31" s="30">
        <f>G31*(1-0.010795562)</f>
        <v>0</v>
      </c>
      <c r="AQ31" s="31" t="s">
        <v>71</v>
      </c>
      <c r="AV31" s="30">
        <f t="shared" si="36"/>
        <v>0</v>
      </c>
      <c r="AW31" s="30">
        <f t="shared" si="37"/>
        <v>0</v>
      </c>
      <c r="AX31" s="30">
        <f t="shared" si="38"/>
        <v>0</v>
      </c>
      <c r="AY31" s="31" t="s">
        <v>58</v>
      </c>
      <c r="AZ31" s="31" t="s">
        <v>59</v>
      </c>
      <c r="BA31" s="10" t="s">
        <v>60</v>
      </c>
      <c r="BC31" s="30">
        <f t="shared" si="39"/>
        <v>0</v>
      </c>
      <c r="BD31" s="30">
        <f t="shared" si="40"/>
        <v>0</v>
      </c>
      <c r="BE31" s="30">
        <v>0</v>
      </c>
      <c r="BF31" s="30">
        <f>31</f>
        <v>31</v>
      </c>
      <c r="BH31" s="30">
        <f t="shared" si="41"/>
        <v>0</v>
      </c>
      <c r="BI31" s="30">
        <f t="shared" si="42"/>
        <v>0</v>
      </c>
      <c r="BJ31" s="30">
        <f t="shared" si="43"/>
        <v>0</v>
      </c>
      <c r="BK31" s="30"/>
      <c r="BL31" s="30">
        <v>34</v>
      </c>
      <c r="BW31" s="30">
        <v>12</v>
      </c>
      <c r="BX31" s="4" t="s">
        <v>112</v>
      </c>
    </row>
    <row r="32" spans="1:76" x14ac:dyDescent="0.25">
      <c r="A32" s="32" t="s">
        <v>113</v>
      </c>
      <c r="B32" s="33" t="s">
        <v>114</v>
      </c>
      <c r="C32" s="141" t="s">
        <v>115</v>
      </c>
      <c r="D32" s="142"/>
      <c r="E32" s="33" t="s">
        <v>109</v>
      </c>
      <c r="F32" s="34">
        <v>3.3212000000000002</v>
      </c>
      <c r="G32" s="35">
        <v>0</v>
      </c>
      <c r="H32" s="34">
        <f t="shared" si="22"/>
        <v>0</v>
      </c>
      <c r="I32" s="34">
        <f t="shared" si="23"/>
        <v>0</v>
      </c>
      <c r="J32" s="34">
        <f t="shared" si="24"/>
        <v>0</v>
      </c>
      <c r="K32" s="36" t="s">
        <v>116</v>
      </c>
      <c r="Z32" s="30">
        <f t="shared" si="25"/>
        <v>0</v>
      </c>
      <c r="AB32" s="30">
        <f t="shared" si="26"/>
        <v>0</v>
      </c>
      <c r="AC32" s="30">
        <f t="shared" si="27"/>
        <v>0</v>
      </c>
      <c r="AD32" s="30">
        <f t="shared" si="28"/>
        <v>0</v>
      </c>
      <c r="AE32" s="30">
        <f t="shared" si="29"/>
        <v>0</v>
      </c>
      <c r="AF32" s="30">
        <f t="shared" si="30"/>
        <v>0</v>
      </c>
      <c r="AG32" s="30">
        <f t="shared" si="31"/>
        <v>0</v>
      </c>
      <c r="AH32" s="30">
        <f t="shared" si="32"/>
        <v>0</v>
      </c>
      <c r="AI32" s="10" t="s">
        <v>50</v>
      </c>
      <c r="AJ32" s="30">
        <f t="shared" si="33"/>
        <v>0</v>
      </c>
      <c r="AK32" s="30">
        <f t="shared" si="34"/>
        <v>0</v>
      </c>
      <c r="AL32" s="30">
        <f t="shared" si="35"/>
        <v>0</v>
      </c>
      <c r="AN32" s="30">
        <v>12</v>
      </c>
      <c r="AO32" s="30">
        <f>G32*0</f>
        <v>0</v>
      </c>
      <c r="AP32" s="30">
        <f>G32*(1-0)</f>
        <v>0</v>
      </c>
      <c r="AQ32" s="31" t="s">
        <v>71</v>
      </c>
      <c r="AV32" s="30">
        <f t="shared" si="36"/>
        <v>0</v>
      </c>
      <c r="AW32" s="30">
        <f t="shared" si="37"/>
        <v>0</v>
      </c>
      <c r="AX32" s="30">
        <f t="shared" si="38"/>
        <v>0</v>
      </c>
      <c r="AY32" s="31" t="s">
        <v>58</v>
      </c>
      <c r="AZ32" s="31" t="s">
        <v>59</v>
      </c>
      <c r="BA32" s="10" t="s">
        <v>60</v>
      </c>
      <c r="BC32" s="30">
        <f t="shared" si="39"/>
        <v>0</v>
      </c>
      <c r="BD32" s="30">
        <f t="shared" si="40"/>
        <v>0</v>
      </c>
      <c r="BE32" s="30">
        <v>0</v>
      </c>
      <c r="BF32" s="30">
        <f>32</f>
        <v>32</v>
      </c>
      <c r="BH32" s="30">
        <f t="shared" si="41"/>
        <v>0</v>
      </c>
      <c r="BI32" s="30">
        <f t="shared" si="42"/>
        <v>0</v>
      </c>
      <c r="BJ32" s="30">
        <f t="shared" si="43"/>
        <v>0</v>
      </c>
      <c r="BK32" s="30"/>
      <c r="BL32" s="30">
        <v>34</v>
      </c>
      <c r="BW32" s="30">
        <v>12</v>
      </c>
      <c r="BX32" s="4" t="s">
        <v>115</v>
      </c>
    </row>
    <row r="33" spans="1:76" x14ac:dyDescent="0.25">
      <c r="A33" s="32" t="s">
        <v>117</v>
      </c>
      <c r="B33" s="33" t="s">
        <v>118</v>
      </c>
      <c r="C33" s="141" t="s">
        <v>119</v>
      </c>
      <c r="D33" s="142"/>
      <c r="E33" s="33" t="s">
        <v>64</v>
      </c>
      <c r="F33" s="34">
        <v>1.35E-2</v>
      </c>
      <c r="G33" s="35">
        <v>0</v>
      </c>
      <c r="H33" s="34">
        <f t="shared" si="22"/>
        <v>0</v>
      </c>
      <c r="I33" s="34">
        <f t="shared" si="23"/>
        <v>0</v>
      </c>
      <c r="J33" s="34">
        <f t="shared" si="24"/>
        <v>0</v>
      </c>
      <c r="K33" s="36" t="s">
        <v>57</v>
      </c>
      <c r="Z33" s="30">
        <f t="shared" si="25"/>
        <v>0</v>
      </c>
      <c r="AB33" s="30">
        <f t="shared" si="26"/>
        <v>0</v>
      </c>
      <c r="AC33" s="30">
        <f t="shared" si="27"/>
        <v>0</v>
      </c>
      <c r="AD33" s="30">
        <f t="shared" si="28"/>
        <v>0</v>
      </c>
      <c r="AE33" s="30">
        <f t="shared" si="29"/>
        <v>0</v>
      </c>
      <c r="AF33" s="30">
        <f t="shared" si="30"/>
        <v>0</v>
      </c>
      <c r="AG33" s="30">
        <f t="shared" si="31"/>
        <v>0</v>
      </c>
      <c r="AH33" s="30">
        <f t="shared" si="32"/>
        <v>0</v>
      </c>
      <c r="AI33" s="10" t="s">
        <v>50</v>
      </c>
      <c r="AJ33" s="30">
        <f t="shared" si="33"/>
        <v>0</v>
      </c>
      <c r="AK33" s="30">
        <f t="shared" si="34"/>
        <v>0</v>
      </c>
      <c r="AL33" s="30">
        <f t="shared" si="35"/>
        <v>0</v>
      </c>
      <c r="AN33" s="30">
        <v>12</v>
      </c>
      <c r="AO33" s="30">
        <f>G33*0.481514551</f>
        <v>0</v>
      </c>
      <c r="AP33" s="30">
        <f>G33*(1-0.481514551)</f>
        <v>0</v>
      </c>
      <c r="AQ33" s="31" t="s">
        <v>53</v>
      </c>
      <c r="AV33" s="30">
        <f t="shared" si="36"/>
        <v>0</v>
      </c>
      <c r="AW33" s="30">
        <f t="shared" si="37"/>
        <v>0</v>
      </c>
      <c r="AX33" s="30">
        <f t="shared" si="38"/>
        <v>0</v>
      </c>
      <c r="AY33" s="31" t="s">
        <v>58</v>
      </c>
      <c r="AZ33" s="31" t="s">
        <v>59</v>
      </c>
      <c r="BA33" s="10" t="s">
        <v>60</v>
      </c>
      <c r="BC33" s="30">
        <f t="shared" si="39"/>
        <v>0</v>
      </c>
      <c r="BD33" s="30">
        <f t="shared" si="40"/>
        <v>0</v>
      </c>
      <c r="BE33" s="30">
        <v>0</v>
      </c>
      <c r="BF33" s="30">
        <f>33</f>
        <v>33</v>
      </c>
      <c r="BH33" s="30">
        <f t="shared" si="41"/>
        <v>0</v>
      </c>
      <c r="BI33" s="30">
        <f t="shared" si="42"/>
        <v>0</v>
      </c>
      <c r="BJ33" s="30">
        <f t="shared" si="43"/>
        <v>0</v>
      </c>
      <c r="BK33" s="30"/>
      <c r="BL33" s="30">
        <v>34</v>
      </c>
      <c r="BW33" s="30">
        <v>12</v>
      </c>
      <c r="BX33" s="4" t="s">
        <v>119</v>
      </c>
    </row>
    <row r="34" spans="1:76" ht="13.5" customHeight="1" x14ac:dyDescent="0.25">
      <c r="A34" s="37"/>
      <c r="B34" s="38" t="s">
        <v>84</v>
      </c>
      <c r="C34" s="152" t="s">
        <v>120</v>
      </c>
      <c r="D34" s="153"/>
      <c r="E34" s="153"/>
      <c r="F34" s="153"/>
      <c r="G34" s="154"/>
      <c r="H34" s="153"/>
      <c r="I34" s="153"/>
      <c r="J34" s="153"/>
      <c r="K34" s="155"/>
    </row>
    <row r="35" spans="1:76" x14ac:dyDescent="0.25">
      <c r="A35" s="25" t="s">
        <v>121</v>
      </c>
      <c r="B35" s="26" t="s">
        <v>122</v>
      </c>
      <c r="C35" s="150" t="s">
        <v>123</v>
      </c>
      <c r="D35" s="151"/>
      <c r="E35" s="26" t="s">
        <v>99</v>
      </c>
      <c r="F35" s="27">
        <v>8.4499999999999993</v>
      </c>
      <c r="G35" s="28">
        <v>0</v>
      </c>
      <c r="H35" s="27">
        <f>F35*AO35</f>
        <v>0</v>
      </c>
      <c r="I35" s="27">
        <f>F35*AP35</f>
        <v>0</v>
      </c>
      <c r="J35" s="27">
        <f>F35*G35</f>
        <v>0</v>
      </c>
      <c r="K35" s="29" t="s">
        <v>57</v>
      </c>
      <c r="Z35" s="30">
        <f>IF(AQ35="5",BJ35,0)</f>
        <v>0</v>
      </c>
      <c r="AB35" s="30">
        <f>IF(AQ35="1",BH35,0)</f>
        <v>0</v>
      </c>
      <c r="AC35" s="30">
        <f>IF(AQ35="1",BI35,0)</f>
        <v>0</v>
      </c>
      <c r="AD35" s="30">
        <f>IF(AQ35="7",BH35,0)</f>
        <v>0</v>
      </c>
      <c r="AE35" s="30">
        <f>IF(AQ35="7",BI35,0)</f>
        <v>0</v>
      </c>
      <c r="AF35" s="30">
        <f>IF(AQ35="2",BH35,0)</f>
        <v>0</v>
      </c>
      <c r="AG35" s="30">
        <f>IF(AQ35="2",BI35,0)</f>
        <v>0</v>
      </c>
      <c r="AH35" s="30">
        <f>IF(AQ35="0",BJ35,0)</f>
        <v>0</v>
      </c>
      <c r="AI35" s="10" t="s">
        <v>50</v>
      </c>
      <c r="AJ35" s="30">
        <f>IF(AN35=0,J35,0)</f>
        <v>0</v>
      </c>
      <c r="AK35" s="30">
        <f>IF(AN35=12,J35,0)</f>
        <v>0</v>
      </c>
      <c r="AL35" s="30">
        <f>IF(AN35=21,J35,0)</f>
        <v>0</v>
      </c>
      <c r="AN35" s="30">
        <v>12</v>
      </c>
      <c r="AO35" s="30">
        <f>G35*0.035148282</f>
        <v>0</v>
      </c>
      <c r="AP35" s="30">
        <f>G35*(1-0.035148282)</f>
        <v>0</v>
      </c>
      <c r="AQ35" s="31" t="s">
        <v>53</v>
      </c>
      <c r="AV35" s="30">
        <f>AW35+AX35</f>
        <v>0</v>
      </c>
      <c r="AW35" s="30">
        <f>F35*AO35</f>
        <v>0</v>
      </c>
      <c r="AX35" s="30">
        <f>F35*AP35</f>
        <v>0</v>
      </c>
      <c r="AY35" s="31" t="s">
        <v>58</v>
      </c>
      <c r="AZ35" s="31" t="s">
        <v>59</v>
      </c>
      <c r="BA35" s="10" t="s">
        <v>60</v>
      </c>
      <c r="BC35" s="30">
        <f>AW35+AX35</f>
        <v>0</v>
      </c>
      <c r="BD35" s="30">
        <f>G35/(100-BE35)*100</f>
        <v>0</v>
      </c>
      <c r="BE35" s="30">
        <v>0</v>
      </c>
      <c r="BF35" s="30">
        <f>35</f>
        <v>35</v>
      </c>
      <c r="BH35" s="30">
        <f>F35*AO35</f>
        <v>0</v>
      </c>
      <c r="BI35" s="30">
        <f>F35*AP35</f>
        <v>0</v>
      </c>
      <c r="BJ35" s="30">
        <f>F35*G35</f>
        <v>0</v>
      </c>
      <c r="BK35" s="30"/>
      <c r="BL35" s="30">
        <v>34</v>
      </c>
      <c r="BW35" s="30">
        <v>12</v>
      </c>
      <c r="BX35" s="4" t="s">
        <v>123</v>
      </c>
    </row>
    <row r="36" spans="1:76" x14ac:dyDescent="0.25">
      <c r="A36" s="32" t="s">
        <v>124</v>
      </c>
      <c r="B36" s="33" t="s">
        <v>125</v>
      </c>
      <c r="C36" s="141" t="s">
        <v>126</v>
      </c>
      <c r="D36" s="142"/>
      <c r="E36" s="33" t="s">
        <v>64</v>
      </c>
      <c r="F36" s="34">
        <v>4.3014999999999999</v>
      </c>
      <c r="G36" s="35">
        <v>0</v>
      </c>
      <c r="H36" s="34">
        <f>F36*AO36</f>
        <v>0</v>
      </c>
      <c r="I36" s="34">
        <f>F36*AP36</f>
        <v>0</v>
      </c>
      <c r="J36" s="34">
        <f>F36*G36</f>
        <v>0</v>
      </c>
      <c r="K36" s="36" t="s">
        <v>57</v>
      </c>
      <c r="Z36" s="30">
        <f>IF(AQ36="5",BJ36,0)</f>
        <v>0</v>
      </c>
      <c r="AB36" s="30">
        <f>IF(AQ36="1",BH36,0)</f>
        <v>0</v>
      </c>
      <c r="AC36" s="30">
        <f>IF(AQ36="1",BI36,0)</f>
        <v>0</v>
      </c>
      <c r="AD36" s="30">
        <f>IF(AQ36="7",BH36,0)</f>
        <v>0</v>
      </c>
      <c r="AE36" s="30">
        <f>IF(AQ36="7",BI36,0)</f>
        <v>0</v>
      </c>
      <c r="AF36" s="30">
        <f>IF(AQ36="2",BH36,0)</f>
        <v>0</v>
      </c>
      <c r="AG36" s="30">
        <f>IF(AQ36="2",BI36,0)</f>
        <v>0</v>
      </c>
      <c r="AH36" s="30">
        <f>IF(AQ36="0",BJ36,0)</f>
        <v>0</v>
      </c>
      <c r="AI36" s="10" t="s">
        <v>50</v>
      </c>
      <c r="AJ36" s="30">
        <f>IF(AN36=0,J36,0)</f>
        <v>0</v>
      </c>
      <c r="AK36" s="30">
        <f>IF(AN36=12,J36,0)</f>
        <v>0</v>
      </c>
      <c r="AL36" s="30">
        <f>IF(AN36=21,J36,0)</f>
        <v>0</v>
      </c>
      <c r="AN36" s="30">
        <v>12</v>
      </c>
      <c r="AO36" s="30">
        <f>G36*0.1096089</f>
        <v>0</v>
      </c>
      <c r="AP36" s="30">
        <f>G36*(1-0.1096089)</f>
        <v>0</v>
      </c>
      <c r="AQ36" s="31" t="s">
        <v>53</v>
      </c>
      <c r="AV36" s="30">
        <f>AW36+AX36</f>
        <v>0</v>
      </c>
      <c r="AW36" s="30">
        <f>F36*AO36</f>
        <v>0</v>
      </c>
      <c r="AX36" s="30">
        <f>F36*AP36</f>
        <v>0</v>
      </c>
      <c r="AY36" s="31" t="s">
        <v>58</v>
      </c>
      <c r="AZ36" s="31" t="s">
        <v>59</v>
      </c>
      <c r="BA36" s="10" t="s">
        <v>60</v>
      </c>
      <c r="BC36" s="30">
        <f>AW36+AX36</f>
        <v>0</v>
      </c>
      <c r="BD36" s="30">
        <f>G36/(100-BE36)*100</f>
        <v>0</v>
      </c>
      <c r="BE36" s="30">
        <v>0</v>
      </c>
      <c r="BF36" s="30">
        <f>36</f>
        <v>36</v>
      </c>
      <c r="BH36" s="30">
        <f>F36*AO36</f>
        <v>0</v>
      </c>
      <c r="BI36" s="30">
        <f>F36*AP36</f>
        <v>0</v>
      </c>
      <c r="BJ36" s="30">
        <f>F36*G36</f>
        <v>0</v>
      </c>
      <c r="BK36" s="30"/>
      <c r="BL36" s="30">
        <v>34</v>
      </c>
      <c r="BW36" s="30">
        <v>12</v>
      </c>
      <c r="BX36" s="4" t="s">
        <v>126</v>
      </c>
    </row>
    <row r="37" spans="1:76" ht="13.5" customHeight="1" x14ac:dyDescent="0.25">
      <c r="A37" s="37"/>
      <c r="B37" s="38" t="s">
        <v>84</v>
      </c>
      <c r="C37" s="152" t="s">
        <v>127</v>
      </c>
      <c r="D37" s="153"/>
      <c r="E37" s="153"/>
      <c r="F37" s="153"/>
      <c r="G37" s="154"/>
      <c r="H37" s="153"/>
      <c r="I37" s="153"/>
      <c r="J37" s="153"/>
      <c r="K37" s="155"/>
    </row>
    <row r="38" spans="1:76" x14ac:dyDescent="0.25">
      <c r="A38" s="25" t="s">
        <v>128</v>
      </c>
      <c r="B38" s="26" t="s">
        <v>129</v>
      </c>
      <c r="C38" s="150" t="s">
        <v>130</v>
      </c>
      <c r="D38" s="151"/>
      <c r="E38" s="26" t="s">
        <v>80</v>
      </c>
      <c r="F38" s="27">
        <v>0.11541999999999999</v>
      </c>
      <c r="G38" s="28">
        <v>0</v>
      </c>
      <c r="H38" s="27">
        <f>F38*AO38</f>
        <v>0</v>
      </c>
      <c r="I38" s="27">
        <f>F38*AP38</f>
        <v>0</v>
      </c>
      <c r="J38" s="27">
        <f>F38*G38</f>
        <v>0</v>
      </c>
      <c r="K38" s="29" t="s">
        <v>57</v>
      </c>
      <c r="Z38" s="30">
        <f>IF(AQ38="5",BJ38,0)</f>
        <v>0</v>
      </c>
      <c r="AB38" s="30">
        <f>IF(AQ38="1",BH38,0)</f>
        <v>0</v>
      </c>
      <c r="AC38" s="30">
        <f>IF(AQ38="1",BI38,0)</f>
        <v>0</v>
      </c>
      <c r="AD38" s="30">
        <f>IF(AQ38="7",BH38,0)</f>
        <v>0</v>
      </c>
      <c r="AE38" s="30">
        <f>IF(AQ38="7",BI38,0)</f>
        <v>0</v>
      </c>
      <c r="AF38" s="30">
        <f>IF(AQ38="2",BH38,0)</f>
        <v>0</v>
      </c>
      <c r="AG38" s="30">
        <f>IF(AQ38="2",BI38,0)</f>
        <v>0</v>
      </c>
      <c r="AH38" s="30">
        <f>IF(AQ38="0",BJ38,0)</f>
        <v>0</v>
      </c>
      <c r="AI38" s="10" t="s">
        <v>50</v>
      </c>
      <c r="AJ38" s="30">
        <f>IF(AN38=0,J38,0)</f>
        <v>0</v>
      </c>
      <c r="AK38" s="30">
        <f>IF(AN38=12,J38,0)</f>
        <v>0</v>
      </c>
      <c r="AL38" s="30">
        <f>IF(AN38=21,J38,0)</f>
        <v>0</v>
      </c>
      <c r="AN38" s="30">
        <v>12</v>
      </c>
      <c r="AO38" s="30">
        <f>G38*1</f>
        <v>0</v>
      </c>
      <c r="AP38" s="30">
        <f>G38*(1-1)</f>
        <v>0</v>
      </c>
      <c r="AQ38" s="31" t="s">
        <v>53</v>
      </c>
      <c r="AV38" s="30">
        <f>AW38+AX38</f>
        <v>0</v>
      </c>
      <c r="AW38" s="30">
        <f>F38*AO38</f>
        <v>0</v>
      </c>
      <c r="AX38" s="30">
        <f>F38*AP38</f>
        <v>0</v>
      </c>
      <c r="AY38" s="31" t="s">
        <v>58</v>
      </c>
      <c r="AZ38" s="31" t="s">
        <v>59</v>
      </c>
      <c r="BA38" s="10" t="s">
        <v>60</v>
      </c>
      <c r="BC38" s="30">
        <f>AW38+AX38</f>
        <v>0</v>
      </c>
      <c r="BD38" s="30">
        <f>G38/(100-BE38)*100</f>
        <v>0</v>
      </c>
      <c r="BE38" s="30">
        <v>0</v>
      </c>
      <c r="BF38" s="30">
        <f>38</f>
        <v>38</v>
      </c>
      <c r="BH38" s="30">
        <f>F38*AO38</f>
        <v>0</v>
      </c>
      <c r="BI38" s="30">
        <f>F38*AP38</f>
        <v>0</v>
      </c>
      <c r="BJ38" s="30">
        <f>F38*G38</f>
        <v>0</v>
      </c>
      <c r="BK38" s="30"/>
      <c r="BL38" s="30">
        <v>34</v>
      </c>
      <c r="BW38" s="30">
        <v>12</v>
      </c>
      <c r="BX38" s="4" t="s">
        <v>130</v>
      </c>
    </row>
    <row r="39" spans="1:76" x14ac:dyDescent="0.25">
      <c r="A39" s="32" t="s">
        <v>131</v>
      </c>
      <c r="B39" s="33" t="s">
        <v>132</v>
      </c>
      <c r="C39" s="141" t="s">
        <v>133</v>
      </c>
      <c r="D39" s="142"/>
      <c r="E39" s="33" t="s">
        <v>109</v>
      </c>
      <c r="F39" s="34">
        <v>2.1059999999999999E-2</v>
      </c>
      <c r="G39" s="35">
        <v>0</v>
      </c>
      <c r="H39" s="34">
        <f>F39*AO39</f>
        <v>0</v>
      </c>
      <c r="I39" s="34">
        <f>F39*AP39</f>
        <v>0</v>
      </c>
      <c r="J39" s="34">
        <f>F39*G39</f>
        <v>0</v>
      </c>
      <c r="K39" s="36" t="s">
        <v>57</v>
      </c>
      <c r="Z39" s="30">
        <f>IF(AQ39="5",BJ39,0)</f>
        <v>0</v>
      </c>
      <c r="AB39" s="30">
        <f>IF(AQ39="1",BH39,0)</f>
        <v>0</v>
      </c>
      <c r="AC39" s="30">
        <f>IF(AQ39="1",BI39,0)</f>
        <v>0</v>
      </c>
      <c r="AD39" s="30">
        <f>IF(AQ39="7",BH39,0)</f>
        <v>0</v>
      </c>
      <c r="AE39" s="30">
        <f>IF(AQ39="7",BI39,0)</f>
        <v>0</v>
      </c>
      <c r="AF39" s="30">
        <f>IF(AQ39="2",BH39,0)</f>
        <v>0</v>
      </c>
      <c r="AG39" s="30">
        <f>IF(AQ39="2",BI39,0)</f>
        <v>0</v>
      </c>
      <c r="AH39" s="30">
        <f>IF(AQ39="0",BJ39,0)</f>
        <v>0</v>
      </c>
      <c r="AI39" s="10" t="s">
        <v>50</v>
      </c>
      <c r="AJ39" s="30">
        <f>IF(AN39=0,J39,0)</f>
        <v>0</v>
      </c>
      <c r="AK39" s="30">
        <f>IF(AN39=12,J39,0)</f>
        <v>0</v>
      </c>
      <c r="AL39" s="30">
        <f>IF(AN39=21,J39,0)</f>
        <v>0</v>
      </c>
      <c r="AN39" s="30">
        <v>12</v>
      </c>
      <c r="AO39" s="30">
        <f>G39*0.50813362</f>
        <v>0</v>
      </c>
      <c r="AP39" s="30">
        <f>G39*(1-0.50813362)</f>
        <v>0</v>
      </c>
      <c r="AQ39" s="31" t="s">
        <v>53</v>
      </c>
      <c r="AV39" s="30">
        <f>AW39+AX39</f>
        <v>0</v>
      </c>
      <c r="AW39" s="30">
        <f>F39*AO39</f>
        <v>0</v>
      </c>
      <c r="AX39" s="30">
        <f>F39*AP39</f>
        <v>0</v>
      </c>
      <c r="AY39" s="31" t="s">
        <v>58</v>
      </c>
      <c r="AZ39" s="31" t="s">
        <v>59</v>
      </c>
      <c r="BA39" s="10" t="s">
        <v>60</v>
      </c>
      <c r="BC39" s="30">
        <f>AW39+AX39</f>
        <v>0</v>
      </c>
      <c r="BD39" s="30">
        <f>G39/(100-BE39)*100</f>
        <v>0</v>
      </c>
      <c r="BE39" s="30">
        <v>0</v>
      </c>
      <c r="BF39" s="30">
        <f>39</f>
        <v>39</v>
      </c>
      <c r="BH39" s="30">
        <f>F39*AO39</f>
        <v>0</v>
      </c>
      <c r="BI39" s="30">
        <f>F39*AP39</f>
        <v>0</v>
      </c>
      <c r="BJ39" s="30">
        <f>F39*G39</f>
        <v>0</v>
      </c>
      <c r="BK39" s="30"/>
      <c r="BL39" s="30">
        <v>34</v>
      </c>
      <c r="BW39" s="30">
        <v>12</v>
      </c>
      <c r="BX39" s="4" t="s">
        <v>133</v>
      </c>
    </row>
    <row r="40" spans="1:76" ht="13.5" customHeight="1" x14ac:dyDescent="0.25">
      <c r="A40" s="37"/>
      <c r="B40" s="38" t="s">
        <v>84</v>
      </c>
      <c r="C40" s="152" t="s">
        <v>134</v>
      </c>
      <c r="D40" s="153"/>
      <c r="E40" s="153"/>
      <c r="F40" s="153"/>
      <c r="G40" s="154"/>
      <c r="H40" s="153"/>
      <c r="I40" s="153"/>
      <c r="J40" s="153"/>
      <c r="K40" s="155"/>
    </row>
    <row r="41" spans="1:76" x14ac:dyDescent="0.25">
      <c r="A41" s="25" t="s">
        <v>135</v>
      </c>
      <c r="B41" s="26" t="s">
        <v>136</v>
      </c>
      <c r="C41" s="150" t="s">
        <v>137</v>
      </c>
      <c r="D41" s="151"/>
      <c r="E41" s="26" t="s">
        <v>64</v>
      </c>
      <c r="F41" s="27">
        <v>0.83199999999999996</v>
      </c>
      <c r="G41" s="28">
        <v>0</v>
      </c>
      <c r="H41" s="27">
        <f>F41*AO41</f>
        <v>0</v>
      </c>
      <c r="I41" s="27">
        <f>F41*AP41</f>
        <v>0</v>
      </c>
      <c r="J41" s="27">
        <f>F41*G41</f>
        <v>0</v>
      </c>
      <c r="K41" s="29" t="s">
        <v>57</v>
      </c>
      <c r="Z41" s="30">
        <f>IF(AQ41="5",BJ41,0)</f>
        <v>0</v>
      </c>
      <c r="AB41" s="30">
        <f>IF(AQ41="1",BH41,0)</f>
        <v>0</v>
      </c>
      <c r="AC41" s="30">
        <f>IF(AQ41="1",BI41,0)</f>
        <v>0</v>
      </c>
      <c r="AD41" s="30">
        <f>IF(AQ41="7",BH41,0)</f>
        <v>0</v>
      </c>
      <c r="AE41" s="30">
        <f>IF(AQ41="7",BI41,0)</f>
        <v>0</v>
      </c>
      <c r="AF41" s="30">
        <f>IF(AQ41="2",BH41,0)</f>
        <v>0</v>
      </c>
      <c r="AG41" s="30">
        <f>IF(AQ41="2",BI41,0)</f>
        <v>0</v>
      </c>
      <c r="AH41" s="30">
        <f>IF(AQ41="0",BJ41,0)</f>
        <v>0</v>
      </c>
      <c r="AI41" s="10" t="s">
        <v>50</v>
      </c>
      <c r="AJ41" s="30">
        <f>IF(AN41=0,J41,0)</f>
        <v>0</v>
      </c>
      <c r="AK41" s="30">
        <f>IF(AN41=12,J41,0)</f>
        <v>0</v>
      </c>
      <c r="AL41" s="30">
        <f>IF(AN41=21,J41,0)</f>
        <v>0</v>
      </c>
      <c r="AN41" s="30">
        <v>12</v>
      </c>
      <c r="AO41" s="30">
        <f>G41*0.360460758</f>
        <v>0</v>
      </c>
      <c r="AP41" s="30">
        <f>G41*(1-0.360460758)</f>
        <v>0</v>
      </c>
      <c r="AQ41" s="31" t="s">
        <v>53</v>
      </c>
      <c r="AV41" s="30">
        <f>AW41+AX41</f>
        <v>0</v>
      </c>
      <c r="AW41" s="30">
        <f>F41*AO41</f>
        <v>0</v>
      </c>
      <c r="AX41" s="30">
        <f>F41*AP41</f>
        <v>0</v>
      </c>
      <c r="AY41" s="31" t="s">
        <v>58</v>
      </c>
      <c r="AZ41" s="31" t="s">
        <v>59</v>
      </c>
      <c r="BA41" s="10" t="s">
        <v>60</v>
      </c>
      <c r="BC41" s="30">
        <f>AW41+AX41</f>
        <v>0</v>
      </c>
      <c r="BD41" s="30">
        <f>G41/(100-BE41)*100</f>
        <v>0</v>
      </c>
      <c r="BE41" s="30">
        <v>0</v>
      </c>
      <c r="BF41" s="30">
        <f>41</f>
        <v>41</v>
      </c>
      <c r="BH41" s="30">
        <f>F41*AO41</f>
        <v>0</v>
      </c>
      <c r="BI41" s="30">
        <f>F41*AP41</f>
        <v>0</v>
      </c>
      <c r="BJ41" s="30">
        <f>F41*G41</f>
        <v>0</v>
      </c>
      <c r="BK41" s="30"/>
      <c r="BL41" s="30">
        <v>34</v>
      </c>
      <c r="BW41" s="30">
        <v>12</v>
      </c>
      <c r="BX41" s="4" t="s">
        <v>137</v>
      </c>
    </row>
    <row r="42" spans="1:76" x14ac:dyDescent="0.25">
      <c r="A42" s="32" t="s">
        <v>138</v>
      </c>
      <c r="B42" s="33" t="s">
        <v>139</v>
      </c>
      <c r="C42" s="141" t="s">
        <v>140</v>
      </c>
      <c r="D42" s="142"/>
      <c r="E42" s="33" t="s">
        <v>64</v>
      </c>
      <c r="F42" s="34">
        <v>2.16</v>
      </c>
      <c r="G42" s="35">
        <v>0</v>
      </c>
      <c r="H42" s="34">
        <f>F42*AO42</f>
        <v>0</v>
      </c>
      <c r="I42" s="34">
        <f>F42*AP42</f>
        <v>0</v>
      </c>
      <c r="J42" s="34">
        <f>F42*G42</f>
        <v>0</v>
      </c>
      <c r="K42" s="36" t="s">
        <v>116</v>
      </c>
      <c r="Z42" s="30">
        <f>IF(AQ42="5",BJ42,0)</f>
        <v>0</v>
      </c>
      <c r="AB42" s="30">
        <f>IF(AQ42="1",BH42,0)</f>
        <v>0</v>
      </c>
      <c r="AC42" s="30">
        <f>IF(AQ42="1",BI42,0)</f>
        <v>0</v>
      </c>
      <c r="AD42" s="30">
        <f>IF(AQ42="7",BH42,0)</f>
        <v>0</v>
      </c>
      <c r="AE42" s="30">
        <f>IF(AQ42="7",BI42,0)</f>
        <v>0</v>
      </c>
      <c r="AF42" s="30">
        <f>IF(AQ42="2",BH42,0)</f>
        <v>0</v>
      </c>
      <c r="AG42" s="30">
        <f>IF(AQ42="2",BI42,0)</f>
        <v>0</v>
      </c>
      <c r="AH42" s="30">
        <f>IF(AQ42="0",BJ42,0)</f>
        <v>0</v>
      </c>
      <c r="AI42" s="10" t="s">
        <v>50</v>
      </c>
      <c r="AJ42" s="30">
        <f>IF(AN42=0,J42,0)</f>
        <v>0</v>
      </c>
      <c r="AK42" s="30">
        <f>IF(AN42=12,J42,0)</f>
        <v>0</v>
      </c>
      <c r="AL42" s="30">
        <f>IF(AN42=21,J42,0)</f>
        <v>0</v>
      </c>
      <c r="AN42" s="30">
        <v>12</v>
      </c>
      <c r="AO42" s="30">
        <f>G42*0.022562092</f>
        <v>0</v>
      </c>
      <c r="AP42" s="30">
        <f>G42*(1-0.022562092)</f>
        <v>0</v>
      </c>
      <c r="AQ42" s="31" t="s">
        <v>53</v>
      </c>
      <c r="AV42" s="30">
        <f>AW42+AX42</f>
        <v>0</v>
      </c>
      <c r="AW42" s="30">
        <f>F42*AO42</f>
        <v>0</v>
      </c>
      <c r="AX42" s="30">
        <f>F42*AP42</f>
        <v>0</v>
      </c>
      <c r="AY42" s="31" t="s">
        <v>58</v>
      </c>
      <c r="AZ42" s="31" t="s">
        <v>59</v>
      </c>
      <c r="BA42" s="10" t="s">
        <v>60</v>
      </c>
      <c r="BC42" s="30">
        <f>AW42+AX42</f>
        <v>0</v>
      </c>
      <c r="BD42" s="30">
        <f>G42/(100-BE42)*100</f>
        <v>0</v>
      </c>
      <c r="BE42" s="30">
        <v>0</v>
      </c>
      <c r="BF42" s="30">
        <f>42</f>
        <v>42</v>
      </c>
      <c r="BH42" s="30">
        <f>F42*AO42</f>
        <v>0</v>
      </c>
      <c r="BI42" s="30">
        <f>F42*AP42</f>
        <v>0</v>
      </c>
      <c r="BJ42" s="30">
        <f>F42*G42</f>
        <v>0</v>
      </c>
      <c r="BK42" s="30"/>
      <c r="BL42" s="30">
        <v>34</v>
      </c>
      <c r="BW42" s="30">
        <v>12</v>
      </c>
      <c r="BX42" s="4" t="s">
        <v>140</v>
      </c>
    </row>
    <row r="43" spans="1:76" x14ac:dyDescent="0.25">
      <c r="A43" s="32" t="s">
        <v>141</v>
      </c>
      <c r="B43" s="33" t="s">
        <v>142</v>
      </c>
      <c r="C43" s="141" t="s">
        <v>143</v>
      </c>
      <c r="D43" s="142"/>
      <c r="E43" s="33" t="s">
        <v>64</v>
      </c>
      <c r="F43" s="34">
        <v>3.6539999999999999</v>
      </c>
      <c r="G43" s="35">
        <v>0</v>
      </c>
      <c r="H43" s="34">
        <f>F43*AO43</f>
        <v>0</v>
      </c>
      <c r="I43" s="34">
        <f>F43*AP43</f>
        <v>0</v>
      </c>
      <c r="J43" s="34">
        <f>F43*G43</f>
        <v>0</v>
      </c>
      <c r="K43" s="36" t="s">
        <v>57</v>
      </c>
      <c r="Z43" s="30">
        <f>IF(AQ43="5",BJ43,0)</f>
        <v>0</v>
      </c>
      <c r="AB43" s="30">
        <f>IF(AQ43="1",BH43,0)</f>
        <v>0</v>
      </c>
      <c r="AC43" s="30">
        <f>IF(AQ43="1",BI43,0)</f>
        <v>0</v>
      </c>
      <c r="AD43" s="30">
        <f>IF(AQ43="7",BH43,0)</f>
        <v>0</v>
      </c>
      <c r="AE43" s="30">
        <f>IF(AQ43="7",BI43,0)</f>
        <v>0</v>
      </c>
      <c r="AF43" s="30">
        <f>IF(AQ43="2",BH43,0)</f>
        <v>0</v>
      </c>
      <c r="AG43" s="30">
        <f>IF(AQ43="2",BI43,0)</f>
        <v>0</v>
      </c>
      <c r="AH43" s="30">
        <f>IF(AQ43="0",BJ43,0)</f>
        <v>0</v>
      </c>
      <c r="AI43" s="10" t="s">
        <v>50</v>
      </c>
      <c r="AJ43" s="30">
        <f>IF(AN43=0,J43,0)</f>
        <v>0</v>
      </c>
      <c r="AK43" s="30">
        <f>IF(AN43=12,J43,0)</f>
        <v>0</v>
      </c>
      <c r="AL43" s="30">
        <f>IF(AN43=21,J43,0)</f>
        <v>0</v>
      </c>
      <c r="AN43" s="30">
        <v>12</v>
      </c>
      <c r="AO43" s="30">
        <f>G43*0.649356981</f>
        <v>0</v>
      </c>
      <c r="AP43" s="30">
        <f>G43*(1-0.649356981)</f>
        <v>0</v>
      </c>
      <c r="AQ43" s="31" t="s">
        <v>53</v>
      </c>
      <c r="AV43" s="30">
        <f>AW43+AX43</f>
        <v>0</v>
      </c>
      <c r="AW43" s="30">
        <f>F43*AO43</f>
        <v>0</v>
      </c>
      <c r="AX43" s="30">
        <f>F43*AP43</f>
        <v>0</v>
      </c>
      <c r="AY43" s="31" t="s">
        <v>58</v>
      </c>
      <c r="AZ43" s="31" t="s">
        <v>59</v>
      </c>
      <c r="BA43" s="10" t="s">
        <v>60</v>
      </c>
      <c r="BC43" s="30">
        <f>AW43+AX43</f>
        <v>0</v>
      </c>
      <c r="BD43" s="30">
        <f>G43/(100-BE43)*100</f>
        <v>0</v>
      </c>
      <c r="BE43" s="30">
        <v>0</v>
      </c>
      <c r="BF43" s="30">
        <f>43</f>
        <v>43</v>
      </c>
      <c r="BH43" s="30">
        <f>F43*AO43</f>
        <v>0</v>
      </c>
      <c r="BI43" s="30">
        <f>F43*AP43</f>
        <v>0</v>
      </c>
      <c r="BJ43" s="30">
        <f>F43*G43</f>
        <v>0</v>
      </c>
      <c r="BK43" s="30"/>
      <c r="BL43" s="30">
        <v>34</v>
      </c>
      <c r="BW43" s="30">
        <v>12</v>
      </c>
      <c r="BX43" s="4" t="s">
        <v>143</v>
      </c>
    </row>
    <row r="44" spans="1:76" x14ac:dyDescent="0.25">
      <c r="A44" s="32" t="s">
        <v>144</v>
      </c>
      <c r="B44" s="33" t="s">
        <v>145</v>
      </c>
      <c r="C44" s="141" t="s">
        <v>146</v>
      </c>
      <c r="D44" s="142"/>
      <c r="E44" s="33" t="s">
        <v>64</v>
      </c>
      <c r="F44" s="34">
        <v>2.601</v>
      </c>
      <c r="G44" s="35">
        <v>0</v>
      </c>
      <c r="H44" s="34">
        <f>F44*AO44</f>
        <v>0</v>
      </c>
      <c r="I44" s="34">
        <f>F44*AP44</f>
        <v>0</v>
      </c>
      <c r="J44" s="34">
        <f>F44*G44</f>
        <v>0</v>
      </c>
      <c r="K44" s="36" t="s">
        <v>57</v>
      </c>
      <c r="Z44" s="30">
        <f>IF(AQ44="5",BJ44,0)</f>
        <v>0</v>
      </c>
      <c r="AB44" s="30">
        <f>IF(AQ44="1",BH44,0)</f>
        <v>0</v>
      </c>
      <c r="AC44" s="30">
        <f>IF(AQ44="1",BI44,0)</f>
        <v>0</v>
      </c>
      <c r="AD44" s="30">
        <f>IF(AQ44="7",BH44,0)</f>
        <v>0</v>
      </c>
      <c r="AE44" s="30">
        <f>IF(AQ44="7",BI44,0)</f>
        <v>0</v>
      </c>
      <c r="AF44" s="30">
        <f>IF(AQ44="2",BH44,0)</f>
        <v>0</v>
      </c>
      <c r="AG44" s="30">
        <f>IF(AQ44="2",BI44,0)</f>
        <v>0</v>
      </c>
      <c r="AH44" s="30">
        <f>IF(AQ44="0",BJ44,0)</f>
        <v>0</v>
      </c>
      <c r="AI44" s="10" t="s">
        <v>50</v>
      </c>
      <c r="AJ44" s="30">
        <f>IF(AN44=0,J44,0)</f>
        <v>0</v>
      </c>
      <c r="AK44" s="30">
        <f>IF(AN44=12,J44,0)</f>
        <v>0</v>
      </c>
      <c r="AL44" s="30">
        <f>IF(AN44=21,J44,0)</f>
        <v>0</v>
      </c>
      <c r="AN44" s="30">
        <v>12</v>
      </c>
      <c r="AO44" s="30">
        <f>G44*0.619568493</f>
        <v>0</v>
      </c>
      <c r="AP44" s="30">
        <f>G44*(1-0.619568493)</f>
        <v>0</v>
      </c>
      <c r="AQ44" s="31" t="s">
        <v>53</v>
      </c>
      <c r="AV44" s="30">
        <f>AW44+AX44</f>
        <v>0</v>
      </c>
      <c r="AW44" s="30">
        <f>F44*AO44</f>
        <v>0</v>
      </c>
      <c r="AX44" s="30">
        <f>F44*AP44</f>
        <v>0</v>
      </c>
      <c r="AY44" s="31" t="s">
        <v>58</v>
      </c>
      <c r="AZ44" s="31" t="s">
        <v>59</v>
      </c>
      <c r="BA44" s="10" t="s">
        <v>60</v>
      </c>
      <c r="BC44" s="30">
        <f>AW44+AX44</f>
        <v>0</v>
      </c>
      <c r="BD44" s="30">
        <f>G44/(100-BE44)*100</f>
        <v>0</v>
      </c>
      <c r="BE44" s="30">
        <v>0</v>
      </c>
      <c r="BF44" s="30">
        <f>44</f>
        <v>44</v>
      </c>
      <c r="BH44" s="30">
        <f>F44*AO44</f>
        <v>0</v>
      </c>
      <c r="BI44" s="30">
        <f>F44*AP44</f>
        <v>0</v>
      </c>
      <c r="BJ44" s="30">
        <f>F44*G44</f>
        <v>0</v>
      </c>
      <c r="BK44" s="30"/>
      <c r="BL44" s="30">
        <v>34</v>
      </c>
      <c r="BW44" s="30">
        <v>12</v>
      </c>
      <c r="BX44" s="4" t="s">
        <v>146</v>
      </c>
    </row>
    <row r="45" spans="1:76" ht="13.5" customHeight="1" x14ac:dyDescent="0.25">
      <c r="A45" s="37"/>
      <c r="B45" s="38" t="s">
        <v>84</v>
      </c>
      <c r="C45" s="152" t="s">
        <v>147</v>
      </c>
      <c r="D45" s="153"/>
      <c r="E45" s="153"/>
      <c r="F45" s="153"/>
      <c r="G45" s="154"/>
      <c r="H45" s="153"/>
      <c r="I45" s="153"/>
      <c r="J45" s="153"/>
      <c r="K45" s="155"/>
    </row>
    <row r="46" spans="1:76" x14ac:dyDescent="0.25">
      <c r="A46" s="25" t="s">
        <v>148</v>
      </c>
      <c r="B46" s="26" t="s">
        <v>149</v>
      </c>
      <c r="C46" s="150" t="s">
        <v>150</v>
      </c>
      <c r="D46" s="151"/>
      <c r="E46" s="26" t="s">
        <v>64</v>
      </c>
      <c r="F46" s="27">
        <v>22.741499999999998</v>
      </c>
      <c r="G46" s="28">
        <v>0</v>
      </c>
      <c r="H46" s="27">
        <f>F46*AO46</f>
        <v>0</v>
      </c>
      <c r="I46" s="27">
        <f>F46*AP46</f>
        <v>0</v>
      </c>
      <c r="J46" s="27">
        <f>F46*G46</f>
        <v>0</v>
      </c>
      <c r="K46" s="29" t="s">
        <v>57</v>
      </c>
      <c r="Z46" s="30">
        <f>IF(AQ46="5",BJ46,0)</f>
        <v>0</v>
      </c>
      <c r="AB46" s="30">
        <f>IF(AQ46="1",BH46,0)</f>
        <v>0</v>
      </c>
      <c r="AC46" s="30">
        <f>IF(AQ46="1",BI46,0)</f>
        <v>0</v>
      </c>
      <c r="AD46" s="30">
        <f>IF(AQ46="7",BH46,0)</f>
        <v>0</v>
      </c>
      <c r="AE46" s="30">
        <f>IF(AQ46="7",BI46,0)</f>
        <v>0</v>
      </c>
      <c r="AF46" s="30">
        <f>IF(AQ46="2",BH46,0)</f>
        <v>0</v>
      </c>
      <c r="AG46" s="30">
        <f>IF(AQ46="2",BI46,0)</f>
        <v>0</v>
      </c>
      <c r="AH46" s="30">
        <f>IF(AQ46="0",BJ46,0)</f>
        <v>0</v>
      </c>
      <c r="AI46" s="10" t="s">
        <v>50</v>
      </c>
      <c r="AJ46" s="30">
        <f>IF(AN46=0,J46,0)</f>
        <v>0</v>
      </c>
      <c r="AK46" s="30">
        <f>IF(AN46=12,J46,0)</f>
        <v>0</v>
      </c>
      <c r="AL46" s="30">
        <f>IF(AN46=21,J46,0)</f>
        <v>0</v>
      </c>
      <c r="AN46" s="30">
        <v>12</v>
      </c>
      <c r="AO46" s="30">
        <f>G46*0.615178168</f>
        <v>0</v>
      </c>
      <c r="AP46" s="30">
        <f>G46*(1-0.615178168)</f>
        <v>0</v>
      </c>
      <c r="AQ46" s="31" t="s">
        <v>53</v>
      </c>
      <c r="AV46" s="30">
        <f>AW46+AX46</f>
        <v>0</v>
      </c>
      <c r="AW46" s="30">
        <f>F46*AO46</f>
        <v>0</v>
      </c>
      <c r="AX46" s="30">
        <f>F46*AP46</f>
        <v>0</v>
      </c>
      <c r="AY46" s="31" t="s">
        <v>58</v>
      </c>
      <c r="AZ46" s="31" t="s">
        <v>59</v>
      </c>
      <c r="BA46" s="10" t="s">
        <v>60</v>
      </c>
      <c r="BC46" s="30">
        <f>AW46+AX46</f>
        <v>0</v>
      </c>
      <c r="BD46" s="30">
        <f>G46/(100-BE46)*100</f>
        <v>0</v>
      </c>
      <c r="BE46" s="30">
        <v>0</v>
      </c>
      <c r="BF46" s="30">
        <f>46</f>
        <v>46</v>
      </c>
      <c r="BH46" s="30">
        <f>F46*AO46</f>
        <v>0</v>
      </c>
      <c r="BI46" s="30">
        <f>F46*AP46</f>
        <v>0</v>
      </c>
      <c r="BJ46" s="30">
        <f>F46*G46</f>
        <v>0</v>
      </c>
      <c r="BK46" s="30"/>
      <c r="BL46" s="30">
        <v>34</v>
      </c>
      <c r="BW46" s="30">
        <v>12</v>
      </c>
      <c r="BX46" s="4" t="s">
        <v>150</v>
      </c>
    </row>
    <row r="47" spans="1:76" ht="13.5" customHeight="1" x14ac:dyDescent="0.25">
      <c r="A47" s="37"/>
      <c r="B47" s="38" t="s">
        <v>84</v>
      </c>
      <c r="C47" s="152" t="s">
        <v>147</v>
      </c>
      <c r="D47" s="153"/>
      <c r="E47" s="153"/>
      <c r="F47" s="153"/>
      <c r="G47" s="154"/>
      <c r="H47" s="153"/>
      <c r="I47" s="153"/>
      <c r="J47" s="153"/>
      <c r="K47" s="155"/>
    </row>
    <row r="48" spans="1:76" x14ac:dyDescent="0.25">
      <c r="A48" s="25" t="s">
        <v>151</v>
      </c>
      <c r="B48" s="26" t="s">
        <v>152</v>
      </c>
      <c r="C48" s="150" t="s">
        <v>153</v>
      </c>
      <c r="D48" s="151"/>
      <c r="E48" s="26" t="s">
        <v>56</v>
      </c>
      <c r="F48" s="27">
        <v>1</v>
      </c>
      <c r="G48" s="28">
        <v>0</v>
      </c>
      <c r="H48" s="27">
        <f>F48*AO48</f>
        <v>0</v>
      </c>
      <c r="I48" s="27">
        <f>F48*AP48</f>
        <v>0</v>
      </c>
      <c r="J48" s="27">
        <f>F48*G48</f>
        <v>0</v>
      </c>
      <c r="K48" s="29" t="s">
        <v>57</v>
      </c>
      <c r="Z48" s="30">
        <f>IF(AQ48="5",BJ48,0)</f>
        <v>0</v>
      </c>
      <c r="AB48" s="30">
        <f>IF(AQ48="1",BH48,0)</f>
        <v>0</v>
      </c>
      <c r="AC48" s="30">
        <f>IF(AQ48="1",BI48,0)</f>
        <v>0</v>
      </c>
      <c r="AD48" s="30">
        <f>IF(AQ48="7",BH48,0)</f>
        <v>0</v>
      </c>
      <c r="AE48" s="30">
        <f>IF(AQ48="7",BI48,0)</f>
        <v>0</v>
      </c>
      <c r="AF48" s="30">
        <f>IF(AQ48="2",BH48,0)</f>
        <v>0</v>
      </c>
      <c r="AG48" s="30">
        <f>IF(AQ48="2",BI48,0)</f>
        <v>0</v>
      </c>
      <c r="AH48" s="30">
        <f>IF(AQ48="0",BJ48,0)</f>
        <v>0</v>
      </c>
      <c r="AI48" s="10" t="s">
        <v>50</v>
      </c>
      <c r="AJ48" s="30">
        <f>IF(AN48=0,J48,0)</f>
        <v>0</v>
      </c>
      <c r="AK48" s="30">
        <f>IF(AN48=12,J48,0)</f>
        <v>0</v>
      </c>
      <c r="AL48" s="30">
        <f>IF(AN48=21,J48,0)</f>
        <v>0</v>
      </c>
      <c r="AN48" s="30">
        <v>12</v>
      </c>
      <c r="AO48" s="30">
        <f>G48*0.488181818</f>
        <v>0</v>
      </c>
      <c r="AP48" s="30">
        <f>G48*(1-0.488181818)</f>
        <v>0</v>
      </c>
      <c r="AQ48" s="31" t="s">
        <v>53</v>
      </c>
      <c r="AV48" s="30">
        <f>AW48+AX48</f>
        <v>0</v>
      </c>
      <c r="AW48" s="30">
        <f>F48*AO48</f>
        <v>0</v>
      </c>
      <c r="AX48" s="30">
        <f>F48*AP48</f>
        <v>0</v>
      </c>
      <c r="AY48" s="31" t="s">
        <v>58</v>
      </c>
      <c r="AZ48" s="31" t="s">
        <v>59</v>
      </c>
      <c r="BA48" s="10" t="s">
        <v>60</v>
      </c>
      <c r="BC48" s="30">
        <f>AW48+AX48</f>
        <v>0</v>
      </c>
      <c r="BD48" s="30">
        <f>G48/(100-BE48)*100</f>
        <v>0</v>
      </c>
      <c r="BE48" s="30">
        <v>0</v>
      </c>
      <c r="BF48" s="30">
        <f>48</f>
        <v>48</v>
      </c>
      <c r="BH48" s="30">
        <f>F48*AO48</f>
        <v>0</v>
      </c>
      <c r="BI48" s="30">
        <f>F48*AP48</f>
        <v>0</v>
      </c>
      <c r="BJ48" s="30">
        <f>F48*G48</f>
        <v>0</v>
      </c>
      <c r="BK48" s="30"/>
      <c r="BL48" s="30">
        <v>34</v>
      </c>
      <c r="BW48" s="30">
        <v>12</v>
      </c>
      <c r="BX48" s="4" t="s">
        <v>153</v>
      </c>
    </row>
    <row r="49" spans="1:76" x14ac:dyDescent="0.25">
      <c r="A49" s="32" t="s">
        <v>154</v>
      </c>
      <c r="B49" s="33" t="s">
        <v>155</v>
      </c>
      <c r="C49" s="141" t="s">
        <v>156</v>
      </c>
      <c r="D49" s="142"/>
      <c r="E49" s="33" t="s">
        <v>64</v>
      </c>
      <c r="F49" s="34">
        <v>11.09</v>
      </c>
      <c r="G49" s="35">
        <v>0</v>
      </c>
      <c r="H49" s="34">
        <f>F49*AO49</f>
        <v>0</v>
      </c>
      <c r="I49" s="34">
        <f>F49*AP49</f>
        <v>0</v>
      </c>
      <c r="J49" s="34">
        <f>F49*G49</f>
        <v>0</v>
      </c>
      <c r="K49" s="36" t="s">
        <v>57</v>
      </c>
      <c r="Z49" s="30">
        <f>IF(AQ49="5",BJ49,0)</f>
        <v>0</v>
      </c>
      <c r="AB49" s="30">
        <f>IF(AQ49="1",BH49,0)</f>
        <v>0</v>
      </c>
      <c r="AC49" s="30">
        <f>IF(AQ49="1",BI49,0)</f>
        <v>0</v>
      </c>
      <c r="AD49" s="30">
        <f>IF(AQ49="7",BH49,0)</f>
        <v>0</v>
      </c>
      <c r="AE49" s="30">
        <f>IF(AQ49="7",BI49,0)</f>
        <v>0</v>
      </c>
      <c r="AF49" s="30">
        <f>IF(AQ49="2",BH49,0)</f>
        <v>0</v>
      </c>
      <c r="AG49" s="30">
        <f>IF(AQ49="2",BI49,0)</f>
        <v>0</v>
      </c>
      <c r="AH49" s="30">
        <f>IF(AQ49="0",BJ49,0)</f>
        <v>0</v>
      </c>
      <c r="AI49" s="10" t="s">
        <v>50</v>
      </c>
      <c r="AJ49" s="30">
        <f>IF(AN49=0,J49,0)</f>
        <v>0</v>
      </c>
      <c r="AK49" s="30">
        <f>IF(AN49=12,J49,0)</f>
        <v>0</v>
      </c>
      <c r="AL49" s="30">
        <f>IF(AN49=21,J49,0)</f>
        <v>0</v>
      </c>
      <c r="AN49" s="30">
        <v>12</v>
      </c>
      <c r="AO49" s="30">
        <f>G49*0.414153475</f>
        <v>0</v>
      </c>
      <c r="AP49" s="30">
        <f>G49*(1-0.414153475)</f>
        <v>0</v>
      </c>
      <c r="AQ49" s="31" t="s">
        <v>53</v>
      </c>
      <c r="AV49" s="30">
        <f>AW49+AX49</f>
        <v>0</v>
      </c>
      <c r="AW49" s="30">
        <f>F49*AO49</f>
        <v>0</v>
      </c>
      <c r="AX49" s="30">
        <f>F49*AP49</f>
        <v>0</v>
      </c>
      <c r="AY49" s="31" t="s">
        <v>58</v>
      </c>
      <c r="AZ49" s="31" t="s">
        <v>59</v>
      </c>
      <c r="BA49" s="10" t="s">
        <v>60</v>
      </c>
      <c r="BC49" s="30">
        <f>AW49+AX49</f>
        <v>0</v>
      </c>
      <c r="BD49" s="30">
        <f>G49/(100-BE49)*100</f>
        <v>0</v>
      </c>
      <c r="BE49" s="30">
        <v>0</v>
      </c>
      <c r="BF49" s="30">
        <f>49</f>
        <v>49</v>
      </c>
      <c r="BH49" s="30">
        <f>F49*AO49</f>
        <v>0</v>
      </c>
      <c r="BI49" s="30">
        <f>F49*AP49</f>
        <v>0</v>
      </c>
      <c r="BJ49" s="30">
        <f>F49*G49</f>
        <v>0</v>
      </c>
      <c r="BK49" s="30"/>
      <c r="BL49" s="30">
        <v>34</v>
      </c>
      <c r="BW49" s="30">
        <v>12</v>
      </c>
      <c r="BX49" s="4" t="s">
        <v>156</v>
      </c>
    </row>
    <row r="50" spans="1:76" ht="13.5" customHeight="1" x14ac:dyDescent="0.25">
      <c r="A50" s="37"/>
      <c r="B50" s="38" t="s">
        <v>84</v>
      </c>
      <c r="C50" s="152" t="s">
        <v>157</v>
      </c>
      <c r="D50" s="153"/>
      <c r="E50" s="153"/>
      <c r="F50" s="153"/>
      <c r="G50" s="154"/>
      <c r="H50" s="153"/>
      <c r="I50" s="153"/>
      <c r="J50" s="153"/>
      <c r="K50" s="155"/>
    </row>
    <row r="51" spans="1:76" x14ac:dyDescent="0.25">
      <c r="A51" s="25" t="s">
        <v>158</v>
      </c>
      <c r="B51" s="26" t="s">
        <v>159</v>
      </c>
      <c r="C51" s="150" t="s">
        <v>156</v>
      </c>
      <c r="D51" s="151"/>
      <c r="E51" s="26" t="s">
        <v>64</v>
      </c>
      <c r="F51" s="27">
        <v>8.43</v>
      </c>
      <c r="G51" s="28">
        <v>0</v>
      </c>
      <c r="H51" s="27">
        <f>F51*AO51</f>
        <v>0</v>
      </c>
      <c r="I51" s="27">
        <f>F51*AP51</f>
        <v>0</v>
      </c>
      <c r="J51" s="27">
        <f>F51*G51</f>
        <v>0</v>
      </c>
      <c r="K51" s="29" t="s">
        <v>57</v>
      </c>
      <c r="Z51" s="30">
        <f>IF(AQ51="5",BJ51,0)</f>
        <v>0</v>
      </c>
      <c r="AB51" s="30">
        <f>IF(AQ51="1",BH51,0)</f>
        <v>0</v>
      </c>
      <c r="AC51" s="30">
        <f>IF(AQ51="1",BI51,0)</f>
        <v>0</v>
      </c>
      <c r="AD51" s="30">
        <f>IF(AQ51="7",BH51,0)</f>
        <v>0</v>
      </c>
      <c r="AE51" s="30">
        <f>IF(AQ51="7",BI51,0)</f>
        <v>0</v>
      </c>
      <c r="AF51" s="30">
        <f>IF(AQ51="2",BH51,0)</f>
        <v>0</v>
      </c>
      <c r="AG51" s="30">
        <f>IF(AQ51="2",BI51,0)</f>
        <v>0</v>
      </c>
      <c r="AH51" s="30">
        <f>IF(AQ51="0",BJ51,0)</f>
        <v>0</v>
      </c>
      <c r="AI51" s="10" t="s">
        <v>50</v>
      </c>
      <c r="AJ51" s="30">
        <f>IF(AN51=0,J51,0)</f>
        <v>0</v>
      </c>
      <c r="AK51" s="30">
        <f>IF(AN51=12,J51,0)</f>
        <v>0</v>
      </c>
      <c r="AL51" s="30">
        <f>IF(AN51=21,J51,0)</f>
        <v>0</v>
      </c>
      <c r="AN51" s="30">
        <v>12</v>
      </c>
      <c r="AO51" s="30">
        <f>G51*0.449431654</f>
        <v>0</v>
      </c>
      <c r="AP51" s="30">
        <f>G51*(1-0.449431654)</f>
        <v>0</v>
      </c>
      <c r="AQ51" s="31" t="s">
        <v>53</v>
      </c>
      <c r="AV51" s="30">
        <f>AW51+AX51</f>
        <v>0</v>
      </c>
      <c r="AW51" s="30">
        <f>F51*AO51</f>
        <v>0</v>
      </c>
      <c r="AX51" s="30">
        <f>F51*AP51</f>
        <v>0</v>
      </c>
      <c r="AY51" s="31" t="s">
        <v>58</v>
      </c>
      <c r="AZ51" s="31" t="s">
        <v>59</v>
      </c>
      <c r="BA51" s="10" t="s">
        <v>60</v>
      </c>
      <c r="BC51" s="30">
        <f>AW51+AX51</f>
        <v>0</v>
      </c>
      <c r="BD51" s="30">
        <f>G51/(100-BE51)*100</f>
        <v>0</v>
      </c>
      <c r="BE51" s="30">
        <v>0</v>
      </c>
      <c r="BF51" s="30">
        <f>51</f>
        <v>51</v>
      </c>
      <c r="BH51" s="30">
        <f>F51*AO51</f>
        <v>0</v>
      </c>
      <c r="BI51" s="30">
        <f>F51*AP51</f>
        <v>0</v>
      </c>
      <c r="BJ51" s="30">
        <f>F51*G51</f>
        <v>0</v>
      </c>
      <c r="BK51" s="30"/>
      <c r="BL51" s="30">
        <v>34</v>
      </c>
      <c r="BW51" s="30">
        <v>12</v>
      </c>
      <c r="BX51" s="4" t="s">
        <v>156</v>
      </c>
    </row>
    <row r="52" spans="1:76" ht="13.5" customHeight="1" x14ac:dyDescent="0.25">
      <c r="A52" s="37"/>
      <c r="B52" s="38" t="s">
        <v>84</v>
      </c>
      <c r="C52" s="152" t="s">
        <v>160</v>
      </c>
      <c r="D52" s="153"/>
      <c r="E52" s="153"/>
      <c r="F52" s="153"/>
      <c r="G52" s="154"/>
      <c r="H52" s="153"/>
      <c r="I52" s="153"/>
      <c r="J52" s="153"/>
      <c r="K52" s="155"/>
    </row>
    <row r="53" spans="1:76" x14ac:dyDescent="0.25">
      <c r="A53" s="25" t="s">
        <v>161</v>
      </c>
      <c r="B53" s="26" t="s">
        <v>162</v>
      </c>
      <c r="C53" s="150" t="s">
        <v>163</v>
      </c>
      <c r="D53" s="151"/>
      <c r="E53" s="26" t="s">
        <v>109</v>
      </c>
      <c r="F53" s="27">
        <v>0.25220999999999999</v>
      </c>
      <c r="G53" s="28">
        <v>0</v>
      </c>
      <c r="H53" s="27">
        <f>F53*AO53</f>
        <v>0</v>
      </c>
      <c r="I53" s="27">
        <f>F53*AP53</f>
        <v>0</v>
      </c>
      <c r="J53" s="27">
        <f>F53*G53</f>
        <v>0</v>
      </c>
      <c r="K53" s="29" t="s">
        <v>57</v>
      </c>
      <c r="Z53" s="30">
        <f>IF(AQ53="5",BJ53,0)</f>
        <v>0</v>
      </c>
      <c r="AB53" s="30">
        <f>IF(AQ53="1",BH53,0)</f>
        <v>0</v>
      </c>
      <c r="AC53" s="30">
        <f>IF(AQ53="1",BI53,0)</f>
        <v>0</v>
      </c>
      <c r="AD53" s="30">
        <f>IF(AQ53="7",BH53,0)</f>
        <v>0</v>
      </c>
      <c r="AE53" s="30">
        <f>IF(AQ53="7",BI53,0)</f>
        <v>0</v>
      </c>
      <c r="AF53" s="30">
        <f>IF(AQ53="2",BH53,0)</f>
        <v>0</v>
      </c>
      <c r="AG53" s="30">
        <f>IF(AQ53="2",BI53,0)</f>
        <v>0</v>
      </c>
      <c r="AH53" s="30">
        <f>IF(AQ53="0",BJ53,0)</f>
        <v>0</v>
      </c>
      <c r="AI53" s="10" t="s">
        <v>50</v>
      </c>
      <c r="AJ53" s="30">
        <f>IF(AN53=0,J53,0)</f>
        <v>0</v>
      </c>
      <c r="AK53" s="30">
        <f>IF(AN53=12,J53,0)</f>
        <v>0</v>
      </c>
      <c r="AL53" s="30">
        <f>IF(AN53=21,J53,0)</f>
        <v>0</v>
      </c>
      <c r="AN53" s="30">
        <v>12</v>
      </c>
      <c r="AO53" s="30">
        <f>G53*0</f>
        <v>0</v>
      </c>
      <c r="AP53" s="30">
        <f>G53*(1-0)</f>
        <v>0</v>
      </c>
      <c r="AQ53" s="31" t="s">
        <v>71</v>
      </c>
      <c r="AV53" s="30">
        <f>AW53+AX53</f>
        <v>0</v>
      </c>
      <c r="AW53" s="30">
        <f>F53*AO53</f>
        <v>0</v>
      </c>
      <c r="AX53" s="30">
        <f>F53*AP53</f>
        <v>0</v>
      </c>
      <c r="AY53" s="31" t="s">
        <v>58</v>
      </c>
      <c r="AZ53" s="31" t="s">
        <v>59</v>
      </c>
      <c r="BA53" s="10" t="s">
        <v>60</v>
      </c>
      <c r="BC53" s="30">
        <f>AW53+AX53</f>
        <v>0</v>
      </c>
      <c r="BD53" s="30">
        <f>G53/(100-BE53)*100</f>
        <v>0</v>
      </c>
      <c r="BE53" s="30">
        <v>0</v>
      </c>
      <c r="BF53" s="30">
        <f>53</f>
        <v>53</v>
      </c>
      <c r="BH53" s="30">
        <f>F53*AO53</f>
        <v>0</v>
      </c>
      <c r="BI53" s="30">
        <f>F53*AP53</f>
        <v>0</v>
      </c>
      <c r="BJ53" s="30">
        <f>F53*G53</f>
        <v>0</v>
      </c>
      <c r="BK53" s="30"/>
      <c r="BL53" s="30">
        <v>34</v>
      </c>
      <c r="BW53" s="30">
        <v>12</v>
      </c>
      <c r="BX53" s="4" t="s">
        <v>163</v>
      </c>
    </row>
    <row r="54" spans="1:76" x14ac:dyDescent="0.25">
      <c r="A54" s="39" t="s">
        <v>50</v>
      </c>
      <c r="B54" s="40" t="s">
        <v>164</v>
      </c>
      <c r="C54" s="156" t="s">
        <v>165</v>
      </c>
      <c r="D54" s="157"/>
      <c r="E54" s="41" t="s">
        <v>4</v>
      </c>
      <c r="F54" s="41" t="s">
        <v>4</v>
      </c>
      <c r="G54" s="42" t="s">
        <v>4</v>
      </c>
      <c r="H54" s="43">
        <f>SUM(H55:H77)</f>
        <v>0</v>
      </c>
      <c r="I54" s="43">
        <f>SUM(I55:I77)</f>
        <v>0</v>
      </c>
      <c r="J54" s="43">
        <f>SUM(J55:J77)</f>
        <v>0</v>
      </c>
      <c r="K54" s="44" t="s">
        <v>50</v>
      </c>
      <c r="AI54" s="10" t="s">
        <v>50</v>
      </c>
      <c r="AS54" s="1">
        <f>SUM(AJ55:AJ77)</f>
        <v>0</v>
      </c>
      <c r="AT54" s="1">
        <f>SUM(AK55:AK77)</f>
        <v>0</v>
      </c>
      <c r="AU54" s="1">
        <f>SUM(AL55:AL77)</f>
        <v>0</v>
      </c>
    </row>
    <row r="55" spans="1:76" x14ac:dyDescent="0.25">
      <c r="A55" s="25" t="s">
        <v>166</v>
      </c>
      <c r="B55" s="26" t="s">
        <v>167</v>
      </c>
      <c r="C55" s="150" t="s">
        <v>168</v>
      </c>
      <c r="D55" s="151"/>
      <c r="E55" s="26" t="s">
        <v>64</v>
      </c>
      <c r="F55" s="27">
        <v>22.438600000000001</v>
      </c>
      <c r="G55" s="28">
        <v>0</v>
      </c>
      <c r="H55" s="27">
        <f t="shared" ref="H55:H60" si="44">F55*AO55</f>
        <v>0</v>
      </c>
      <c r="I55" s="27">
        <f t="shared" ref="I55:I60" si="45">F55*AP55</f>
        <v>0</v>
      </c>
      <c r="J55" s="27">
        <f t="shared" ref="J55:J60" si="46">F55*G55</f>
        <v>0</v>
      </c>
      <c r="K55" s="29" t="s">
        <v>57</v>
      </c>
      <c r="Z55" s="30">
        <f t="shared" ref="Z55:Z60" si="47">IF(AQ55="5",BJ55,0)</f>
        <v>0</v>
      </c>
      <c r="AB55" s="30">
        <f t="shared" ref="AB55:AB60" si="48">IF(AQ55="1",BH55,0)</f>
        <v>0</v>
      </c>
      <c r="AC55" s="30">
        <f t="shared" ref="AC55:AC60" si="49">IF(AQ55="1",BI55,0)</f>
        <v>0</v>
      </c>
      <c r="AD55" s="30">
        <f t="shared" ref="AD55:AD60" si="50">IF(AQ55="7",BH55,0)</f>
        <v>0</v>
      </c>
      <c r="AE55" s="30">
        <f t="shared" ref="AE55:AE60" si="51">IF(AQ55="7",BI55,0)</f>
        <v>0</v>
      </c>
      <c r="AF55" s="30">
        <f t="shared" ref="AF55:AF60" si="52">IF(AQ55="2",BH55,0)</f>
        <v>0</v>
      </c>
      <c r="AG55" s="30">
        <f t="shared" ref="AG55:AG60" si="53">IF(AQ55="2",BI55,0)</f>
        <v>0</v>
      </c>
      <c r="AH55" s="30">
        <f t="shared" ref="AH55:AH60" si="54">IF(AQ55="0",BJ55,0)</f>
        <v>0</v>
      </c>
      <c r="AI55" s="10" t="s">
        <v>50</v>
      </c>
      <c r="AJ55" s="30">
        <f t="shared" ref="AJ55:AJ60" si="55">IF(AN55=0,J55,0)</f>
        <v>0</v>
      </c>
      <c r="AK55" s="30">
        <f t="shared" ref="AK55:AK60" si="56">IF(AN55=12,J55,0)</f>
        <v>0</v>
      </c>
      <c r="AL55" s="30">
        <f t="shared" ref="AL55:AL60" si="57">IF(AN55=21,J55,0)</f>
        <v>0</v>
      </c>
      <c r="AN55" s="30">
        <v>12</v>
      </c>
      <c r="AO55" s="30">
        <f>G55*0.333786147</f>
        <v>0</v>
      </c>
      <c r="AP55" s="30">
        <f>G55*(1-0.333786147)</f>
        <v>0</v>
      </c>
      <c r="AQ55" s="31" t="s">
        <v>53</v>
      </c>
      <c r="AV55" s="30">
        <f t="shared" ref="AV55:AV60" si="58">AW55+AX55</f>
        <v>0</v>
      </c>
      <c r="AW55" s="30">
        <f t="shared" ref="AW55:AW60" si="59">F55*AO55</f>
        <v>0</v>
      </c>
      <c r="AX55" s="30">
        <f t="shared" ref="AX55:AX60" si="60">F55*AP55</f>
        <v>0</v>
      </c>
      <c r="AY55" s="31" t="s">
        <v>169</v>
      </c>
      <c r="AZ55" s="31" t="s">
        <v>170</v>
      </c>
      <c r="BA55" s="10" t="s">
        <v>60</v>
      </c>
      <c r="BC55" s="30">
        <f t="shared" ref="BC55:BC60" si="61">AW55+AX55</f>
        <v>0</v>
      </c>
      <c r="BD55" s="30">
        <f t="shared" ref="BD55:BD60" si="62">G55/(100-BE55)*100</f>
        <v>0</v>
      </c>
      <c r="BE55" s="30">
        <v>0</v>
      </c>
      <c r="BF55" s="30">
        <f>55</f>
        <v>55</v>
      </c>
      <c r="BH55" s="30">
        <f t="shared" ref="BH55:BH60" si="63">F55*AO55</f>
        <v>0</v>
      </c>
      <c r="BI55" s="30">
        <f t="shared" ref="BI55:BI60" si="64">F55*AP55</f>
        <v>0</v>
      </c>
      <c r="BJ55" s="30">
        <f t="shared" ref="BJ55:BJ60" si="65">F55*G55</f>
        <v>0</v>
      </c>
      <c r="BK55" s="30"/>
      <c r="BL55" s="30">
        <v>61</v>
      </c>
      <c r="BW55" s="30">
        <v>12</v>
      </c>
      <c r="BX55" s="4" t="s">
        <v>168</v>
      </c>
    </row>
    <row r="56" spans="1:76" x14ac:dyDescent="0.25">
      <c r="A56" s="32" t="s">
        <v>171</v>
      </c>
      <c r="B56" s="33" t="s">
        <v>172</v>
      </c>
      <c r="C56" s="141" t="s">
        <v>173</v>
      </c>
      <c r="D56" s="142"/>
      <c r="E56" s="33" t="s">
        <v>64</v>
      </c>
      <c r="F56" s="34">
        <v>13.577999999999999</v>
      </c>
      <c r="G56" s="35">
        <v>0</v>
      </c>
      <c r="H56" s="34">
        <f t="shared" si="44"/>
        <v>0</v>
      </c>
      <c r="I56" s="34">
        <f t="shared" si="45"/>
        <v>0</v>
      </c>
      <c r="J56" s="34">
        <f t="shared" si="46"/>
        <v>0</v>
      </c>
      <c r="K56" s="36" t="s">
        <v>57</v>
      </c>
      <c r="Z56" s="30">
        <f t="shared" si="47"/>
        <v>0</v>
      </c>
      <c r="AB56" s="30">
        <f t="shared" si="48"/>
        <v>0</v>
      </c>
      <c r="AC56" s="30">
        <f t="shared" si="49"/>
        <v>0</v>
      </c>
      <c r="AD56" s="30">
        <f t="shared" si="50"/>
        <v>0</v>
      </c>
      <c r="AE56" s="30">
        <f t="shared" si="51"/>
        <v>0</v>
      </c>
      <c r="AF56" s="30">
        <f t="shared" si="52"/>
        <v>0</v>
      </c>
      <c r="AG56" s="30">
        <f t="shared" si="53"/>
        <v>0</v>
      </c>
      <c r="AH56" s="30">
        <f t="shared" si="54"/>
        <v>0</v>
      </c>
      <c r="AI56" s="10" t="s">
        <v>50</v>
      </c>
      <c r="AJ56" s="30">
        <f t="shared" si="55"/>
        <v>0</v>
      </c>
      <c r="AK56" s="30">
        <f t="shared" si="56"/>
        <v>0</v>
      </c>
      <c r="AL56" s="30">
        <f t="shared" si="57"/>
        <v>0</v>
      </c>
      <c r="AN56" s="30">
        <v>12</v>
      </c>
      <c r="AO56" s="30">
        <f>G56*0</f>
        <v>0</v>
      </c>
      <c r="AP56" s="30">
        <f>G56*(1-0)</f>
        <v>0</v>
      </c>
      <c r="AQ56" s="31" t="s">
        <v>53</v>
      </c>
      <c r="AV56" s="30">
        <f t="shared" si="58"/>
        <v>0</v>
      </c>
      <c r="AW56" s="30">
        <f t="shared" si="59"/>
        <v>0</v>
      </c>
      <c r="AX56" s="30">
        <f t="shared" si="60"/>
        <v>0</v>
      </c>
      <c r="AY56" s="31" t="s">
        <v>169</v>
      </c>
      <c r="AZ56" s="31" t="s">
        <v>170</v>
      </c>
      <c r="BA56" s="10" t="s">
        <v>60</v>
      </c>
      <c r="BC56" s="30">
        <f t="shared" si="61"/>
        <v>0</v>
      </c>
      <c r="BD56" s="30">
        <f t="shared" si="62"/>
        <v>0</v>
      </c>
      <c r="BE56" s="30">
        <v>0</v>
      </c>
      <c r="BF56" s="30">
        <f>56</f>
        <v>56</v>
      </c>
      <c r="BH56" s="30">
        <f t="shared" si="63"/>
        <v>0</v>
      </c>
      <c r="BI56" s="30">
        <f t="shared" si="64"/>
        <v>0</v>
      </c>
      <c r="BJ56" s="30">
        <f t="shared" si="65"/>
        <v>0</v>
      </c>
      <c r="BK56" s="30"/>
      <c r="BL56" s="30">
        <v>61</v>
      </c>
      <c r="BW56" s="30">
        <v>12</v>
      </c>
      <c r="BX56" s="4" t="s">
        <v>173</v>
      </c>
    </row>
    <row r="57" spans="1:76" x14ac:dyDescent="0.25">
      <c r="A57" s="32" t="s">
        <v>51</v>
      </c>
      <c r="B57" s="33" t="s">
        <v>107</v>
      </c>
      <c r="C57" s="141" t="s">
        <v>108</v>
      </c>
      <c r="D57" s="142"/>
      <c r="E57" s="33" t="s">
        <v>109</v>
      </c>
      <c r="F57" s="34">
        <v>0.92330000000000001</v>
      </c>
      <c r="G57" s="35">
        <v>0</v>
      </c>
      <c r="H57" s="34">
        <f t="shared" si="44"/>
        <v>0</v>
      </c>
      <c r="I57" s="34">
        <f t="shared" si="45"/>
        <v>0</v>
      </c>
      <c r="J57" s="34">
        <f t="shared" si="46"/>
        <v>0</v>
      </c>
      <c r="K57" s="36" t="s">
        <v>57</v>
      </c>
      <c r="Z57" s="30">
        <f t="shared" si="47"/>
        <v>0</v>
      </c>
      <c r="AB57" s="30">
        <f t="shared" si="48"/>
        <v>0</v>
      </c>
      <c r="AC57" s="30">
        <f t="shared" si="49"/>
        <v>0</v>
      </c>
      <c r="AD57" s="30">
        <f t="shared" si="50"/>
        <v>0</v>
      </c>
      <c r="AE57" s="30">
        <f t="shared" si="51"/>
        <v>0</v>
      </c>
      <c r="AF57" s="30">
        <f t="shared" si="52"/>
        <v>0</v>
      </c>
      <c r="AG57" s="30">
        <f t="shared" si="53"/>
        <v>0</v>
      </c>
      <c r="AH57" s="30">
        <f t="shared" si="54"/>
        <v>0</v>
      </c>
      <c r="AI57" s="10" t="s">
        <v>50</v>
      </c>
      <c r="AJ57" s="30">
        <f t="shared" si="55"/>
        <v>0</v>
      </c>
      <c r="AK57" s="30">
        <f t="shared" si="56"/>
        <v>0</v>
      </c>
      <c r="AL57" s="30">
        <f t="shared" si="57"/>
        <v>0</v>
      </c>
      <c r="AN57" s="30">
        <v>12</v>
      </c>
      <c r="AO57" s="30">
        <f>G57*0</f>
        <v>0</v>
      </c>
      <c r="AP57" s="30">
        <f>G57*(1-0)</f>
        <v>0</v>
      </c>
      <c r="AQ57" s="31" t="s">
        <v>71</v>
      </c>
      <c r="AV57" s="30">
        <f t="shared" si="58"/>
        <v>0</v>
      </c>
      <c r="AW57" s="30">
        <f t="shared" si="59"/>
        <v>0</v>
      </c>
      <c r="AX57" s="30">
        <f t="shared" si="60"/>
        <v>0</v>
      </c>
      <c r="AY57" s="31" t="s">
        <v>169</v>
      </c>
      <c r="AZ57" s="31" t="s">
        <v>170</v>
      </c>
      <c r="BA57" s="10" t="s">
        <v>60</v>
      </c>
      <c r="BC57" s="30">
        <f t="shared" si="61"/>
        <v>0</v>
      </c>
      <c r="BD57" s="30">
        <f t="shared" si="62"/>
        <v>0</v>
      </c>
      <c r="BE57" s="30">
        <v>0</v>
      </c>
      <c r="BF57" s="30">
        <f>57</f>
        <v>57</v>
      </c>
      <c r="BH57" s="30">
        <f t="shared" si="63"/>
        <v>0</v>
      </c>
      <c r="BI57" s="30">
        <f t="shared" si="64"/>
        <v>0</v>
      </c>
      <c r="BJ57" s="30">
        <f t="shared" si="65"/>
        <v>0</v>
      </c>
      <c r="BK57" s="30"/>
      <c r="BL57" s="30">
        <v>61</v>
      </c>
      <c r="BW57" s="30">
        <v>12</v>
      </c>
      <c r="BX57" s="4" t="s">
        <v>108</v>
      </c>
    </row>
    <row r="58" spans="1:76" x14ac:dyDescent="0.25">
      <c r="A58" s="32" t="s">
        <v>174</v>
      </c>
      <c r="B58" s="33" t="s">
        <v>111</v>
      </c>
      <c r="C58" s="141" t="s">
        <v>112</v>
      </c>
      <c r="D58" s="142"/>
      <c r="E58" s="33" t="s">
        <v>109</v>
      </c>
      <c r="F58" s="34">
        <v>0.92330000000000001</v>
      </c>
      <c r="G58" s="35">
        <v>0</v>
      </c>
      <c r="H58" s="34">
        <f t="shared" si="44"/>
        <v>0</v>
      </c>
      <c r="I58" s="34">
        <f t="shared" si="45"/>
        <v>0</v>
      </c>
      <c r="J58" s="34">
        <f t="shared" si="46"/>
        <v>0</v>
      </c>
      <c r="K58" s="36" t="s">
        <v>57</v>
      </c>
      <c r="Z58" s="30">
        <f t="shared" si="47"/>
        <v>0</v>
      </c>
      <c r="AB58" s="30">
        <f t="shared" si="48"/>
        <v>0</v>
      </c>
      <c r="AC58" s="30">
        <f t="shared" si="49"/>
        <v>0</v>
      </c>
      <c r="AD58" s="30">
        <f t="shared" si="50"/>
        <v>0</v>
      </c>
      <c r="AE58" s="30">
        <f t="shared" si="51"/>
        <v>0</v>
      </c>
      <c r="AF58" s="30">
        <f t="shared" si="52"/>
        <v>0</v>
      </c>
      <c r="AG58" s="30">
        <f t="shared" si="53"/>
        <v>0</v>
      </c>
      <c r="AH58" s="30">
        <f t="shared" si="54"/>
        <v>0</v>
      </c>
      <c r="AI58" s="10" t="s">
        <v>50</v>
      </c>
      <c r="AJ58" s="30">
        <f t="shared" si="55"/>
        <v>0</v>
      </c>
      <c r="AK58" s="30">
        <f t="shared" si="56"/>
        <v>0</v>
      </c>
      <c r="AL58" s="30">
        <f t="shared" si="57"/>
        <v>0</v>
      </c>
      <c r="AN58" s="30">
        <v>12</v>
      </c>
      <c r="AO58" s="30">
        <f>G58*0.010795476</f>
        <v>0</v>
      </c>
      <c r="AP58" s="30">
        <f>G58*(1-0.010795476)</f>
        <v>0</v>
      </c>
      <c r="AQ58" s="31" t="s">
        <v>71</v>
      </c>
      <c r="AV58" s="30">
        <f t="shared" si="58"/>
        <v>0</v>
      </c>
      <c r="AW58" s="30">
        <f t="shared" si="59"/>
        <v>0</v>
      </c>
      <c r="AX58" s="30">
        <f t="shared" si="60"/>
        <v>0</v>
      </c>
      <c r="AY58" s="31" t="s">
        <v>169</v>
      </c>
      <c r="AZ58" s="31" t="s">
        <v>170</v>
      </c>
      <c r="BA58" s="10" t="s">
        <v>60</v>
      </c>
      <c r="BC58" s="30">
        <f t="shared" si="61"/>
        <v>0</v>
      </c>
      <c r="BD58" s="30">
        <f t="shared" si="62"/>
        <v>0</v>
      </c>
      <c r="BE58" s="30">
        <v>0</v>
      </c>
      <c r="BF58" s="30">
        <f>58</f>
        <v>58</v>
      </c>
      <c r="BH58" s="30">
        <f t="shared" si="63"/>
        <v>0</v>
      </c>
      <c r="BI58" s="30">
        <f t="shared" si="64"/>
        <v>0</v>
      </c>
      <c r="BJ58" s="30">
        <f t="shared" si="65"/>
        <v>0</v>
      </c>
      <c r="BK58" s="30"/>
      <c r="BL58" s="30">
        <v>61</v>
      </c>
      <c r="BW58" s="30">
        <v>12</v>
      </c>
      <c r="BX58" s="4" t="s">
        <v>112</v>
      </c>
    </row>
    <row r="59" spans="1:76" x14ac:dyDescent="0.25">
      <c r="A59" s="32" t="s">
        <v>175</v>
      </c>
      <c r="B59" s="33" t="s">
        <v>176</v>
      </c>
      <c r="C59" s="141" t="s">
        <v>177</v>
      </c>
      <c r="D59" s="142"/>
      <c r="E59" s="33" t="s">
        <v>109</v>
      </c>
      <c r="F59" s="34">
        <v>0.92330000000000001</v>
      </c>
      <c r="G59" s="35">
        <v>0</v>
      </c>
      <c r="H59" s="34">
        <f t="shared" si="44"/>
        <v>0</v>
      </c>
      <c r="I59" s="34">
        <f t="shared" si="45"/>
        <v>0</v>
      </c>
      <c r="J59" s="34">
        <f t="shared" si="46"/>
        <v>0</v>
      </c>
      <c r="K59" s="36" t="s">
        <v>178</v>
      </c>
      <c r="Z59" s="30">
        <f t="shared" si="47"/>
        <v>0</v>
      </c>
      <c r="AB59" s="30">
        <f t="shared" si="48"/>
        <v>0</v>
      </c>
      <c r="AC59" s="30">
        <f t="shared" si="49"/>
        <v>0</v>
      </c>
      <c r="AD59" s="30">
        <f t="shared" si="50"/>
        <v>0</v>
      </c>
      <c r="AE59" s="30">
        <f t="shared" si="51"/>
        <v>0</v>
      </c>
      <c r="AF59" s="30">
        <f t="shared" si="52"/>
        <v>0</v>
      </c>
      <c r="AG59" s="30">
        <f t="shared" si="53"/>
        <v>0</v>
      </c>
      <c r="AH59" s="30">
        <f t="shared" si="54"/>
        <v>0</v>
      </c>
      <c r="AI59" s="10" t="s">
        <v>50</v>
      </c>
      <c r="AJ59" s="30">
        <f t="shared" si="55"/>
        <v>0</v>
      </c>
      <c r="AK59" s="30">
        <f t="shared" si="56"/>
        <v>0</v>
      </c>
      <c r="AL59" s="30">
        <f t="shared" si="57"/>
        <v>0</v>
      </c>
      <c r="AN59" s="30">
        <v>12</v>
      </c>
      <c r="AO59" s="30">
        <f>G59*0</f>
        <v>0</v>
      </c>
      <c r="AP59" s="30">
        <f>G59*(1-0)</f>
        <v>0</v>
      </c>
      <c r="AQ59" s="31" t="s">
        <v>71</v>
      </c>
      <c r="AV59" s="30">
        <f t="shared" si="58"/>
        <v>0</v>
      </c>
      <c r="AW59" s="30">
        <f t="shared" si="59"/>
        <v>0</v>
      </c>
      <c r="AX59" s="30">
        <f t="shared" si="60"/>
        <v>0</v>
      </c>
      <c r="AY59" s="31" t="s">
        <v>169</v>
      </c>
      <c r="AZ59" s="31" t="s">
        <v>170</v>
      </c>
      <c r="BA59" s="10" t="s">
        <v>60</v>
      </c>
      <c r="BC59" s="30">
        <f t="shared" si="61"/>
        <v>0</v>
      </c>
      <c r="BD59" s="30">
        <f t="shared" si="62"/>
        <v>0</v>
      </c>
      <c r="BE59" s="30">
        <v>0</v>
      </c>
      <c r="BF59" s="30">
        <f>59</f>
        <v>59</v>
      </c>
      <c r="BH59" s="30">
        <f t="shared" si="63"/>
        <v>0</v>
      </c>
      <c r="BI59" s="30">
        <f t="shared" si="64"/>
        <v>0</v>
      </c>
      <c r="BJ59" s="30">
        <f t="shared" si="65"/>
        <v>0</v>
      </c>
      <c r="BK59" s="30"/>
      <c r="BL59" s="30">
        <v>61</v>
      </c>
      <c r="BW59" s="30">
        <v>12</v>
      </c>
      <c r="BX59" s="4" t="s">
        <v>177</v>
      </c>
    </row>
    <row r="60" spans="1:76" x14ac:dyDescent="0.25">
      <c r="A60" s="32" t="s">
        <v>179</v>
      </c>
      <c r="B60" s="33" t="s">
        <v>180</v>
      </c>
      <c r="C60" s="141" t="s">
        <v>181</v>
      </c>
      <c r="D60" s="142"/>
      <c r="E60" s="33" t="s">
        <v>99</v>
      </c>
      <c r="F60" s="34">
        <v>213.05</v>
      </c>
      <c r="G60" s="35">
        <v>0</v>
      </c>
      <c r="H60" s="34">
        <f t="shared" si="44"/>
        <v>0</v>
      </c>
      <c r="I60" s="34">
        <f t="shared" si="45"/>
        <v>0</v>
      </c>
      <c r="J60" s="34">
        <f t="shared" si="46"/>
        <v>0</v>
      </c>
      <c r="K60" s="36" t="s">
        <v>57</v>
      </c>
      <c r="Z60" s="30">
        <f t="shared" si="47"/>
        <v>0</v>
      </c>
      <c r="AB60" s="30">
        <f t="shared" si="48"/>
        <v>0</v>
      </c>
      <c r="AC60" s="30">
        <f t="shared" si="49"/>
        <v>0</v>
      </c>
      <c r="AD60" s="30">
        <f t="shared" si="50"/>
        <v>0</v>
      </c>
      <c r="AE60" s="30">
        <f t="shared" si="51"/>
        <v>0</v>
      </c>
      <c r="AF60" s="30">
        <f t="shared" si="52"/>
        <v>0</v>
      </c>
      <c r="AG60" s="30">
        <f t="shared" si="53"/>
        <v>0</v>
      </c>
      <c r="AH60" s="30">
        <f t="shared" si="54"/>
        <v>0</v>
      </c>
      <c r="AI60" s="10" t="s">
        <v>50</v>
      </c>
      <c r="AJ60" s="30">
        <f t="shared" si="55"/>
        <v>0</v>
      </c>
      <c r="AK60" s="30">
        <f t="shared" si="56"/>
        <v>0</v>
      </c>
      <c r="AL60" s="30">
        <f t="shared" si="57"/>
        <v>0</v>
      </c>
      <c r="AN60" s="30">
        <v>12</v>
      </c>
      <c r="AO60" s="30">
        <f>G60*0.436972976</f>
        <v>0</v>
      </c>
      <c r="AP60" s="30">
        <f>G60*(1-0.436972976)</f>
        <v>0</v>
      </c>
      <c r="AQ60" s="31" t="s">
        <v>53</v>
      </c>
      <c r="AV60" s="30">
        <f t="shared" si="58"/>
        <v>0</v>
      </c>
      <c r="AW60" s="30">
        <f t="shared" si="59"/>
        <v>0</v>
      </c>
      <c r="AX60" s="30">
        <f t="shared" si="60"/>
        <v>0</v>
      </c>
      <c r="AY60" s="31" t="s">
        <v>169</v>
      </c>
      <c r="AZ60" s="31" t="s">
        <v>170</v>
      </c>
      <c r="BA60" s="10" t="s">
        <v>60</v>
      </c>
      <c r="BC60" s="30">
        <f t="shared" si="61"/>
        <v>0</v>
      </c>
      <c r="BD60" s="30">
        <f t="shared" si="62"/>
        <v>0</v>
      </c>
      <c r="BE60" s="30">
        <v>0</v>
      </c>
      <c r="BF60" s="30">
        <f>60</f>
        <v>60</v>
      </c>
      <c r="BH60" s="30">
        <f t="shared" si="63"/>
        <v>0</v>
      </c>
      <c r="BI60" s="30">
        <f t="shared" si="64"/>
        <v>0</v>
      </c>
      <c r="BJ60" s="30">
        <f t="shared" si="65"/>
        <v>0</v>
      </c>
      <c r="BK60" s="30"/>
      <c r="BL60" s="30">
        <v>61</v>
      </c>
      <c r="BW60" s="30">
        <v>12</v>
      </c>
      <c r="BX60" s="4" t="s">
        <v>181</v>
      </c>
    </row>
    <row r="61" spans="1:76" ht="13.5" customHeight="1" x14ac:dyDescent="0.25">
      <c r="A61" s="37"/>
      <c r="B61" s="38" t="s">
        <v>84</v>
      </c>
      <c r="C61" s="152" t="s">
        <v>182</v>
      </c>
      <c r="D61" s="153"/>
      <c r="E61" s="153"/>
      <c r="F61" s="153"/>
      <c r="G61" s="154"/>
      <c r="H61" s="153"/>
      <c r="I61" s="153"/>
      <c r="J61" s="153"/>
      <c r="K61" s="155"/>
    </row>
    <row r="62" spans="1:76" x14ac:dyDescent="0.25">
      <c r="A62" s="25" t="s">
        <v>183</v>
      </c>
      <c r="B62" s="26" t="s">
        <v>184</v>
      </c>
      <c r="C62" s="150" t="s">
        <v>185</v>
      </c>
      <c r="D62" s="151"/>
      <c r="E62" s="26" t="s">
        <v>64</v>
      </c>
      <c r="F62" s="27">
        <v>13.577999999999999</v>
      </c>
      <c r="G62" s="28">
        <v>0</v>
      </c>
      <c r="H62" s="27">
        <f t="shared" ref="H62:H68" si="66">F62*AO62</f>
        <v>0</v>
      </c>
      <c r="I62" s="27">
        <f t="shared" ref="I62:I68" si="67">F62*AP62</f>
        <v>0</v>
      </c>
      <c r="J62" s="27">
        <f t="shared" ref="J62:J68" si="68">F62*G62</f>
        <v>0</v>
      </c>
      <c r="K62" s="29" t="s">
        <v>57</v>
      </c>
      <c r="Z62" s="30">
        <f t="shared" ref="Z62:Z68" si="69">IF(AQ62="5",BJ62,0)</f>
        <v>0</v>
      </c>
      <c r="AB62" s="30">
        <f t="shared" ref="AB62:AB68" si="70">IF(AQ62="1",BH62,0)</f>
        <v>0</v>
      </c>
      <c r="AC62" s="30">
        <f t="shared" ref="AC62:AC68" si="71">IF(AQ62="1",BI62,0)</f>
        <v>0</v>
      </c>
      <c r="AD62" s="30">
        <f t="shared" ref="AD62:AD68" si="72">IF(AQ62="7",BH62,0)</f>
        <v>0</v>
      </c>
      <c r="AE62" s="30">
        <f t="shared" ref="AE62:AE68" si="73">IF(AQ62="7",BI62,0)</f>
        <v>0</v>
      </c>
      <c r="AF62" s="30">
        <f t="shared" ref="AF62:AF68" si="74">IF(AQ62="2",BH62,0)</f>
        <v>0</v>
      </c>
      <c r="AG62" s="30">
        <f t="shared" ref="AG62:AG68" si="75">IF(AQ62="2",BI62,0)</f>
        <v>0</v>
      </c>
      <c r="AH62" s="30">
        <f t="shared" ref="AH62:AH68" si="76">IF(AQ62="0",BJ62,0)</f>
        <v>0</v>
      </c>
      <c r="AI62" s="10" t="s">
        <v>50</v>
      </c>
      <c r="AJ62" s="30">
        <f t="shared" ref="AJ62:AJ68" si="77">IF(AN62=0,J62,0)</f>
        <v>0</v>
      </c>
      <c r="AK62" s="30">
        <f t="shared" ref="AK62:AK68" si="78">IF(AN62=12,J62,0)</f>
        <v>0</v>
      </c>
      <c r="AL62" s="30">
        <f t="shared" ref="AL62:AL68" si="79">IF(AN62=21,J62,0)</f>
        <v>0</v>
      </c>
      <c r="AN62" s="30">
        <v>12</v>
      </c>
      <c r="AO62" s="30">
        <f>G62*0.256491318</f>
        <v>0</v>
      </c>
      <c r="AP62" s="30">
        <f>G62*(1-0.256491318)</f>
        <v>0</v>
      </c>
      <c r="AQ62" s="31" t="s">
        <v>53</v>
      </c>
      <c r="AV62" s="30">
        <f t="shared" ref="AV62:AV68" si="80">AW62+AX62</f>
        <v>0</v>
      </c>
      <c r="AW62" s="30">
        <f t="shared" ref="AW62:AW68" si="81">F62*AO62</f>
        <v>0</v>
      </c>
      <c r="AX62" s="30">
        <f t="shared" ref="AX62:AX68" si="82">F62*AP62</f>
        <v>0</v>
      </c>
      <c r="AY62" s="31" t="s">
        <v>169</v>
      </c>
      <c r="AZ62" s="31" t="s">
        <v>170</v>
      </c>
      <c r="BA62" s="10" t="s">
        <v>60</v>
      </c>
      <c r="BC62" s="30">
        <f t="shared" ref="BC62:BC68" si="83">AW62+AX62</f>
        <v>0</v>
      </c>
      <c r="BD62" s="30">
        <f t="shared" ref="BD62:BD68" si="84">G62/(100-BE62)*100</f>
        <v>0</v>
      </c>
      <c r="BE62" s="30">
        <v>0</v>
      </c>
      <c r="BF62" s="30">
        <f>62</f>
        <v>62</v>
      </c>
      <c r="BH62" s="30">
        <f t="shared" ref="BH62:BH68" si="85">F62*AO62</f>
        <v>0</v>
      </c>
      <c r="BI62" s="30">
        <f t="shared" ref="BI62:BI68" si="86">F62*AP62</f>
        <v>0</v>
      </c>
      <c r="BJ62" s="30">
        <f t="shared" ref="BJ62:BJ68" si="87">F62*G62</f>
        <v>0</v>
      </c>
      <c r="BK62" s="30"/>
      <c r="BL62" s="30">
        <v>61</v>
      </c>
      <c r="BW62" s="30">
        <v>12</v>
      </c>
      <c r="BX62" s="4" t="s">
        <v>185</v>
      </c>
    </row>
    <row r="63" spans="1:76" x14ac:dyDescent="0.25">
      <c r="A63" s="32" t="s">
        <v>186</v>
      </c>
      <c r="B63" s="33" t="s">
        <v>187</v>
      </c>
      <c r="C63" s="141" t="s">
        <v>188</v>
      </c>
      <c r="D63" s="142"/>
      <c r="E63" s="33" t="s">
        <v>64</v>
      </c>
      <c r="F63" s="34">
        <v>403.69159999999999</v>
      </c>
      <c r="G63" s="35">
        <v>0</v>
      </c>
      <c r="H63" s="34">
        <f t="shared" si="66"/>
        <v>0</v>
      </c>
      <c r="I63" s="34">
        <f t="shared" si="67"/>
        <v>0</v>
      </c>
      <c r="J63" s="34">
        <f t="shared" si="68"/>
        <v>0</v>
      </c>
      <c r="K63" s="36" t="s">
        <v>57</v>
      </c>
      <c r="Z63" s="30">
        <f t="shared" si="69"/>
        <v>0</v>
      </c>
      <c r="AB63" s="30">
        <f t="shared" si="70"/>
        <v>0</v>
      </c>
      <c r="AC63" s="30">
        <f t="shared" si="71"/>
        <v>0</v>
      </c>
      <c r="AD63" s="30">
        <f t="shared" si="72"/>
        <v>0</v>
      </c>
      <c r="AE63" s="30">
        <f t="shared" si="73"/>
        <v>0</v>
      </c>
      <c r="AF63" s="30">
        <f t="shared" si="74"/>
        <v>0</v>
      </c>
      <c r="AG63" s="30">
        <f t="shared" si="75"/>
        <v>0</v>
      </c>
      <c r="AH63" s="30">
        <f t="shared" si="76"/>
        <v>0</v>
      </c>
      <c r="AI63" s="10" t="s">
        <v>50</v>
      </c>
      <c r="AJ63" s="30">
        <f t="shared" si="77"/>
        <v>0</v>
      </c>
      <c r="AK63" s="30">
        <f t="shared" si="78"/>
        <v>0</v>
      </c>
      <c r="AL63" s="30">
        <f t="shared" si="79"/>
        <v>0</v>
      </c>
      <c r="AN63" s="30">
        <v>12</v>
      </c>
      <c r="AO63" s="30">
        <f>G63*0.090183286</f>
        <v>0</v>
      </c>
      <c r="AP63" s="30">
        <f>G63*(1-0.090183286)</f>
        <v>0</v>
      </c>
      <c r="AQ63" s="31" t="s">
        <v>53</v>
      </c>
      <c r="AV63" s="30">
        <f t="shared" si="80"/>
        <v>0</v>
      </c>
      <c r="AW63" s="30">
        <f t="shared" si="81"/>
        <v>0</v>
      </c>
      <c r="AX63" s="30">
        <f t="shared" si="82"/>
        <v>0</v>
      </c>
      <c r="AY63" s="31" t="s">
        <v>169</v>
      </c>
      <c r="AZ63" s="31" t="s">
        <v>170</v>
      </c>
      <c r="BA63" s="10" t="s">
        <v>60</v>
      </c>
      <c r="BC63" s="30">
        <f t="shared" si="83"/>
        <v>0</v>
      </c>
      <c r="BD63" s="30">
        <f t="shared" si="84"/>
        <v>0</v>
      </c>
      <c r="BE63" s="30">
        <v>0</v>
      </c>
      <c r="BF63" s="30">
        <f>63</f>
        <v>63</v>
      </c>
      <c r="BH63" s="30">
        <f t="shared" si="85"/>
        <v>0</v>
      </c>
      <c r="BI63" s="30">
        <f t="shared" si="86"/>
        <v>0</v>
      </c>
      <c r="BJ63" s="30">
        <f t="shared" si="87"/>
        <v>0</v>
      </c>
      <c r="BK63" s="30"/>
      <c r="BL63" s="30">
        <v>61</v>
      </c>
      <c r="BW63" s="30">
        <v>12</v>
      </c>
      <c r="BX63" s="4" t="s">
        <v>188</v>
      </c>
    </row>
    <row r="64" spans="1:76" x14ac:dyDescent="0.25">
      <c r="A64" s="32" t="s">
        <v>189</v>
      </c>
      <c r="B64" s="33" t="s">
        <v>190</v>
      </c>
      <c r="C64" s="141" t="s">
        <v>191</v>
      </c>
      <c r="D64" s="142"/>
      <c r="E64" s="33" t="s">
        <v>64</v>
      </c>
      <c r="F64" s="34">
        <v>23.954000000000001</v>
      </c>
      <c r="G64" s="35">
        <v>0</v>
      </c>
      <c r="H64" s="34">
        <f t="shared" si="66"/>
        <v>0</v>
      </c>
      <c r="I64" s="34">
        <f t="shared" si="67"/>
        <v>0</v>
      </c>
      <c r="J64" s="34">
        <f t="shared" si="68"/>
        <v>0</v>
      </c>
      <c r="K64" s="36" t="s">
        <v>57</v>
      </c>
      <c r="Z64" s="30">
        <f t="shared" si="69"/>
        <v>0</v>
      </c>
      <c r="AB64" s="30">
        <f t="shared" si="70"/>
        <v>0</v>
      </c>
      <c r="AC64" s="30">
        <f t="shared" si="71"/>
        <v>0</v>
      </c>
      <c r="AD64" s="30">
        <f t="shared" si="72"/>
        <v>0</v>
      </c>
      <c r="AE64" s="30">
        <f t="shared" si="73"/>
        <v>0</v>
      </c>
      <c r="AF64" s="30">
        <f t="shared" si="74"/>
        <v>0</v>
      </c>
      <c r="AG64" s="30">
        <f t="shared" si="75"/>
        <v>0</v>
      </c>
      <c r="AH64" s="30">
        <f t="shared" si="76"/>
        <v>0</v>
      </c>
      <c r="AI64" s="10" t="s">
        <v>50</v>
      </c>
      <c r="AJ64" s="30">
        <f t="shared" si="77"/>
        <v>0</v>
      </c>
      <c r="AK64" s="30">
        <f t="shared" si="78"/>
        <v>0</v>
      </c>
      <c r="AL64" s="30">
        <f t="shared" si="79"/>
        <v>0</v>
      </c>
      <c r="AN64" s="30">
        <v>12</v>
      </c>
      <c r="AO64" s="30">
        <f>G64*0</f>
        <v>0</v>
      </c>
      <c r="AP64" s="30">
        <f>G64*(1-0)</f>
        <v>0</v>
      </c>
      <c r="AQ64" s="31" t="s">
        <v>53</v>
      </c>
      <c r="AV64" s="30">
        <f t="shared" si="80"/>
        <v>0</v>
      </c>
      <c r="AW64" s="30">
        <f t="shared" si="81"/>
        <v>0</v>
      </c>
      <c r="AX64" s="30">
        <f t="shared" si="82"/>
        <v>0</v>
      </c>
      <c r="AY64" s="31" t="s">
        <v>169</v>
      </c>
      <c r="AZ64" s="31" t="s">
        <v>170</v>
      </c>
      <c r="BA64" s="10" t="s">
        <v>60</v>
      </c>
      <c r="BC64" s="30">
        <f t="shared" si="83"/>
        <v>0</v>
      </c>
      <c r="BD64" s="30">
        <f t="shared" si="84"/>
        <v>0</v>
      </c>
      <c r="BE64" s="30">
        <v>0</v>
      </c>
      <c r="BF64" s="30">
        <f>64</f>
        <v>64</v>
      </c>
      <c r="BH64" s="30">
        <f t="shared" si="85"/>
        <v>0</v>
      </c>
      <c r="BI64" s="30">
        <f t="shared" si="86"/>
        <v>0</v>
      </c>
      <c r="BJ64" s="30">
        <f t="shared" si="87"/>
        <v>0</v>
      </c>
      <c r="BK64" s="30"/>
      <c r="BL64" s="30">
        <v>61</v>
      </c>
      <c r="BW64" s="30">
        <v>12</v>
      </c>
      <c r="BX64" s="4" t="s">
        <v>191</v>
      </c>
    </row>
    <row r="65" spans="1:76" x14ac:dyDescent="0.25">
      <c r="A65" s="32" t="s">
        <v>192</v>
      </c>
      <c r="B65" s="33" t="s">
        <v>193</v>
      </c>
      <c r="C65" s="141" t="s">
        <v>194</v>
      </c>
      <c r="D65" s="142"/>
      <c r="E65" s="33" t="s">
        <v>195</v>
      </c>
      <c r="F65" s="34">
        <v>75.455100000000002</v>
      </c>
      <c r="G65" s="35">
        <v>0</v>
      </c>
      <c r="H65" s="34">
        <f t="shared" si="66"/>
        <v>0</v>
      </c>
      <c r="I65" s="34">
        <f t="shared" si="67"/>
        <v>0</v>
      </c>
      <c r="J65" s="34">
        <f t="shared" si="68"/>
        <v>0</v>
      </c>
      <c r="K65" s="36" t="s">
        <v>57</v>
      </c>
      <c r="Z65" s="30">
        <f t="shared" si="69"/>
        <v>0</v>
      </c>
      <c r="AB65" s="30">
        <f t="shared" si="70"/>
        <v>0</v>
      </c>
      <c r="AC65" s="30">
        <f t="shared" si="71"/>
        <v>0</v>
      </c>
      <c r="AD65" s="30">
        <f t="shared" si="72"/>
        <v>0</v>
      </c>
      <c r="AE65" s="30">
        <f t="shared" si="73"/>
        <v>0</v>
      </c>
      <c r="AF65" s="30">
        <f t="shared" si="74"/>
        <v>0</v>
      </c>
      <c r="AG65" s="30">
        <f t="shared" si="75"/>
        <v>0</v>
      </c>
      <c r="AH65" s="30">
        <f t="shared" si="76"/>
        <v>0</v>
      </c>
      <c r="AI65" s="10" t="s">
        <v>50</v>
      </c>
      <c r="AJ65" s="30">
        <f t="shared" si="77"/>
        <v>0</v>
      </c>
      <c r="AK65" s="30">
        <f t="shared" si="78"/>
        <v>0</v>
      </c>
      <c r="AL65" s="30">
        <f t="shared" si="79"/>
        <v>0</v>
      </c>
      <c r="AN65" s="30">
        <v>12</v>
      </c>
      <c r="AO65" s="30">
        <f>G65*1</f>
        <v>0</v>
      </c>
      <c r="AP65" s="30">
        <f>G65*(1-1)</f>
        <v>0</v>
      </c>
      <c r="AQ65" s="31" t="s">
        <v>53</v>
      </c>
      <c r="AV65" s="30">
        <f t="shared" si="80"/>
        <v>0</v>
      </c>
      <c r="AW65" s="30">
        <f t="shared" si="81"/>
        <v>0</v>
      </c>
      <c r="AX65" s="30">
        <f t="shared" si="82"/>
        <v>0</v>
      </c>
      <c r="AY65" s="31" t="s">
        <v>169</v>
      </c>
      <c r="AZ65" s="31" t="s">
        <v>170</v>
      </c>
      <c r="BA65" s="10" t="s">
        <v>60</v>
      </c>
      <c r="BC65" s="30">
        <f t="shared" si="83"/>
        <v>0</v>
      </c>
      <c r="BD65" s="30">
        <f t="shared" si="84"/>
        <v>0</v>
      </c>
      <c r="BE65" s="30">
        <v>0</v>
      </c>
      <c r="BF65" s="30">
        <f>65</f>
        <v>65</v>
      </c>
      <c r="BH65" s="30">
        <f t="shared" si="85"/>
        <v>0</v>
      </c>
      <c r="BI65" s="30">
        <f t="shared" si="86"/>
        <v>0</v>
      </c>
      <c r="BJ65" s="30">
        <f t="shared" si="87"/>
        <v>0</v>
      </c>
      <c r="BK65" s="30"/>
      <c r="BL65" s="30">
        <v>61</v>
      </c>
      <c r="BW65" s="30">
        <v>12</v>
      </c>
      <c r="BX65" s="4" t="s">
        <v>194</v>
      </c>
    </row>
    <row r="66" spans="1:76" x14ac:dyDescent="0.25">
      <c r="A66" s="32" t="s">
        <v>196</v>
      </c>
      <c r="B66" s="33" t="s">
        <v>197</v>
      </c>
      <c r="C66" s="141" t="s">
        <v>198</v>
      </c>
      <c r="D66" s="142"/>
      <c r="E66" s="33" t="s">
        <v>64</v>
      </c>
      <c r="F66" s="34">
        <v>33.444000000000003</v>
      </c>
      <c r="G66" s="35">
        <v>0</v>
      </c>
      <c r="H66" s="34">
        <f t="shared" si="66"/>
        <v>0</v>
      </c>
      <c r="I66" s="34">
        <f t="shared" si="67"/>
        <v>0</v>
      </c>
      <c r="J66" s="34">
        <f t="shared" si="68"/>
        <v>0</v>
      </c>
      <c r="K66" s="36" t="s">
        <v>57</v>
      </c>
      <c r="Z66" s="30">
        <f t="shared" si="69"/>
        <v>0</v>
      </c>
      <c r="AB66" s="30">
        <f t="shared" si="70"/>
        <v>0</v>
      </c>
      <c r="AC66" s="30">
        <f t="shared" si="71"/>
        <v>0</v>
      </c>
      <c r="AD66" s="30">
        <f t="shared" si="72"/>
        <v>0</v>
      </c>
      <c r="AE66" s="30">
        <f t="shared" si="73"/>
        <v>0</v>
      </c>
      <c r="AF66" s="30">
        <f t="shared" si="74"/>
        <v>0</v>
      </c>
      <c r="AG66" s="30">
        <f t="shared" si="75"/>
        <v>0</v>
      </c>
      <c r="AH66" s="30">
        <f t="shared" si="76"/>
        <v>0</v>
      </c>
      <c r="AI66" s="10" t="s">
        <v>50</v>
      </c>
      <c r="AJ66" s="30">
        <f t="shared" si="77"/>
        <v>0</v>
      </c>
      <c r="AK66" s="30">
        <f t="shared" si="78"/>
        <v>0</v>
      </c>
      <c r="AL66" s="30">
        <f t="shared" si="79"/>
        <v>0</v>
      </c>
      <c r="AN66" s="30">
        <v>12</v>
      </c>
      <c r="AO66" s="30">
        <f>G66*0.254414556</f>
        <v>0</v>
      </c>
      <c r="AP66" s="30">
        <f>G66*(1-0.254414556)</f>
        <v>0</v>
      </c>
      <c r="AQ66" s="31" t="s">
        <v>53</v>
      </c>
      <c r="AV66" s="30">
        <f t="shared" si="80"/>
        <v>0</v>
      </c>
      <c r="AW66" s="30">
        <f t="shared" si="81"/>
        <v>0</v>
      </c>
      <c r="AX66" s="30">
        <f t="shared" si="82"/>
        <v>0</v>
      </c>
      <c r="AY66" s="31" t="s">
        <v>169</v>
      </c>
      <c r="AZ66" s="31" t="s">
        <v>170</v>
      </c>
      <c r="BA66" s="10" t="s">
        <v>60</v>
      </c>
      <c r="BC66" s="30">
        <f t="shared" si="83"/>
        <v>0</v>
      </c>
      <c r="BD66" s="30">
        <f t="shared" si="84"/>
        <v>0</v>
      </c>
      <c r="BE66" s="30">
        <v>0</v>
      </c>
      <c r="BF66" s="30">
        <f>66</f>
        <v>66</v>
      </c>
      <c r="BH66" s="30">
        <f t="shared" si="85"/>
        <v>0</v>
      </c>
      <c r="BI66" s="30">
        <f t="shared" si="86"/>
        <v>0</v>
      </c>
      <c r="BJ66" s="30">
        <f t="shared" si="87"/>
        <v>0</v>
      </c>
      <c r="BK66" s="30"/>
      <c r="BL66" s="30">
        <v>61</v>
      </c>
      <c r="BW66" s="30">
        <v>12</v>
      </c>
      <c r="BX66" s="4" t="s">
        <v>198</v>
      </c>
    </row>
    <row r="67" spans="1:76" x14ac:dyDescent="0.25">
      <c r="A67" s="32" t="s">
        <v>199</v>
      </c>
      <c r="B67" s="33" t="s">
        <v>200</v>
      </c>
      <c r="C67" s="141" t="s">
        <v>201</v>
      </c>
      <c r="D67" s="142"/>
      <c r="E67" s="33" t="s">
        <v>99</v>
      </c>
      <c r="F67" s="34">
        <v>38</v>
      </c>
      <c r="G67" s="35">
        <v>0</v>
      </c>
      <c r="H67" s="34">
        <f t="shared" si="66"/>
        <v>0</v>
      </c>
      <c r="I67" s="34">
        <f t="shared" si="67"/>
        <v>0</v>
      </c>
      <c r="J67" s="34">
        <f t="shared" si="68"/>
        <v>0</v>
      </c>
      <c r="K67" s="36" t="s">
        <v>57</v>
      </c>
      <c r="Z67" s="30">
        <f t="shared" si="69"/>
        <v>0</v>
      </c>
      <c r="AB67" s="30">
        <f t="shared" si="70"/>
        <v>0</v>
      </c>
      <c r="AC67" s="30">
        <f t="shared" si="71"/>
        <v>0</v>
      </c>
      <c r="AD67" s="30">
        <f t="shared" si="72"/>
        <v>0</v>
      </c>
      <c r="AE67" s="30">
        <f t="shared" si="73"/>
        <v>0</v>
      </c>
      <c r="AF67" s="30">
        <f t="shared" si="74"/>
        <v>0</v>
      </c>
      <c r="AG67" s="30">
        <f t="shared" si="75"/>
        <v>0</v>
      </c>
      <c r="AH67" s="30">
        <f t="shared" si="76"/>
        <v>0</v>
      </c>
      <c r="AI67" s="10" t="s">
        <v>50</v>
      </c>
      <c r="AJ67" s="30">
        <f t="shared" si="77"/>
        <v>0</v>
      </c>
      <c r="AK67" s="30">
        <f t="shared" si="78"/>
        <v>0</v>
      </c>
      <c r="AL67" s="30">
        <f t="shared" si="79"/>
        <v>0</v>
      </c>
      <c r="AN67" s="30">
        <v>12</v>
      </c>
      <c r="AO67" s="30">
        <f>G67*0.86306163</f>
        <v>0</v>
      </c>
      <c r="AP67" s="30">
        <f>G67*(1-0.86306163)</f>
        <v>0</v>
      </c>
      <c r="AQ67" s="31" t="s">
        <v>53</v>
      </c>
      <c r="AV67" s="30">
        <f t="shared" si="80"/>
        <v>0</v>
      </c>
      <c r="AW67" s="30">
        <f t="shared" si="81"/>
        <v>0</v>
      </c>
      <c r="AX67" s="30">
        <f t="shared" si="82"/>
        <v>0</v>
      </c>
      <c r="AY67" s="31" t="s">
        <v>169</v>
      </c>
      <c r="AZ67" s="31" t="s">
        <v>170</v>
      </c>
      <c r="BA67" s="10" t="s">
        <v>60</v>
      </c>
      <c r="BC67" s="30">
        <f t="shared" si="83"/>
        <v>0</v>
      </c>
      <c r="BD67" s="30">
        <f t="shared" si="84"/>
        <v>0</v>
      </c>
      <c r="BE67" s="30">
        <v>0</v>
      </c>
      <c r="BF67" s="30">
        <f>67</f>
        <v>67</v>
      </c>
      <c r="BH67" s="30">
        <f t="shared" si="85"/>
        <v>0</v>
      </c>
      <c r="BI67" s="30">
        <f t="shared" si="86"/>
        <v>0</v>
      </c>
      <c r="BJ67" s="30">
        <f t="shared" si="87"/>
        <v>0</v>
      </c>
      <c r="BK67" s="30"/>
      <c r="BL67" s="30">
        <v>61</v>
      </c>
      <c r="BW67" s="30">
        <v>12</v>
      </c>
      <c r="BX67" s="4" t="s">
        <v>201</v>
      </c>
    </row>
    <row r="68" spans="1:76" x14ac:dyDescent="0.25">
      <c r="A68" s="32" t="s">
        <v>202</v>
      </c>
      <c r="B68" s="33" t="s">
        <v>203</v>
      </c>
      <c r="C68" s="141" t="s">
        <v>204</v>
      </c>
      <c r="D68" s="142"/>
      <c r="E68" s="33" t="s">
        <v>64</v>
      </c>
      <c r="F68" s="34">
        <v>302.3716</v>
      </c>
      <c r="G68" s="35">
        <v>0</v>
      </c>
      <c r="H68" s="34">
        <f t="shared" si="66"/>
        <v>0</v>
      </c>
      <c r="I68" s="34">
        <f t="shared" si="67"/>
        <v>0</v>
      </c>
      <c r="J68" s="34">
        <f t="shared" si="68"/>
        <v>0</v>
      </c>
      <c r="K68" s="36" t="s">
        <v>57</v>
      </c>
      <c r="Z68" s="30">
        <f t="shared" si="69"/>
        <v>0</v>
      </c>
      <c r="AB68" s="30">
        <f t="shared" si="70"/>
        <v>0</v>
      </c>
      <c r="AC68" s="30">
        <f t="shared" si="71"/>
        <v>0</v>
      </c>
      <c r="AD68" s="30">
        <f t="shared" si="72"/>
        <v>0</v>
      </c>
      <c r="AE68" s="30">
        <f t="shared" si="73"/>
        <v>0</v>
      </c>
      <c r="AF68" s="30">
        <f t="shared" si="74"/>
        <v>0</v>
      </c>
      <c r="AG68" s="30">
        <f t="shared" si="75"/>
        <v>0</v>
      </c>
      <c r="AH68" s="30">
        <f t="shared" si="76"/>
        <v>0</v>
      </c>
      <c r="AI68" s="10" t="s">
        <v>50</v>
      </c>
      <c r="AJ68" s="30">
        <f t="shared" si="77"/>
        <v>0</v>
      </c>
      <c r="AK68" s="30">
        <f t="shared" si="78"/>
        <v>0</v>
      </c>
      <c r="AL68" s="30">
        <f t="shared" si="79"/>
        <v>0</v>
      </c>
      <c r="AN68" s="30">
        <v>12</v>
      </c>
      <c r="AO68" s="30">
        <f>G68*0.347656959</f>
        <v>0</v>
      </c>
      <c r="AP68" s="30">
        <f>G68*(1-0.347656959)</f>
        <v>0</v>
      </c>
      <c r="AQ68" s="31" t="s">
        <v>53</v>
      </c>
      <c r="AV68" s="30">
        <f t="shared" si="80"/>
        <v>0</v>
      </c>
      <c r="AW68" s="30">
        <f t="shared" si="81"/>
        <v>0</v>
      </c>
      <c r="AX68" s="30">
        <f t="shared" si="82"/>
        <v>0</v>
      </c>
      <c r="AY68" s="31" t="s">
        <v>169</v>
      </c>
      <c r="AZ68" s="31" t="s">
        <v>170</v>
      </c>
      <c r="BA68" s="10" t="s">
        <v>60</v>
      </c>
      <c r="BC68" s="30">
        <f t="shared" si="83"/>
        <v>0</v>
      </c>
      <c r="BD68" s="30">
        <f t="shared" si="84"/>
        <v>0</v>
      </c>
      <c r="BE68" s="30">
        <v>0</v>
      </c>
      <c r="BF68" s="30">
        <f>68</f>
        <v>68</v>
      </c>
      <c r="BH68" s="30">
        <f t="shared" si="85"/>
        <v>0</v>
      </c>
      <c r="BI68" s="30">
        <f t="shared" si="86"/>
        <v>0</v>
      </c>
      <c r="BJ68" s="30">
        <f t="shared" si="87"/>
        <v>0</v>
      </c>
      <c r="BK68" s="30"/>
      <c r="BL68" s="30">
        <v>61</v>
      </c>
      <c r="BW68" s="30">
        <v>12</v>
      </c>
      <c r="BX68" s="4" t="s">
        <v>204</v>
      </c>
    </row>
    <row r="69" spans="1:76" ht="13.5" customHeight="1" x14ac:dyDescent="0.25">
      <c r="A69" s="37"/>
      <c r="B69" s="38" t="s">
        <v>84</v>
      </c>
      <c r="C69" s="152" t="s">
        <v>205</v>
      </c>
      <c r="D69" s="153"/>
      <c r="E69" s="153"/>
      <c r="F69" s="153"/>
      <c r="G69" s="154"/>
      <c r="H69" s="153"/>
      <c r="I69" s="153"/>
      <c r="J69" s="153"/>
      <c r="K69" s="155"/>
    </row>
    <row r="70" spans="1:76" x14ac:dyDescent="0.25">
      <c r="A70" s="25" t="s">
        <v>206</v>
      </c>
      <c r="B70" s="26" t="s">
        <v>207</v>
      </c>
      <c r="C70" s="150" t="s">
        <v>208</v>
      </c>
      <c r="D70" s="151"/>
      <c r="E70" s="26" t="s">
        <v>99</v>
      </c>
      <c r="F70" s="27">
        <v>135.501</v>
      </c>
      <c r="G70" s="28">
        <v>0</v>
      </c>
      <c r="H70" s="27">
        <f>F70*AO70</f>
        <v>0</v>
      </c>
      <c r="I70" s="27">
        <f>F70*AP70</f>
        <v>0</v>
      </c>
      <c r="J70" s="27">
        <f>F70*G70</f>
        <v>0</v>
      </c>
      <c r="K70" s="29" t="s">
        <v>57</v>
      </c>
      <c r="Z70" s="30">
        <f>IF(AQ70="5",BJ70,0)</f>
        <v>0</v>
      </c>
      <c r="AB70" s="30">
        <f>IF(AQ70="1",BH70,0)</f>
        <v>0</v>
      </c>
      <c r="AC70" s="30">
        <f>IF(AQ70="1",BI70,0)</f>
        <v>0</v>
      </c>
      <c r="AD70" s="30">
        <f>IF(AQ70="7",BH70,0)</f>
        <v>0</v>
      </c>
      <c r="AE70" s="30">
        <f>IF(AQ70="7",BI70,0)</f>
        <v>0</v>
      </c>
      <c r="AF70" s="30">
        <f>IF(AQ70="2",BH70,0)</f>
        <v>0</v>
      </c>
      <c r="AG70" s="30">
        <f>IF(AQ70="2",BI70,0)</f>
        <v>0</v>
      </c>
      <c r="AH70" s="30">
        <f>IF(AQ70="0",BJ70,0)</f>
        <v>0</v>
      </c>
      <c r="AI70" s="10" t="s">
        <v>50</v>
      </c>
      <c r="AJ70" s="30">
        <f>IF(AN70=0,J70,0)</f>
        <v>0</v>
      </c>
      <c r="AK70" s="30">
        <f>IF(AN70=12,J70,0)</f>
        <v>0</v>
      </c>
      <c r="AL70" s="30">
        <f>IF(AN70=21,J70,0)</f>
        <v>0</v>
      </c>
      <c r="AN70" s="30">
        <v>12</v>
      </c>
      <c r="AO70" s="30">
        <f>G70*0.636303835</f>
        <v>0</v>
      </c>
      <c r="AP70" s="30">
        <f>G70*(1-0.636303835)</f>
        <v>0</v>
      </c>
      <c r="AQ70" s="31" t="s">
        <v>53</v>
      </c>
      <c r="AV70" s="30">
        <f>AW70+AX70</f>
        <v>0</v>
      </c>
      <c r="AW70" s="30">
        <f>F70*AO70</f>
        <v>0</v>
      </c>
      <c r="AX70" s="30">
        <f>F70*AP70</f>
        <v>0</v>
      </c>
      <c r="AY70" s="31" t="s">
        <v>169</v>
      </c>
      <c r="AZ70" s="31" t="s">
        <v>170</v>
      </c>
      <c r="BA70" s="10" t="s">
        <v>60</v>
      </c>
      <c r="BC70" s="30">
        <f>AW70+AX70</f>
        <v>0</v>
      </c>
      <c r="BD70" s="30">
        <f>G70/(100-BE70)*100</f>
        <v>0</v>
      </c>
      <c r="BE70" s="30">
        <v>0</v>
      </c>
      <c r="BF70" s="30">
        <f>70</f>
        <v>70</v>
      </c>
      <c r="BH70" s="30">
        <f>F70*AO70</f>
        <v>0</v>
      </c>
      <c r="BI70" s="30">
        <f>F70*AP70</f>
        <v>0</v>
      </c>
      <c r="BJ70" s="30">
        <f>F70*G70</f>
        <v>0</v>
      </c>
      <c r="BK70" s="30"/>
      <c r="BL70" s="30">
        <v>61</v>
      </c>
      <c r="BW70" s="30">
        <v>12</v>
      </c>
      <c r="BX70" s="4" t="s">
        <v>208</v>
      </c>
    </row>
    <row r="71" spans="1:76" x14ac:dyDescent="0.25">
      <c r="A71" s="32" t="s">
        <v>209</v>
      </c>
      <c r="B71" s="33" t="s">
        <v>210</v>
      </c>
      <c r="C71" s="141" t="s">
        <v>211</v>
      </c>
      <c r="D71" s="142"/>
      <c r="E71" s="33" t="s">
        <v>64</v>
      </c>
      <c r="F71" s="34">
        <v>302.3716</v>
      </c>
      <c r="G71" s="35">
        <v>0</v>
      </c>
      <c r="H71" s="34">
        <f>F71*AO71</f>
        <v>0</v>
      </c>
      <c r="I71" s="34">
        <f>F71*AP71</f>
        <v>0</v>
      </c>
      <c r="J71" s="34">
        <f>F71*G71</f>
        <v>0</v>
      </c>
      <c r="K71" s="36" t="s">
        <v>116</v>
      </c>
      <c r="Z71" s="30">
        <f>IF(AQ71="5",BJ71,0)</f>
        <v>0</v>
      </c>
      <c r="AB71" s="30">
        <f>IF(AQ71="1",BH71,0)</f>
        <v>0</v>
      </c>
      <c r="AC71" s="30">
        <f>IF(AQ71="1",BI71,0)</f>
        <v>0</v>
      </c>
      <c r="AD71" s="30">
        <f>IF(AQ71="7",BH71,0)</f>
        <v>0</v>
      </c>
      <c r="AE71" s="30">
        <f>IF(AQ71="7",BI71,0)</f>
        <v>0</v>
      </c>
      <c r="AF71" s="30">
        <f>IF(AQ71="2",BH71,0)</f>
        <v>0</v>
      </c>
      <c r="AG71" s="30">
        <f>IF(AQ71="2",BI71,0)</f>
        <v>0</v>
      </c>
      <c r="AH71" s="30">
        <f>IF(AQ71="0",BJ71,0)</f>
        <v>0</v>
      </c>
      <c r="AI71" s="10" t="s">
        <v>50</v>
      </c>
      <c r="AJ71" s="30">
        <f>IF(AN71=0,J71,0)</f>
        <v>0</v>
      </c>
      <c r="AK71" s="30">
        <f>IF(AN71=12,J71,0)</f>
        <v>0</v>
      </c>
      <c r="AL71" s="30">
        <f>IF(AN71=21,J71,0)</f>
        <v>0</v>
      </c>
      <c r="AN71" s="30">
        <v>12</v>
      </c>
      <c r="AO71" s="30">
        <f>G71*0.118661711</f>
        <v>0</v>
      </c>
      <c r="AP71" s="30">
        <f>G71*(1-0.118661711)</f>
        <v>0</v>
      </c>
      <c r="AQ71" s="31" t="s">
        <v>53</v>
      </c>
      <c r="AV71" s="30">
        <f>AW71+AX71</f>
        <v>0</v>
      </c>
      <c r="AW71" s="30">
        <f>F71*AO71</f>
        <v>0</v>
      </c>
      <c r="AX71" s="30">
        <f>F71*AP71</f>
        <v>0</v>
      </c>
      <c r="AY71" s="31" t="s">
        <v>169</v>
      </c>
      <c r="AZ71" s="31" t="s">
        <v>170</v>
      </c>
      <c r="BA71" s="10" t="s">
        <v>60</v>
      </c>
      <c r="BC71" s="30">
        <f>AW71+AX71</f>
        <v>0</v>
      </c>
      <c r="BD71" s="30">
        <f>G71/(100-BE71)*100</f>
        <v>0</v>
      </c>
      <c r="BE71" s="30">
        <v>0</v>
      </c>
      <c r="BF71" s="30">
        <f>71</f>
        <v>71</v>
      </c>
      <c r="BH71" s="30">
        <f>F71*AO71</f>
        <v>0</v>
      </c>
      <c r="BI71" s="30">
        <f>F71*AP71</f>
        <v>0</v>
      </c>
      <c r="BJ71" s="30">
        <f>F71*G71</f>
        <v>0</v>
      </c>
      <c r="BK71" s="30"/>
      <c r="BL71" s="30">
        <v>61</v>
      </c>
      <c r="BW71" s="30">
        <v>12</v>
      </c>
      <c r="BX71" s="4" t="s">
        <v>211</v>
      </c>
    </row>
    <row r="72" spans="1:76" x14ac:dyDescent="0.25">
      <c r="A72" s="32" t="s">
        <v>212</v>
      </c>
      <c r="B72" s="33" t="s">
        <v>213</v>
      </c>
      <c r="C72" s="141" t="s">
        <v>214</v>
      </c>
      <c r="D72" s="142"/>
      <c r="E72" s="33" t="s">
        <v>64</v>
      </c>
      <c r="F72" s="34">
        <v>81.8</v>
      </c>
      <c r="G72" s="35">
        <v>0</v>
      </c>
      <c r="H72" s="34">
        <f>F72*AO72</f>
        <v>0</v>
      </c>
      <c r="I72" s="34">
        <f>F72*AP72</f>
        <v>0</v>
      </c>
      <c r="J72" s="34">
        <f>F72*G72</f>
        <v>0</v>
      </c>
      <c r="K72" s="36" t="s">
        <v>57</v>
      </c>
      <c r="Z72" s="30">
        <f>IF(AQ72="5",BJ72,0)</f>
        <v>0</v>
      </c>
      <c r="AB72" s="30">
        <f>IF(AQ72="1",BH72,0)</f>
        <v>0</v>
      </c>
      <c r="AC72" s="30">
        <f>IF(AQ72="1",BI72,0)</f>
        <v>0</v>
      </c>
      <c r="AD72" s="30">
        <f>IF(AQ72="7",BH72,0)</f>
        <v>0</v>
      </c>
      <c r="AE72" s="30">
        <f>IF(AQ72="7",BI72,0)</f>
        <v>0</v>
      </c>
      <c r="AF72" s="30">
        <f>IF(AQ72="2",BH72,0)</f>
        <v>0</v>
      </c>
      <c r="AG72" s="30">
        <f>IF(AQ72="2",BI72,0)</f>
        <v>0</v>
      </c>
      <c r="AH72" s="30">
        <f>IF(AQ72="0",BJ72,0)</f>
        <v>0</v>
      </c>
      <c r="AI72" s="10" t="s">
        <v>50</v>
      </c>
      <c r="AJ72" s="30">
        <f>IF(AN72=0,J72,0)</f>
        <v>0</v>
      </c>
      <c r="AK72" s="30">
        <f>IF(AN72=12,J72,0)</f>
        <v>0</v>
      </c>
      <c r="AL72" s="30">
        <f>IF(AN72=21,J72,0)</f>
        <v>0</v>
      </c>
      <c r="AN72" s="30">
        <v>12</v>
      </c>
      <c r="AO72" s="30">
        <f>G72*0.308728606</f>
        <v>0</v>
      </c>
      <c r="AP72" s="30">
        <f>G72*(1-0.308728606)</f>
        <v>0</v>
      </c>
      <c r="AQ72" s="31" t="s">
        <v>53</v>
      </c>
      <c r="AV72" s="30">
        <f>AW72+AX72</f>
        <v>0</v>
      </c>
      <c r="AW72" s="30">
        <f>F72*AO72</f>
        <v>0</v>
      </c>
      <c r="AX72" s="30">
        <f>F72*AP72</f>
        <v>0</v>
      </c>
      <c r="AY72" s="31" t="s">
        <v>169</v>
      </c>
      <c r="AZ72" s="31" t="s">
        <v>170</v>
      </c>
      <c r="BA72" s="10" t="s">
        <v>60</v>
      </c>
      <c r="BC72" s="30">
        <f>AW72+AX72</f>
        <v>0</v>
      </c>
      <c r="BD72" s="30">
        <f>G72/(100-BE72)*100</f>
        <v>0</v>
      </c>
      <c r="BE72" s="30">
        <v>0</v>
      </c>
      <c r="BF72" s="30">
        <f>72</f>
        <v>72</v>
      </c>
      <c r="BH72" s="30">
        <f>F72*AO72</f>
        <v>0</v>
      </c>
      <c r="BI72" s="30">
        <f>F72*AP72</f>
        <v>0</v>
      </c>
      <c r="BJ72" s="30">
        <f>F72*G72</f>
        <v>0</v>
      </c>
      <c r="BK72" s="30"/>
      <c r="BL72" s="30">
        <v>61</v>
      </c>
      <c r="BW72" s="30">
        <v>12</v>
      </c>
      <c r="BX72" s="4" t="s">
        <v>214</v>
      </c>
    </row>
    <row r="73" spans="1:76" ht="13.5" customHeight="1" x14ac:dyDescent="0.25">
      <c r="A73" s="37"/>
      <c r="B73" s="38" t="s">
        <v>84</v>
      </c>
      <c r="C73" s="152" t="s">
        <v>215</v>
      </c>
      <c r="D73" s="153"/>
      <c r="E73" s="153"/>
      <c r="F73" s="153"/>
      <c r="G73" s="154"/>
      <c r="H73" s="153"/>
      <c r="I73" s="153"/>
      <c r="J73" s="153"/>
      <c r="K73" s="155"/>
    </row>
    <row r="74" spans="1:76" x14ac:dyDescent="0.25">
      <c r="A74" s="25" t="s">
        <v>216</v>
      </c>
      <c r="B74" s="26" t="s">
        <v>217</v>
      </c>
      <c r="C74" s="150" t="s">
        <v>218</v>
      </c>
      <c r="D74" s="151"/>
      <c r="E74" s="26" t="s">
        <v>64</v>
      </c>
      <c r="F74" s="27">
        <v>81.8</v>
      </c>
      <c r="G74" s="28">
        <v>0</v>
      </c>
      <c r="H74" s="27">
        <f>F74*AO74</f>
        <v>0</v>
      </c>
      <c r="I74" s="27">
        <f>F74*AP74</f>
        <v>0</v>
      </c>
      <c r="J74" s="27">
        <f>F74*G74</f>
        <v>0</v>
      </c>
      <c r="K74" s="29" t="s">
        <v>57</v>
      </c>
      <c r="Z74" s="30">
        <f>IF(AQ74="5",BJ74,0)</f>
        <v>0</v>
      </c>
      <c r="AB74" s="30">
        <f>IF(AQ74="1",BH74,0)</f>
        <v>0</v>
      </c>
      <c r="AC74" s="30">
        <f>IF(AQ74="1",BI74,0)</f>
        <v>0</v>
      </c>
      <c r="AD74" s="30">
        <f>IF(AQ74="7",BH74,0)</f>
        <v>0</v>
      </c>
      <c r="AE74" s="30">
        <f>IF(AQ74="7",BI74,0)</f>
        <v>0</v>
      </c>
      <c r="AF74" s="30">
        <f>IF(AQ74="2",BH74,0)</f>
        <v>0</v>
      </c>
      <c r="AG74" s="30">
        <f>IF(AQ74="2",BI74,0)</f>
        <v>0</v>
      </c>
      <c r="AH74" s="30">
        <f>IF(AQ74="0",BJ74,0)</f>
        <v>0</v>
      </c>
      <c r="AI74" s="10" t="s">
        <v>50</v>
      </c>
      <c r="AJ74" s="30">
        <f>IF(AN74=0,J74,0)</f>
        <v>0</v>
      </c>
      <c r="AK74" s="30">
        <f>IF(AN74=12,J74,0)</f>
        <v>0</v>
      </c>
      <c r="AL74" s="30">
        <f>IF(AN74=21,J74,0)</f>
        <v>0</v>
      </c>
      <c r="AN74" s="30">
        <v>12</v>
      </c>
      <c r="AO74" s="30">
        <f>G74*0.205990396</f>
        <v>0</v>
      </c>
      <c r="AP74" s="30">
        <f>G74*(1-0.205990396)</f>
        <v>0</v>
      </c>
      <c r="AQ74" s="31" t="s">
        <v>53</v>
      </c>
      <c r="AV74" s="30">
        <f>AW74+AX74</f>
        <v>0</v>
      </c>
      <c r="AW74" s="30">
        <f>F74*AO74</f>
        <v>0</v>
      </c>
      <c r="AX74" s="30">
        <f>F74*AP74</f>
        <v>0</v>
      </c>
      <c r="AY74" s="31" t="s">
        <v>169</v>
      </c>
      <c r="AZ74" s="31" t="s">
        <v>170</v>
      </c>
      <c r="BA74" s="10" t="s">
        <v>60</v>
      </c>
      <c r="BC74" s="30">
        <f>AW74+AX74</f>
        <v>0</v>
      </c>
      <c r="BD74" s="30">
        <f>G74/(100-BE74)*100</f>
        <v>0</v>
      </c>
      <c r="BE74" s="30">
        <v>0</v>
      </c>
      <c r="BF74" s="30">
        <f>74</f>
        <v>74</v>
      </c>
      <c r="BH74" s="30">
        <f>F74*AO74</f>
        <v>0</v>
      </c>
      <c r="BI74" s="30">
        <f>F74*AP74</f>
        <v>0</v>
      </c>
      <c r="BJ74" s="30">
        <f>F74*G74</f>
        <v>0</v>
      </c>
      <c r="BK74" s="30"/>
      <c r="BL74" s="30">
        <v>61</v>
      </c>
      <c r="BW74" s="30">
        <v>12</v>
      </c>
      <c r="BX74" s="4" t="s">
        <v>218</v>
      </c>
    </row>
    <row r="75" spans="1:76" x14ac:dyDescent="0.25">
      <c r="A75" s="32" t="s">
        <v>219</v>
      </c>
      <c r="B75" s="33" t="s">
        <v>220</v>
      </c>
      <c r="C75" s="141" t="s">
        <v>221</v>
      </c>
      <c r="D75" s="142"/>
      <c r="E75" s="33" t="s">
        <v>64</v>
      </c>
      <c r="F75" s="34">
        <v>6</v>
      </c>
      <c r="G75" s="35">
        <v>0</v>
      </c>
      <c r="H75" s="34">
        <f>F75*AO75</f>
        <v>0</v>
      </c>
      <c r="I75" s="34">
        <f>F75*AP75</f>
        <v>0</v>
      </c>
      <c r="J75" s="34">
        <f>F75*G75</f>
        <v>0</v>
      </c>
      <c r="K75" s="36" t="s">
        <v>57</v>
      </c>
      <c r="Z75" s="30">
        <f>IF(AQ75="5",BJ75,0)</f>
        <v>0</v>
      </c>
      <c r="AB75" s="30">
        <f>IF(AQ75="1",BH75,0)</f>
        <v>0</v>
      </c>
      <c r="AC75" s="30">
        <f>IF(AQ75="1",BI75,0)</f>
        <v>0</v>
      </c>
      <c r="AD75" s="30">
        <f>IF(AQ75="7",BH75,0)</f>
        <v>0</v>
      </c>
      <c r="AE75" s="30">
        <f>IF(AQ75="7",BI75,0)</f>
        <v>0</v>
      </c>
      <c r="AF75" s="30">
        <f>IF(AQ75="2",BH75,0)</f>
        <v>0</v>
      </c>
      <c r="AG75" s="30">
        <f>IF(AQ75="2",BI75,0)</f>
        <v>0</v>
      </c>
      <c r="AH75" s="30">
        <f>IF(AQ75="0",BJ75,0)</f>
        <v>0</v>
      </c>
      <c r="AI75" s="10" t="s">
        <v>50</v>
      </c>
      <c r="AJ75" s="30">
        <f>IF(AN75=0,J75,0)</f>
        <v>0</v>
      </c>
      <c r="AK75" s="30">
        <f>IF(AN75=12,J75,0)</f>
        <v>0</v>
      </c>
      <c r="AL75" s="30">
        <f>IF(AN75=21,J75,0)</f>
        <v>0</v>
      </c>
      <c r="AN75" s="30">
        <v>12</v>
      </c>
      <c r="AO75" s="30">
        <f>G75*0.328787276</f>
        <v>0</v>
      </c>
      <c r="AP75" s="30">
        <f>G75*(1-0.328787276)</f>
        <v>0</v>
      </c>
      <c r="AQ75" s="31" t="s">
        <v>53</v>
      </c>
      <c r="AV75" s="30">
        <f>AW75+AX75</f>
        <v>0</v>
      </c>
      <c r="AW75" s="30">
        <f>F75*AO75</f>
        <v>0</v>
      </c>
      <c r="AX75" s="30">
        <f>F75*AP75</f>
        <v>0</v>
      </c>
      <c r="AY75" s="31" t="s">
        <v>169</v>
      </c>
      <c r="AZ75" s="31" t="s">
        <v>170</v>
      </c>
      <c r="BA75" s="10" t="s">
        <v>60</v>
      </c>
      <c r="BC75" s="30">
        <f>AW75+AX75</f>
        <v>0</v>
      </c>
      <c r="BD75" s="30">
        <f>G75/(100-BE75)*100</f>
        <v>0</v>
      </c>
      <c r="BE75" s="30">
        <v>0</v>
      </c>
      <c r="BF75" s="30">
        <f>75</f>
        <v>75</v>
      </c>
      <c r="BH75" s="30">
        <f>F75*AO75</f>
        <v>0</v>
      </c>
      <c r="BI75" s="30">
        <f>F75*AP75</f>
        <v>0</v>
      </c>
      <c r="BJ75" s="30">
        <f>F75*G75</f>
        <v>0</v>
      </c>
      <c r="BK75" s="30"/>
      <c r="BL75" s="30">
        <v>61</v>
      </c>
      <c r="BW75" s="30">
        <v>12</v>
      </c>
      <c r="BX75" s="4" t="s">
        <v>221</v>
      </c>
    </row>
    <row r="76" spans="1:76" ht="13.5" customHeight="1" x14ac:dyDescent="0.25">
      <c r="A76" s="37"/>
      <c r="B76" s="38" t="s">
        <v>84</v>
      </c>
      <c r="C76" s="152" t="s">
        <v>120</v>
      </c>
      <c r="D76" s="153"/>
      <c r="E76" s="153"/>
      <c r="F76" s="153"/>
      <c r="G76" s="154"/>
      <c r="H76" s="153"/>
      <c r="I76" s="153"/>
      <c r="J76" s="153"/>
      <c r="K76" s="155"/>
    </row>
    <row r="77" spans="1:76" x14ac:dyDescent="0.25">
      <c r="A77" s="25" t="s">
        <v>222</v>
      </c>
      <c r="B77" s="26" t="s">
        <v>162</v>
      </c>
      <c r="C77" s="150" t="s">
        <v>163</v>
      </c>
      <c r="D77" s="151"/>
      <c r="E77" s="26" t="s">
        <v>109</v>
      </c>
      <c r="F77" s="27">
        <v>3.8195899999999998</v>
      </c>
      <c r="G77" s="28">
        <v>0</v>
      </c>
      <c r="H77" s="27">
        <f>F77*AO77</f>
        <v>0</v>
      </c>
      <c r="I77" s="27">
        <f>F77*AP77</f>
        <v>0</v>
      </c>
      <c r="J77" s="27">
        <f>F77*G77</f>
        <v>0</v>
      </c>
      <c r="K77" s="29" t="s">
        <v>57</v>
      </c>
      <c r="Z77" s="30">
        <f>IF(AQ77="5",BJ77,0)</f>
        <v>0</v>
      </c>
      <c r="AB77" s="30">
        <f>IF(AQ77="1",BH77,0)</f>
        <v>0</v>
      </c>
      <c r="AC77" s="30">
        <f>IF(AQ77="1",BI77,0)</f>
        <v>0</v>
      </c>
      <c r="AD77" s="30">
        <f>IF(AQ77="7",BH77,0)</f>
        <v>0</v>
      </c>
      <c r="AE77" s="30">
        <f>IF(AQ77="7",BI77,0)</f>
        <v>0</v>
      </c>
      <c r="AF77" s="30">
        <f>IF(AQ77="2",BH77,0)</f>
        <v>0</v>
      </c>
      <c r="AG77" s="30">
        <f>IF(AQ77="2",BI77,0)</f>
        <v>0</v>
      </c>
      <c r="AH77" s="30">
        <f>IF(AQ77="0",BJ77,0)</f>
        <v>0</v>
      </c>
      <c r="AI77" s="10" t="s">
        <v>50</v>
      </c>
      <c r="AJ77" s="30">
        <f>IF(AN77=0,J77,0)</f>
        <v>0</v>
      </c>
      <c r="AK77" s="30">
        <f>IF(AN77=12,J77,0)</f>
        <v>0</v>
      </c>
      <c r="AL77" s="30">
        <f>IF(AN77=21,J77,0)</f>
        <v>0</v>
      </c>
      <c r="AN77" s="30">
        <v>12</v>
      </c>
      <c r="AO77" s="30">
        <f>G77*0</f>
        <v>0</v>
      </c>
      <c r="AP77" s="30">
        <f>G77*(1-0)</f>
        <v>0</v>
      </c>
      <c r="AQ77" s="31" t="s">
        <v>71</v>
      </c>
      <c r="AV77" s="30">
        <f>AW77+AX77</f>
        <v>0</v>
      </c>
      <c r="AW77" s="30">
        <f>F77*AO77</f>
        <v>0</v>
      </c>
      <c r="AX77" s="30">
        <f>F77*AP77</f>
        <v>0</v>
      </c>
      <c r="AY77" s="31" t="s">
        <v>169</v>
      </c>
      <c r="AZ77" s="31" t="s">
        <v>170</v>
      </c>
      <c r="BA77" s="10" t="s">
        <v>60</v>
      </c>
      <c r="BC77" s="30">
        <f>AW77+AX77</f>
        <v>0</v>
      </c>
      <c r="BD77" s="30">
        <f>G77/(100-BE77)*100</f>
        <v>0</v>
      </c>
      <c r="BE77" s="30">
        <v>0</v>
      </c>
      <c r="BF77" s="30">
        <f>77</f>
        <v>77</v>
      </c>
      <c r="BH77" s="30">
        <f>F77*AO77</f>
        <v>0</v>
      </c>
      <c r="BI77" s="30">
        <f>F77*AP77</f>
        <v>0</v>
      </c>
      <c r="BJ77" s="30">
        <f>F77*G77</f>
        <v>0</v>
      </c>
      <c r="BK77" s="30"/>
      <c r="BL77" s="30">
        <v>61</v>
      </c>
      <c r="BW77" s="30">
        <v>12</v>
      </c>
      <c r="BX77" s="4" t="s">
        <v>163</v>
      </c>
    </row>
    <row r="78" spans="1:76" x14ac:dyDescent="0.25">
      <c r="A78" s="39" t="s">
        <v>50</v>
      </c>
      <c r="B78" s="40" t="s">
        <v>223</v>
      </c>
      <c r="C78" s="156" t="s">
        <v>224</v>
      </c>
      <c r="D78" s="157"/>
      <c r="E78" s="41" t="s">
        <v>4</v>
      </c>
      <c r="F78" s="41" t="s">
        <v>4</v>
      </c>
      <c r="G78" s="42" t="s">
        <v>4</v>
      </c>
      <c r="H78" s="43">
        <f>SUM(H79:H89)</f>
        <v>0</v>
      </c>
      <c r="I78" s="43">
        <f>SUM(I79:I89)</f>
        <v>0</v>
      </c>
      <c r="J78" s="43">
        <f>SUM(J79:J89)</f>
        <v>0</v>
      </c>
      <c r="K78" s="44" t="s">
        <v>50</v>
      </c>
      <c r="AI78" s="10" t="s">
        <v>50</v>
      </c>
      <c r="AS78" s="1">
        <f>SUM(AJ79:AJ89)</f>
        <v>0</v>
      </c>
      <c r="AT78" s="1">
        <f>SUM(AK79:AK89)</f>
        <v>0</v>
      </c>
      <c r="AU78" s="1">
        <f>SUM(AL79:AL89)</f>
        <v>0</v>
      </c>
    </row>
    <row r="79" spans="1:76" x14ac:dyDescent="0.25">
      <c r="A79" s="25" t="s">
        <v>225</v>
      </c>
      <c r="B79" s="26" t="s">
        <v>226</v>
      </c>
      <c r="C79" s="150" t="s">
        <v>227</v>
      </c>
      <c r="D79" s="151"/>
      <c r="E79" s="26" t="s">
        <v>56</v>
      </c>
      <c r="F79" s="27">
        <v>1</v>
      </c>
      <c r="G79" s="28">
        <v>0</v>
      </c>
      <c r="H79" s="27">
        <f>F79*AO79</f>
        <v>0</v>
      </c>
      <c r="I79" s="27">
        <f>F79*AP79</f>
        <v>0</v>
      </c>
      <c r="J79" s="27">
        <f>F79*G79</f>
        <v>0</v>
      </c>
      <c r="K79" s="29" t="s">
        <v>116</v>
      </c>
      <c r="Z79" s="30">
        <f>IF(AQ79="5",BJ79,0)</f>
        <v>0</v>
      </c>
      <c r="AB79" s="30">
        <f>IF(AQ79="1",BH79,0)</f>
        <v>0</v>
      </c>
      <c r="AC79" s="30">
        <f>IF(AQ79="1",BI79,0)</f>
        <v>0</v>
      </c>
      <c r="AD79" s="30">
        <f>IF(AQ79="7",BH79,0)</f>
        <v>0</v>
      </c>
      <c r="AE79" s="30">
        <f>IF(AQ79="7",BI79,0)</f>
        <v>0</v>
      </c>
      <c r="AF79" s="30">
        <f>IF(AQ79="2",BH79,0)</f>
        <v>0</v>
      </c>
      <c r="AG79" s="30">
        <f>IF(AQ79="2",BI79,0)</f>
        <v>0</v>
      </c>
      <c r="AH79" s="30">
        <f>IF(AQ79="0",BJ79,0)</f>
        <v>0</v>
      </c>
      <c r="AI79" s="10" t="s">
        <v>50</v>
      </c>
      <c r="AJ79" s="30">
        <f>IF(AN79=0,J79,0)</f>
        <v>0</v>
      </c>
      <c r="AK79" s="30">
        <f>IF(AN79=12,J79,0)</f>
        <v>0</v>
      </c>
      <c r="AL79" s="30">
        <f>IF(AN79=21,J79,0)</f>
        <v>0</v>
      </c>
      <c r="AN79" s="30">
        <v>12</v>
      </c>
      <c r="AO79" s="30">
        <f>G79*0.020754717</f>
        <v>0</v>
      </c>
      <c r="AP79" s="30">
        <f>G79*(1-0.020754717)</f>
        <v>0</v>
      </c>
      <c r="AQ79" s="31" t="s">
        <v>53</v>
      </c>
      <c r="AV79" s="30">
        <f>AW79+AX79</f>
        <v>0</v>
      </c>
      <c r="AW79" s="30">
        <f>F79*AO79</f>
        <v>0</v>
      </c>
      <c r="AX79" s="30">
        <f>F79*AP79</f>
        <v>0</v>
      </c>
      <c r="AY79" s="31" t="s">
        <v>228</v>
      </c>
      <c r="AZ79" s="31" t="s">
        <v>170</v>
      </c>
      <c r="BA79" s="10" t="s">
        <v>60</v>
      </c>
      <c r="BC79" s="30">
        <f>AW79+AX79</f>
        <v>0</v>
      </c>
      <c r="BD79" s="30">
        <f>G79/(100-BE79)*100</f>
        <v>0</v>
      </c>
      <c r="BE79" s="30">
        <v>0</v>
      </c>
      <c r="BF79" s="30">
        <f>79</f>
        <v>79</v>
      </c>
      <c r="BH79" s="30">
        <f>F79*AO79</f>
        <v>0</v>
      </c>
      <c r="BI79" s="30">
        <f>F79*AP79</f>
        <v>0</v>
      </c>
      <c r="BJ79" s="30">
        <f>F79*G79</f>
        <v>0</v>
      </c>
      <c r="BK79" s="30"/>
      <c r="BL79" s="30">
        <v>64</v>
      </c>
      <c r="BW79" s="30">
        <v>12</v>
      </c>
      <c r="BX79" s="4" t="s">
        <v>227</v>
      </c>
    </row>
    <row r="80" spans="1:76" x14ac:dyDescent="0.25">
      <c r="A80" s="32" t="s">
        <v>229</v>
      </c>
      <c r="B80" s="33" t="s">
        <v>230</v>
      </c>
      <c r="C80" s="141" t="s">
        <v>231</v>
      </c>
      <c r="D80" s="142"/>
      <c r="E80" s="33" t="s">
        <v>56</v>
      </c>
      <c r="F80" s="34">
        <v>1</v>
      </c>
      <c r="G80" s="35">
        <v>0</v>
      </c>
      <c r="H80" s="34">
        <f>F80*AO80</f>
        <v>0</v>
      </c>
      <c r="I80" s="34">
        <f>F80*AP80</f>
        <v>0</v>
      </c>
      <c r="J80" s="34">
        <f>F80*G80</f>
        <v>0</v>
      </c>
      <c r="K80" s="36" t="s">
        <v>57</v>
      </c>
      <c r="Z80" s="30">
        <f>IF(AQ80="5",BJ80,0)</f>
        <v>0</v>
      </c>
      <c r="AB80" s="30">
        <f>IF(AQ80="1",BH80,0)</f>
        <v>0</v>
      </c>
      <c r="AC80" s="30">
        <f>IF(AQ80="1",BI80,0)</f>
        <v>0</v>
      </c>
      <c r="AD80" s="30">
        <f>IF(AQ80="7",BH80,0)</f>
        <v>0</v>
      </c>
      <c r="AE80" s="30">
        <f>IF(AQ80="7",BI80,0)</f>
        <v>0</v>
      </c>
      <c r="AF80" s="30">
        <f>IF(AQ80="2",BH80,0)</f>
        <v>0</v>
      </c>
      <c r="AG80" s="30">
        <f>IF(AQ80="2",BI80,0)</f>
        <v>0</v>
      </c>
      <c r="AH80" s="30">
        <f>IF(AQ80="0",BJ80,0)</f>
        <v>0</v>
      </c>
      <c r="AI80" s="10" t="s">
        <v>50</v>
      </c>
      <c r="AJ80" s="30">
        <f>IF(AN80=0,J80,0)</f>
        <v>0</v>
      </c>
      <c r="AK80" s="30">
        <f>IF(AN80=12,J80,0)</f>
        <v>0</v>
      </c>
      <c r="AL80" s="30">
        <f>IF(AN80=21,J80,0)</f>
        <v>0</v>
      </c>
      <c r="AN80" s="30">
        <v>12</v>
      </c>
      <c r="AO80" s="30">
        <f>G80*0.902381803</f>
        <v>0</v>
      </c>
      <c r="AP80" s="30">
        <f>G80*(1-0.902381803)</f>
        <v>0</v>
      </c>
      <c r="AQ80" s="31" t="s">
        <v>53</v>
      </c>
      <c r="AV80" s="30">
        <f>AW80+AX80</f>
        <v>0</v>
      </c>
      <c r="AW80" s="30">
        <f>F80*AO80</f>
        <v>0</v>
      </c>
      <c r="AX80" s="30">
        <f>F80*AP80</f>
        <v>0</v>
      </c>
      <c r="AY80" s="31" t="s">
        <v>228</v>
      </c>
      <c r="AZ80" s="31" t="s">
        <v>170</v>
      </c>
      <c r="BA80" s="10" t="s">
        <v>60</v>
      </c>
      <c r="BC80" s="30">
        <f>AW80+AX80</f>
        <v>0</v>
      </c>
      <c r="BD80" s="30">
        <f>G80/(100-BE80)*100</f>
        <v>0</v>
      </c>
      <c r="BE80" s="30">
        <v>0</v>
      </c>
      <c r="BF80" s="30">
        <f>80</f>
        <v>80</v>
      </c>
      <c r="BH80" s="30">
        <f>F80*AO80</f>
        <v>0</v>
      </c>
      <c r="BI80" s="30">
        <f>F80*AP80</f>
        <v>0</v>
      </c>
      <c r="BJ80" s="30">
        <f>F80*G80</f>
        <v>0</v>
      </c>
      <c r="BK80" s="30"/>
      <c r="BL80" s="30">
        <v>64</v>
      </c>
      <c r="BW80" s="30">
        <v>12</v>
      </c>
      <c r="BX80" s="4" t="s">
        <v>231</v>
      </c>
    </row>
    <row r="81" spans="1:76" ht="13.5" customHeight="1" x14ac:dyDescent="0.25">
      <c r="A81" s="37"/>
      <c r="B81" s="38" t="s">
        <v>84</v>
      </c>
      <c r="C81" s="152" t="s">
        <v>232</v>
      </c>
      <c r="D81" s="153"/>
      <c r="E81" s="153"/>
      <c r="F81" s="153"/>
      <c r="G81" s="154"/>
      <c r="H81" s="153"/>
      <c r="I81" s="153"/>
      <c r="J81" s="153"/>
      <c r="K81" s="155"/>
    </row>
    <row r="82" spans="1:76" x14ac:dyDescent="0.25">
      <c r="A82" s="25" t="s">
        <v>233</v>
      </c>
      <c r="B82" s="26" t="s">
        <v>234</v>
      </c>
      <c r="C82" s="150" t="s">
        <v>235</v>
      </c>
      <c r="D82" s="151"/>
      <c r="E82" s="26" t="s">
        <v>56</v>
      </c>
      <c r="F82" s="27">
        <v>1</v>
      </c>
      <c r="G82" s="28">
        <v>0</v>
      </c>
      <c r="H82" s="27">
        <f t="shared" ref="H82:H87" si="88">F82*AO82</f>
        <v>0</v>
      </c>
      <c r="I82" s="27">
        <f t="shared" ref="I82:I87" si="89">F82*AP82</f>
        <v>0</v>
      </c>
      <c r="J82" s="27">
        <f t="shared" ref="J82:J87" si="90">F82*G82</f>
        <v>0</v>
      </c>
      <c r="K82" s="29" t="s">
        <v>57</v>
      </c>
      <c r="Z82" s="30">
        <f t="shared" ref="Z82:Z87" si="91">IF(AQ82="5",BJ82,0)</f>
        <v>0</v>
      </c>
      <c r="AB82" s="30">
        <f t="shared" ref="AB82:AB87" si="92">IF(AQ82="1",BH82,0)</f>
        <v>0</v>
      </c>
      <c r="AC82" s="30">
        <f t="shared" ref="AC82:AC87" si="93">IF(AQ82="1",BI82,0)</f>
        <v>0</v>
      </c>
      <c r="AD82" s="30">
        <f t="shared" ref="AD82:AD87" si="94">IF(AQ82="7",BH82,0)</f>
        <v>0</v>
      </c>
      <c r="AE82" s="30">
        <f t="shared" ref="AE82:AE87" si="95">IF(AQ82="7",BI82,0)</f>
        <v>0</v>
      </c>
      <c r="AF82" s="30">
        <f t="shared" ref="AF82:AF87" si="96">IF(AQ82="2",BH82,0)</f>
        <v>0</v>
      </c>
      <c r="AG82" s="30">
        <f t="shared" ref="AG82:AG87" si="97">IF(AQ82="2",BI82,0)</f>
        <v>0</v>
      </c>
      <c r="AH82" s="30">
        <f t="shared" ref="AH82:AH87" si="98">IF(AQ82="0",BJ82,0)</f>
        <v>0</v>
      </c>
      <c r="AI82" s="10" t="s">
        <v>50</v>
      </c>
      <c r="AJ82" s="30">
        <f t="shared" ref="AJ82:AJ87" si="99">IF(AN82=0,J82,0)</f>
        <v>0</v>
      </c>
      <c r="AK82" s="30">
        <f t="shared" ref="AK82:AK87" si="100">IF(AN82=12,J82,0)</f>
        <v>0</v>
      </c>
      <c r="AL82" s="30">
        <f t="shared" ref="AL82:AL87" si="101">IF(AN82=21,J82,0)</f>
        <v>0</v>
      </c>
      <c r="AN82" s="30">
        <v>12</v>
      </c>
      <c r="AO82" s="30">
        <f>G82*1</f>
        <v>0</v>
      </c>
      <c r="AP82" s="30">
        <f>G82*(1-1)</f>
        <v>0</v>
      </c>
      <c r="AQ82" s="31" t="s">
        <v>53</v>
      </c>
      <c r="AV82" s="30">
        <f t="shared" ref="AV82:AV87" si="102">AW82+AX82</f>
        <v>0</v>
      </c>
      <c r="AW82" s="30">
        <f t="shared" ref="AW82:AW87" si="103">F82*AO82</f>
        <v>0</v>
      </c>
      <c r="AX82" s="30">
        <f t="shared" ref="AX82:AX87" si="104">F82*AP82</f>
        <v>0</v>
      </c>
      <c r="AY82" s="31" t="s">
        <v>228</v>
      </c>
      <c r="AZ82" s="31" t="s">
        <v>170</v>
      </c>
      <c r="BA82" s="10" t="s">
        <v>60</v>
      </c>
      <c r="BC82" s="30">
        <f t="shared" ref="BC82:BC87" si="105">AW82+AX82</f>
        <v>0</v>
      </c>
      <c r="BD82" s="30">
        <f t="shared" ref="BD82:BD87" si="106">G82/(100-BE82)*100</f>
        <v>0</v>
      </c>
      <c r="BE82" s="30">
        <v>0</v>
      </c>
      <c r="BF82" s="30">
        <f>82</f>
        <v>82</v>
      </c>
      <c r="BH82" s="30">
        <f t="shared" ref="BH82:BH87" si="107">F82*AO82</f>
        <v>0</v>
      </c>
      <c r="BI82" s="30">
        <f t="shared" ref="BI82:BI87" si="108">F82*AP82</f>
        <v>0</v>
      </c>
      <c r="BJ82" s="30">
        <f t="shared" ref="BJ82:BJ87" si="109">F82*G82</f>
        <v>0</v>
      </c>
      <c r="BK82" s="30"/>
      <c r="BL82" s="30">
        <v>64</v>
      </c>
      <c r="BW82" s="30">
        <v>12</v>
      </c>
      <c r="BX82" s="4" t="s">
        <v>235</v>
      </c>
    </row>
    <row r="83" spans="1:76" x14ac:dyDescent="0.25">
      <c r="A83" s="32" t="s">
        <v>236</v>
      </c>
      <c r="B83" s="33" t="s">
        <v>237</v>
      </c>
      <c r="C83" s="141" t="s">
        <v>238</v>
      </c>
      <c r="D83" s="142"/>
      <c r="E83" s="33" t="s">
        <v>56</v>
      </c>
      <c r="F83" s="34">
        <v>1</v>
      </c>
      <c r="G83" s="35">
        <v>0</v>
      </c>
      <c r="H83" s="34">
        <f t="shared" si="88"/>
        <v>0</v>
      </c>
      <c r="I83" s="34">
        <f t="shared" si="89"/>
        <v>0</v>
      </c>
      <c r="J83" s="34">
        <f t="shared" si="90"/>
        <v>0</v>
      </c>
      <c r="K83" s="36" t="s">
        <v>57</v>
      </c>
      <c r="Z83" s="30">
        <f t="shared" si="91"/>
        <v>0</v>
      </c>
      <c r="AB83" s="30">
        <f t="shared" si="92"/>
        <v>0</v>
      </c>
      <c r="AC83" s="30">
        <f t="shared" si="93"/>
        <v>0</v>
      </c>
      <c r="AD83" s="30">
        <f t="shared" si="94"/>
        <v>0</v>
      </c>
      <c r="AE83" s="30">
        <f t="shared" si="95"/>
        <v>0</v>
      </c>
      <c r="AF83" s="30">
        <f t="shared" si="96"/>
        <v>0</v>
      </c>
      <c r="AG83" s="30">
        <f t="shared" si="97"/>
        <v>0</v>
      </c>
      <c r="AH83" s="30">
        <f t="shared" si="98"/>
        <v>0</v>
      </c>
      <c r="AI83" s="10" t="s">
        <v>50</v>
      </c>
      <c r="AJ83" s="30">
        <f t="shared" si="99"/>
        <v>0</v>
      </c>
      <c r="AK83" s="30">
        <f t="shared" si="100"/>
        <v>0</v>
      </c>
      <c r="AL83" s="30">
        <f t="shared" si="101"/>
        <v>0</v>
      </c>
      <c r="AN83" s="30">
        <v>12</v>
      </c>
      <c r="AO83" s="30">
        <f>G83*0.267810499</f>
        <v>0</v>
      </c>
      <c r="AP83" s="30">
        <f>G83*(1-0.267810499)</f>
        <v>0</v>
      </c>
      <c r="AQ83" s="31" t="s">
        <v>53</v>
      </c>
      <c r="AV83" s="30">
        <f t="shared" si="102"/>
        <v>0</v>
      </c>
      <c r="AW83" s="30">
        <f t="shared" si="103"/>
        <v>0</v>
      </c>
      <c r="AX83" s="30">
        <f t="shared" si="104"/>
        <v>0</v>
      </c>
      <c r="AY83" s="31" t="s">
        <v>228</v>
      </c>
      <c r="AZ83" s="31" t="s">
        <v>170</v>
      </c>
      <c r="BA83" s="10" t="s">
        <v>60</v>
      </c>
      <c r="BC83" s="30">
        <f t="shared" si="105"/>
        <v>0</v>
      </c>
      <c r="BD83" s="30">
        <f t="shared" si="106"/>
        <v>0</v>
      </c>
      <c r="BE83" s="30">
        <v>0</v>
      </c>
      <c r="BF83" s="30">
        <f>83</f>
        <v>83</v>
      </c>
      <c r="BH83" s="30">
        <f t="shared" si="107"/>
        <v>0</v>
      </c>
      <c r="BI83" s="30">
        <f t="shared" si="108"/>
        <v>0</v>
      </c>
      <c r="BJ83" s="30">
        <f t="shared" si="109"/>
        <v>0</v>
      </c>
      <c r="BK83" s="30"/>
      <c r="BL83" s="30">
        <v>64</v>
      </c>
      <c r="BW83" s="30">
        <v>12</v>
      </c>
      <c r="BX83" s="4" t="s">
        <v>238</v>
      </c>
    </row>
    <row r="84" spans="1:76" x14ac:dyDescent="0.25">
      <c r="A84" s="32" t="s">
        <v>239</v>
      </c>
      <c r="B84" s="33" t="s">
        <v>240</v>
      </c>
      <c r="C84" s="141" t="s">
        <v>241</v>
      </c>
      <c r="D84" s="142"/>
      <c r="E84" s="33" t="s">
        <v>56</v>
      </c>
      <c r="F84" s="34">
        <v>9</v>
      </c>
      <c r="G84" s="35">
        <v>0</v>
      </c>
      <c r="H84" s="34">
        <f t="shared" si="88"/>
        <v>0</v>
      </c>
      <c r="I84" s="34">
        <f t="shared" si="89"/>
        <v>0</v>
      </c>
      <c r="J84" s="34">
        <f t="shared" si="90"/>
        <v>0</v>
      </c>
      <c r="K84" s="36" t="s">
        <v>116</v>
      </c>
      <c r="Z84" s="30">
        <f t="shared" si="91"/>
        <v>0</v>
      </c>
      <c r="AB84" s="30">
        <f t="shared" si="92"/>
        <v>0</v>
      </c>
      <c r="AC84" s="30">
        <f t="shared" si="93"/>
        <v>0</v>
      </c>
      <c r="AD84" s="30">
        <f t="shared" si="94"/>
        <v>0</v>
      </c>
      <c r="AE84" s="30">
        <f t="shared" si="95"/>
        <v>0</v>
      </c>
      <c r="AF84" s="30">
        <f t="shared" si="96"/>
        <v>0</v>
      </c>
      <c r="AG84" s="30">
        <f t="shared" si="97"/>
        <v>0</v>
      </c>
      <c r="AH84" s="30">
        <f t="shared" si="98"/>
        <v>0</v>
      </c>
      <c r="AI84" s="10" t="s">
        <v>50</v>
      </c>
      <c r="AJ84" s="30">
        <f t="shared" si="99"/>
        <v>0</v>
      </c>
      <c r="AK84" s="30">
        <f t="shared" si="100"/>
        <v>0</v>
      </c>
      <c r="AL84" s="30">
        <f t="shared" si="101"/>
        <v>0</v>
      </c>
      <c r="AN84" s="30">
        <v>12</v>
      </c>
      <c r="AO84" s="30">
        <f>G84*0</f>
        <v>0</v>
      </c>
      <c r="AP84" s="30">
        <f>G84*(1-0)</f>
        <v>0</v>
      </c>
      <c r="AQ84" s="31" t="s">
        <v>53</v>
      </c>
      <c r="AV84" s="30">
        <f t="shared" si="102"/>
        <v>0</v>
      </c>
      <c r="AW84" s="30">
        <f t="shared" si="103"/>
        <v>0</v>
      </c>
      <c r="AX84" s="30">
        <f t="shared" si="104"/>
        <v>0</v>
      </c>
      <c r="AY84" s="31" t="s">
        <v>228</v>
      </c>
      <c r="AZ84" s="31" t="s">
        <v>170</v>
      </c>
      <c r="BA84" s="10" t="s">
        <v>60</v>
      </c>
      <c r="BC84" s="30">
        <f t="shared" si="105"/>
        <v>0</v>
      </c>
      <c r="BD84" s="30">
        <f t="shared" si="106"/>
        <v>0</v>
      </c>
      <c r="BE84" s="30">
        <v>0</v>
      </c>
      <c r="BF84" s="30">
        <f>84</f>
        <v>84</v>
      </c>
      <c r="BH84" s="30">
        <f t="shared" si="107"/>
        <v>0</v>
      </c>
      <c r="BI84" s="30">
        <f t="shared" si="108"/>
        <v>0</v>
      </c>
      <c r="BJ84" s="30">
        <f t="shared" si="109"/>
        <v>0</v>
      </c>
      <c r="BK84" s="30"/>
      <c r="BL84" s="30">
        <v>64</v>
      </c>
      <c r="BW84" s="30">
        <v>12</v>
      </c>
      <c r="BX84" s="4" t="s">
        <v>241</v>
      </c>
    </row>
    <row r="85" spans="1:76" x14ac:dyDescent="0.25">
      <c r="A85" s="32" t="s">
        <v>242</v>
      </c>
      <c r="B85" s="33" t="s">
        <v>243</v>
      </c>
      <c r="C85" s="141" t="s">
        <v>244</v>
      </c>
      <c r="D85" s="142"/>
      <c r="E85" s="33" t="s">
        <v>56</v>
      </c>
      <c r="F85" s="34">
        <v>1</v>
      </c>
      <c r="G85" s="35">
        <v>0</v>
      </c>
      <c r="H85" s="34">
        <f t="shared" si="88"/>
        <v>0</v>
      </c>
      <c r="I85" s="34">
        <f t="shared" si="89"/>
        <v>0</v>
      </c>
      <c r="J85" s="34">
        <f t="shared" si="90"/>
        <v>0</v>
      </c>
      <c r="K85" s="36" t="s">
        <v>57</v>
      </c>
      <c r="Z85" s="30">
        <f t="shared" si="91"/>
        <v>0</v>
      </c>
      <c r="AB85" s="30">
        <f t="shared" si="92"/>
        <v>0</v>
      </c>
      <c r="AC85" s="30">
        <f t="shared" si="93"/>
        <v>0</v>
      </c>
      <c r="AD85" s="30">
        <f t="shared" si="94"/>
        <v>0</v>
      </c>
      <c r="AE85" s="30">
        <f t="shared" si="95"/>
        <v>0</v>
      </c>
      <c r="AF85" s="30">
        <f t="shared" si="96"/>
        <v>0</v>
      </c>
      <c r="AG85" s="30">
        <f t="shared" si="97"/>
        <v>0</v>
      </c>
      <c r="AH85" s="30">
        <f t="shared" si="98"/>
        <v>0</v>
      </c>
      <c r="AI85" s="10" t="s">
        <v>50</v>
      </c>
      <c r="AJ85" s="30">
        <f t="shared" si="99"/>
        <v>0</v>
      </c>
      <c r="AK85" s="30">
        <f t="shared" si="100"/>
        <v>0</v>
      </c>
      <c r="AL85" s="30">
        <f t="shared" si="101"/>
        <v>0</v>
      </c>
      <c r="AN85" s="30">
        <v>12</v>
      </c>
      <c r="AO85" s="30">
        <f>G85*0.213534985</f>
        <v>0</v>
      </c>
      <c r="AP85" s="30">
        <f>G85*(1-0.213534985)</f>
        <v>0</v>
      </c>
      <c r="AQ85" s="31" t="s">
        <v>53</v>
      </c>
      <c r="AV85" s="30">
        <f t="shared" si="102"/>
        <v>0</v>
      </c>
      <c r="AW85" s="30">
        <f t="shared" si="103"/>
        <v>0</v>
      </c>
      <c r="AX85" s="30">
        <f t="shared" si="104"/>
        <v>0</v>
      </c>
      <c r="AY85" s="31" t="s">
        <v>228</v>
      </c>
      <c r="AZ85" s="31" t="s">
        <v>170</v>
      </c>
      <c r="BA85" s="10" t="s">
        <v>60</v>
      </c>
      <c r="BC85" s="30">
        <f t="shared" si="105"/>
        <v>0</v>
      </c>
      <c r="BD85" s="30">
        <f t="shared" si="106"/>
        <v>0</v>
      </c>
      <c r="BE85" s="30">
        <v>0</v>
      </c>
      <c r="BF85" s="30">
        <f>85</f>
        <v>85</v>
      </c>
      <c r="BH85" s="30">
        <f t="shared" si="107"/>
        <v>0</v>
      </c>
      <c r="BI85" s="30">
        <f t="shared" si="108"/>
        <v>0</v>
      </c>
      <c r="BJ85" s="30">
        <f t="shared" si="109"/>
        <v>0</v>
      </c>
      <c r="BK85" s="30"/>
      <c r="BL85" s="30">
        <v>64</v>
      </c>
      <c r="BW85" s="30">
        <v>12</v>
      </c>
      <c r="BX85" s="4" t="s">
        <v>244</v>
      </c>
    </row>
    <row r="86" spans="1:76" x14ac:dyDescent="0.25">
      <c r="A86" s="32" t="s">
        <v>245</v>
      </c>
      <c r="B86" s="33" t="s">
        <v>246</v>
      </c>
      <c r="C86" s="141" t="s">
        <v>247</v>
      </c>
      <c r="D86" s="142"/>
      <c r="E86" s="33" t="s">
        <v>56</v>
      </c>
      <c r="F86" s="34">
        <v>1</v>
      </c>
      <c r="G86" s="35">
        <v>0</v>
      </c>
      <c r="H86" s="34">
        <f t="shared" si="88"/>
        <v>0</v>
      </c>
      <c r="I86" s="34">
        <f t="shared" si="89"/>
        <v>0</v>
      </c>
      <c r="J86" s="34">
        <f t="shared" si="90"/>
        <v>0</v>
      </c>
      <c r="K86" s="36" t="s">
        <v>57</v>
      </c>
      <c r="Z86" s="30">
        <f t="shared" si="91"/>
        <v>0</v>
      </c>
      <c r="AB86" s="30">
        <f t="shared" si="92"/>
        <v>0</v>
      </c>
      <c r="AC86" s="30">
        <f t="shared" si="93"/>
        <v>0</v>
      </c>
      <c r="AD86" s="30">
        <f t="shared" si="94"/>
        <v>0</v>
      </c>
      <c r="AE86" s="30">
        <f t="shared" si="95"/>
        <v>0</v>
      </c>
      <c r="AF86" s="30">
        <f t="shared" si="96"/>
        <v>0</v>
      </c>
      <c r="AG86" s="30">
        <f t="shared" si="97"/>
        <v>0</v>
      </c>
      <c r="AH86" s="30">
        <f t="shared" si="98"/>
        <v>0</v>
      </c>
      <c r="AI86" s="10" t="s">
        <v>50</v>
      </c>
      <c r="AJ86" s="30">
        <f t="shared" si="99"/>
        <v>0</v>
      </c>
      <c r="AK86" s="30">
        <f t="shared" si="100"/>
        <v>0</v>
      </c>
      <c r="AL86" s="30">
        <f t="shared" si="101"/>
        <v>0</v>
      </c>
      <c r="AN86" s="30">
        <v>12</v>
      </c>
      <c r="AO86" s="30">
        <f>G86*1</f>
        <v>0</v>
      </c>
      <c r="AP86" s="30">
        <f>G86*(1-1)</f>
        <v>0</v>
      </c>
      <c r="AQ86" s="31" t="s">
        <v>53</v>
      </c>
      <c r="AV86" s="30">
        <f t="shared" si="102"/>
        <v>0</v>
      </c>
      <c r="AW86" s="30">
        <f t="shared" si="103"/>
        <v>0</v>
      </c>
      <c r="AX86" s="30">
        <f t="shared" si="104"/>
        <v>0</v>
      </c>
      <c r="AY86" s="31" t="s">
        <v>228</v>
      </c>
      <c r="AZ86" s="31" t="s">
        <v>170</v>
      </c>
      <c r="BA86" s="10" t="s">
        <v>60</v>
      </c>
      <c r="BC86" s="30">
        <f t="shared" si="105"/>
        <v>0</v>
      </c>
      <c r="BD86" s="30">
        <f t="shared" si="106"/>
        <v>0</v>
      </c>
      <c r="BE86" s="30">
        <v>0</v>
      </c>
      <c r="BF86" s="30">
        <f>86</f>
        <v>86</v>
      </c>
      <c r="BH86" s="30">
        <f t="shared" si="107"/>
        <v>0</v>
      </c>
      <c r="BI86" s="30">
        <f t="shared" si="108"/>
        <v>0</v>
      </c>
      <c r="BJ86" s="30">
        <f t="shared" si="109"/>
        <v>0</v>
      </c>
      <c r="BK86" s="30"/>
      <c r="BL86" s="30">
        <v>64</v>
      </c>
      <c r="BW86" s="30">
        <v>12</v>
      </c>
      <c r="BX86" s="4" t="s">
        <v>247</v>
      </c>
    </row>
    <row r="87" spans="1:76" x14ac:dyDescent="0.25">
      <c r="A87" s="32" t="s">
        <v>248</v>
      </c>
      <c r="B87" s="33" t="s">
        <v>249</v>
      </c>
      <c r="C87" s="141" t="s">
        <v>250</v>
      </c>
      <c r="D87" s="142"/>
      <c r="E87" s="33" t="s">
        <v>56</v>
      </c>
      <c r="F87" s="34">
        <v>1</v>
      </c>
      <c r="G87" s="35">
        <v>0</v>
      </c>
      <c r="H87" s="34">
        <f t="shared" si="88"/>
        <v>0</v>
      </c>
      <c r="I87" s="34">
        <f t="shared" si="89"/>
        <v>0</v>
      </c>
      <c r="J87" s="34">
        <f t="shared" si="90"/>
        <v>0</v>
      </c>
      <c r="K87" s="36" t="s">
        <v>57</v>
      </c>
      <c r="Z87" s="30">
        <f t="shared" si="91"/>
        <v>0</v>
      </c>
      <c r="AB87" s="30">
        <f t="shared" si="92"/>
        <v>0</v>
      </c>
      <c r="AC87" s="30">
        <f t="shared" si="93"/>
        <v>0</v>
      </c>
      <c r="AD87" s="30">
        <f t="shared" si="94"/>
        <v>0</v>
      </c>
      <c r="AE87" s="30">
        <f t="shared" si="95"/>
        <v>0</v>
      </c>
      <c r="AF87" s="30">
        <f t="shared" si="96"/>
        <v>0</v>
      </c>
      <c r="AG87" s="30">
        <f t="shared" si="97"/>
        <v>0</v>
      </c>
      <c r="AH87" s="30">
        <f t="shared" si="98"/>
        <v>0</v>
      </c>
      <c r="AI87" s="10" t="s">
        <v>50</v>
      </c>
      <c r="AJ87" s="30">
        <f t="shared" si="99"/>
        <v>0</v>
      </c>
      <c r="AK87" s="30">
        <f t="shared" si="100"/>
        <v>0</v>
      </c>
      <c r="AL87" s="30">
        <f t="shared" si="101"/>
        <v>0</v>
      </c>
      <c r="AN87" s="30">
        <v>12</v>
      </c>
      <c r="AO87" s="30">
        <f>G87*0.640164336</f>
        <v>0</v>
      </c>
      <c r="AP87" s="30">
        <f>G87*(1-0.640164336)</f>
        <v>0</v>
      </c>
      <c r="AQ87" s="31" t="s">
        <v>53</v>
      </c>
      <c r="AV87" s="30">
        <f t="shared" si="102"/>
        <v>0</v>
      </c>
      <c r="AW87" s="30">
        <f t="shared" si="103"/>
        <v>0</v>
      </c>
      <c r="AX87" s="30">
        <f t="shared" si="104"/>
        <v>0</v>
      </c>
      <c r="AY87" s="31" t="s">
        <v>228</v>
      </c>
      <c r="AZ87" s="31" t="s">
        <v>170</v>
      </c>
      <c r="BA87" s="10" t="s">
        <v>60</v>
      </c>
      <c r="BC87" s="30">
        <f t="shared" si="105"/>
        <v>0</v>
      </c>
      <c r="BD87" s="30">
        <f t="shared" si="106"/>
        <v>0</v>
      </c>
      <c r="BE87" s="30">
        <v>0</v>
      </c>
      <c r="BF87" s="30">
        <f>87</f>
        <v>87</v>
      </c>
      <c r="BH87" s="30">
        <f t="shared" si="107"/>
        <v>0</v>
      </c>
      <c r="BI87" s="30">
        <f t="shared" si="108"/>
        <v>0</v>
      </c>
      <c r="BJ87" s="30">
        <f t="shared" si="109"/>
        <v>0</v>
      </c>
      <c r="BK87" s="30"/>
      <c r="BL87" s="30">
        <v>64</v>
      </c>
      <c r="BW87" s="30">
        <v>12</v>
      </c>
      <c r="BX87" s="4" t="s">
        <v>250</v>
      </c>
    </row>
    <row r="88" spans="1:76" ht="13.5" customHeight="1" x14ac:dyDescent="0.25">
      <c r="A88" s="37"/>
      <c r="B88" s="38" t="s">
        <v>84</v>
      </c>
      <c r="C88" s="152" t="s">
        <v>251</v>
      </c>
      <c r="D88" s="153"/>
      <c r="E88" s="153"/>
      <c r="F88" s="153"/>
      <c r="G88" s="154"/>
      <c r="H88" s="153"/>
      <c r="I88" s="153"/>
      <c r="J88" s="153"/>
      <c r="K88" s="155"/>
    </row>
    <row r="89" spans="1:76" x14ac:dyDescent="0.25">
      <c r="A89" s="25" t="s">
        <v>252</v>
      </c>
      <c r="B89" s="26" t="s">
        <v>162</v>
      </c>
      <c r="C89" s="150" t="s">
        <v>163</v>
      </c>
      <c r="D89" s="151"/>
      <c r="E89" s="26" t="s">
        <v>109</v>
      </c>
      <c r="F89" s="27">
        <v>0.17154</v>
      </c>
      <c r="G89" s="28">
        <v>0</v>
      </c>
      <c r="H89" s="27">
        <f>F89*AO89</f>
        <v>0</v>
      </c>
      <c r="I89" s="27">
        <f>F89*AP89</f>
        <v>0</v>
      </c>
      <c r="J89" s="27">
        <f>F89*G89</f>
        <v>0</v>
      </c>
      <c r="K89" s="29" t="s">
        <v>57</v>
      </c>
      <c r="Z89" s="30">
        <f>IF(AQ89="5",BJ89,0)</f>
        <v>0</v>
      </c>
      <c r="AB89" s="30">
        <f>IF(AQ89="1",BH89,0)</f>
        <v>0</v>
      </c>
      <c r="AC89" s="30">
        <f>IF(AQ89="1",BI89,0)</f>
        <v>0</v>
      </c>
      <c r="AD89" s="30">
        <f>IF(AQ89="7",BH89,0)</f>
        <v>0</v>
      </c>
      <c r="AE89" s="30">
        <f>IF(AQ89="7",BI89,0)</f>
        <v>0</v>
      </c>
      <c r="AF89" s="30">
        <f>IF(AQ89="2",BH89,0)</f>
        <v>0</v>
      </c>
      <c r="AG89" s="30">
        <f>IF(AQ89="2",BI89,0)</f>
        <v>0</v>
      </c>
      <c r="AH89" s="30">
        <f>IF(AQ89="0",BJ89,0)</f>
        <v>0</v>
      </c>
      <c r="AI89" s="10" t="s">
        <v>50</v>
      </c>
      <c r="AJ89" s="30">
        <f>IF(AN89=0,J89,0)</f>
        <v>0</v>
      </c>
      <c r="AK89" s="30">
        <f>IF(AN89=12,J89,0)</f>
        <v>0</v>
      </c>
      <c r="AL89" s="30">
        <f>IF(AN89=21,J89,0)</f>
        <v>0</v>
      </c>
      <c r="AN89" s="30">
        <v>12</v>
      </c>
      <c r="AO89" s="30">
        <f>G89*0</f>
        <v>0</v>
      </c>
      <c r="AP89" s="30">
        <f>G89*(1-0)</f>
        <v>0</v>
      </c>
      <c r="AQ89" s="31" t="s">
        <v>71</v>
      </c>
      <c r="AV89" s="30">
        <f>AW89+AX89</f>
        <v>0</v>
      </c>
      <c r="AW89" s="30">
        <f>F89*AO89</f>
        <v>0</v>
      </c>
      <c r="AX89" s="30">
        <f>F89*AP89</f>
        <v>0</v>
      </c>
      <c r="AY89" s="31" t="s">
        <v>228</v>
      </c>
      <c r="AZ89" s="31" t="s">
        <v>170</v>
      </c>
      <c r="BA89" s="10" t="s">
        <v>60</v>
      </c>
      <c r="BC89" s="30">
        <f>AW89+AX89</f>
        <v>0</v>
      </c>
      <c r="BD89" s="30">
        <f>G89/(100-BE89)*100</f>
        <v>0</v>
      </c>
      <c r="BE89" s="30">
        <v>0</v>
      </c>
      <c r="BF89" s="30">
        <f>89</f>
        <v>89</v>
      </c>
      <c r="BH89" s="30">
        <f>F89*AO89</f>
        <v>0</v>
      </c>
      <c r="BI89" s="30">
        <f>F89*AP89</f>
        <v>0</v>
      </c>
      <c r="BJ89" s="30">
        <f>F89*G89</f>
        <v>0</v>
      </c>
      <c r="BK89" s="30"/>
      <c r="BL89" s="30">
        <v>64</v>
      </c>
      <c r="BW89" s="30">
        <v>12</v>
      </c>
      <c r="BX89" s="4" t="s">
        <v>163</v>
      </c>
    </row>
    <row r="90" spans="1:76" x14ac:dyDescent="0.25">
      <c r="A90" s="39" t="s">
        <v>50</v>
      </c>
      <c r="B90" s="40" t="s">
        <v>253</v>
      </c>
      <c r="C90" s="156" t="s">
        <v>254</v>
      </c>
      <c r="D90" s="157"/>
      <c r="E90" s="41" t="s">
        <v>4</v>
      </c>
      <c r="F90" s="41" t="s">
        <v>4</v>
      </c>
      <c r="G90" s="42" t="s">
        <v>4</v>
      </c>
      <c r="H90" s="43">
        <f>SUM(H91:H98)</f>
        <v>0</v>
      </c>
      <c r="I90" s="43">
        <f>SUM(I91:I98)</f>
        <v>0</v>
      </c>
      <c r="J90" s="43">
        <f>SUM(J91:J98)</f>
        <v>0</v>
      </c>
      <c r="K90" s="44" t="s">
        <v>50</v>
      </c>
      <c r="AI90" s="10" t="s">
        <v>50</v>
      </c>
      <c r="AS90" s="1">
        <f>SUM(AJ91:AJ98)</f>
        <v>0</v>
      </c>
      <c r="AT90" s="1">
        <f>SUM(AK91:AK98)</f>
        <v>0</v>
      </c>
      <c r="AU90" s="1">
        <f>SUM(AL91:AL98)</f>
        <v>0</v>
      </c>
    </row>
    <row r="91" spans="1:76" x14ac:dyDescent="0.25">
      <c r="A91" s="25" t="s">
        <v>255</v>
      </c>
      <c r="B91" s="26" t="s">
        <v>256</v>
      </c>
      <c r="C91" s="150" t="s">
        <v>257</v>
      </c>
      <c r="D91" s="151"/>
      <c r="E91" s="26" t="s">
        <v>99</v>
      </c>
      <c r="F91" s="27">
        <v>16.399999999999999</v>
      </c>
      <c r="G91" s="28">
        <v>0</v>
      </c>
      <c r="H91" s="27">
        <f t="shared" ref="H91:H98" si="110">F91*AO91</f>
        <v>0</v>
      </c>
      <c r="I91" s="27">
        <f t="shared" ref="I91:I98" si="111">F91*AP91</f>
        <v>0</v>
      </c>
      <c r="J91" s="27">
        <f t="shared" ref="J91:J98" si="112">F91*G91</f>
        <v>0</v>
      </c>
      <c r="K91" s="29" t="s">
        <v>57</v>
      </c>
      <c r="Z91" s="30">
        <f t="shared" ref="Z91:Z98" si="113">IF(AQ91="5",BJ91,0)</f>
        <v>0</v>
      </c>
      <c r="AB91" s="30">
        <f t="shared" ref="AB91:AB98" si="114">IF(AQ91="1",BH91,0)</f>
        <v>0</v>
      </c>
      <c r="AC91" s="30">
        <f t="shared" ref="AC91:AC98" si="115">IF(AQ91="1",BI91,0)</f>
        <v>0</v>
      </c>
      <c r="AD91" s="30">
        <f t="shared" ref="AD91:AD98" si="116">IF(AQ91="7",BH91,0)</f>
        <v>0</v>
      </c>
      <c r="AE91" s="30">
        <f t="shared" ref="AE91:AE98" si="117">IF(AQ91="7",BI91,0)</f>
        <v>0</v>
      </c>
      <c r="AF91" s="30">
        <f t="shared" ref="AF91:AF98" si="118">IF(AQ91="2",BH91,0)</f>
        <v>0</v>
      </c>
      <c r="AG91" s="30">
        <f t="shared" ref="AG91:AG98" si="119">IF(AQ91="2",BI91,0)</f>
        <v>0</v>
      </c>
      <c r="AH91" s="30">
        <f t="shared" ref="AH91:AH98" si="120">IF(AQ91="0",BJ91,0)</f>
        <v>0</v>
      </c>
      <c r="AI91" s="10" t="s">
        <v>50</v>
      </c>
      <c r="AJ91" s="30">
        <f t="shared" ref="AJ91:AJ98" si="121">IF(AN91=0,J91,0)</f>
        <v>0</v>
      </c>
      <c r="AK91" s="30">
        <f t="shared" ref="AK91:AK98" si="122">IF(AN91=12,J91,0)</f>
        <v>0</v>
      </c>
      <c r="AL91" s="30">
        <f t="shared" ref="AL91:AL98" si="123">IF(AN91=21,J91,0)</f>
        <v>0</v>
      </c>
      <c r="AN91" s="30">
        <v>12</v>
      </c>
      <c r="AO91" s="30">
        <f>G91*0.340586633</f>
        <v>0</v>
      </c>
      <c r="AP91" s="30">
        <f>G91*(1-0.340586633)</f>
        <v>0</v>
      </c>
      <c r="AQ91" s="31" t="s">
        <v>77</v>
      </c>
      <c r="AV91" s="30">
        <f t="shared" ref="AV91:AV98" si="124">AW91+AX91</f>
        <v>0</v>
      </c>
      <c r="AW91" s="30">
        <f t="shared" ref="AW91:AW98" si="125">F91*AO91</f>
        <v>0</v>
      </c>
      <c r="AX91" s="30">
        <f t="shared" ref="AX91:AX98" si="126">F91*AP91</f>
        <v>0</v>
      </c>
      <c r="AY91" s="31" t="s">
        <v>258</v>
      </c>
      <c r="AZ91" s="31" t="s">
        <v>259</v>
      </c>
      <c r="BA91" s="10" t="s">
        <v>60</v>
      </c>
      <c r="BC91" s="30">
        <f t="shared" ref="BC91:BC98" si="127">AW91+AX91</f>
        <v>0</v>
      </c>
      <c r="BD91" s="30">
        <f t="shared" ref="BD91:BD98" si="128">G91/(100-BE91)*100</f>
        <v>0</v>
      </c>
      <c r="BE91" s="30">
        <v>0</v>
      </c>
      <c r="BF91" s="30">
        <f>91</f>
        <v>91</v>
      </c>
      <c r="BH91" s="30">
        <f t="shared" ref="BH91:BH98" si="129">F91*AO91</f>
        <v>0</v>
      </c>
      <c r="BI91" s="30">
        <f t="shared" ref="BI91:BI98" si="130">F91*AP91</f>
        <v>0</v>
      </c>
      <c r="BJ91" s="30">
        <f t="shared" ref="BJ91:BJ98" si="131">F91*G91</f>
        <v>0</v>
      </c>
      <c r="BK91" s="30"/>
      <c r="BL91" s="30">
        <v>721</v>
      </c>
      <c r="BW91" s="30">
        <v>12</v>
      </c>
      <c r="BX91" s="4" t="s">
        <v>257</v>
      </c>
    </row>
    <row r="92" spans="1:76" x14ac:dyDescent="0.25">
      <c r="A92" s="32" t="s">
        <v>164</v>
      </c>
      <c r="B92" s="33" t="s">
        <v>260</v>
      </c>
      <c r="C92" s="141" t="s">
        <v>261</v>
      </c>
      <c r="D92" s="142"/>
      <c r="E92" s="33" t="s">
        <v>99</v>
      </c>
      <c r="F92" s="34">
        <v>3.4</v>
      </c>
      <c r="G92" s="35">
        <v>0</v>
      </c>
      <c r="H92" s="34">
        <f t="shared" si="110"/>
        <v>0</v>
      </c>
      <c r="I92" s="34">
        <f t="shared" si="111"/>
        <v>0</v>
      </c>
      <c r="J92" s="34">
        <f t="shared" si="112"/>
        <v>0</v>
      </c>
      <c r="K92" s="36" t="s">
        <v>57</v>
      </c>
      <c r="Z92" s="30">
        <f t="shared" si="113"/>
        <v>0</v>
      </c>
      <c r="AB92" s="30">
        <f t="shared" si="114"/>
        <v>0</v>
      </c>
      <c r="AC92" s="30">
        <f t="shared" si="115"/>
        <v>0</v>
      </c>
      <c r="AD92" s="30">
        <f t="shared" si="116"/>
        <v>0</v>
      </c>
      <c r="AE92" s="30">
        <f t="shared" si="117"/>
        <v>0</v>
      </c>
      <c r="AF92" s="30">
        <f t="shared" si="118"/>
        <v>0</v>
      </c>
      <c r="AG92" s="30">
        <f t="shared" si="119"/>
        <v>0</v>
      </c>
      <c r="AH92" s="30">
        <f t="shared" si="120"/>
        <v>0</v>
      </c>
      <c r="AI92" s="10" t="s">
        <v>50</v>
      </c>
      <c r="AJ92" s="30">
        <f t="shared" si="121"/>
        <v>0</v>
      </c>
      <c r="AK92" s="30">
        <f t="shared" si="122"/>
        <v>0</v>
      </c>
      <c r="AL92" s="30">
        <f t="shared" si="123"/>
        <v>0</v>
      </c>
      <c r="AN92" s="30">
        <v>12</v>
      </c>
      <c r="AO92" s="30">
        <f>G92*0.317436677</f>
        <v>0</v>
      </c>
      <c r="AP92" s="30">
        <f>G92*(1-0.317436677)</f>
        <v>0</v>
      </c>
      <c r="AQ92" s="31" t="s">
        <v>77</v>
      </c>
      <c r="AV92" s="30">
        <f t="shared" si="124"/>
        <v>0</v>
      </c>
      <c r="AW92" s="30">
        <f t="shared" si="125"/>
        <v>0</v>
      </c>
      <c r="AX92" s="30">
        <f t="shared" si="126"/>
        <v>0</v>
      </c>
      <c r="AY92" s="31" t="s">
        <v>258</v>
      </c>
      <c r="AZ92" s="31" t="s">
        <v>259</v>
      </c>
      <c r="BA92" s="10" t="s">
        <v>60</v>
      </c>
      <c r="BC92" s="30">
        <f t="shared" si="127"/>
        <v>0</v>
      </c>
      <c r="BD92" s="30">
        <f t="shared" si="128"/>
        <v>0</v>
      </c>
      <c r="BE92" s="30">
        <v>0</v>
      </c>
      <c r="BF92" s="30">
        <f>92</f>
        <v>92</v>
      </c>
      <c r="BH92" s="30">
        <f t="shared" si="129"/>
        <v>0</v>
      </c>
      <c r="BI92" s="30">
        <f t="shared" si="130"/>
        <v>0</v>
      </c>
      <c r="BJ92" s="30">
        <f t="shared" si="131"/>
        <v>0</v>
      </c>
      <c r="BK92" s="30"/>
      <c r="BL92" s="30">
        <v>721</v>
      </c>
      <c r="BW92" s="30">
        <v>12</v>
      </c>
      <c r="BX92" s="4" t="s">
        <v>261</v>
      </c>
    </row>
    <row r="93" spans="1:76" x14ac:dyDescent="0.25">
      <c r="A93" s="32" t="s">
        <v>262</v>
      </c>
      <c r="B93" s="33" t="s">
        <v>263</v>
      </c>
      <c r="C93" s="141" t="s">
        <v>264</v>
      </c>
      <c r="D93" s="142"/>
      <c r="E93" s="33" t="s">
        <v>56</v>
      </c>
      <c r="F93" s="34">
        <v>8</v>
      </c>
      <c r="G93" s="35">
        <v>0</v>
      </c>
      <c r="H93" s="34">
        <f t="shared" si="110"/>
        <v>0</v>
      </c>
      <c r="I93" s="34">
        <f t="shared" si="111"/>
        <v>0</v>
      </c>
      <c r="J93" s="34">
        <f t="shared" si="112"/>
        <v>0</v>
      </c>
      <c r="K93" s="36" t="s">
        <v>57</v>
      </c>
      <c r="Z93" s="30">
        <f t="shared" si="113"/>
        <v>0</v>
      </c>
      <c r="AB93" s="30">
        <f t="shared" si="114"/>
        <v>0</v>
      </c>
      <c r="AC93" s="30">
        <f t="shared" si="115"/>
        <v>0</v>
      </c>
      <c r="AD93" s="30">
        <f t="shared" si="116"/>
        <v>0</v>
      </c>
      <c r="AE93" s="30">
        <f t="shared" si="117"/>
        <v>0</v>
      </c>
      <c r="AF93" s="30">
        <f t="shared" si="118"/>
        <v>0</v>
      </c>
      <c r="AG93" s="30">
        <f t="shared" si="119"/>
        <v>0</v>
      </c>
      <c r="AH93" s="30">
        <f t="shared" si="120"/>
        <v>0</v>
      </c>
      <c r="AI93" s="10" t="s">
        <v>50</v>
      </c>
      <c r="AJ93" s="30">
        <f t="shared" si="121"/>
        <v>0</v>
      </c>
      <c r="AK93" s="30">
        <f t="shared" si="122"/>
        <v>0</v>
      </c>
      <c r="AL93" s="30">
        <f t="shared" si="123"/>
        <v>0</v>
      </c>
      <c r="AN93" s="30">
        <v>12</v>
      </c>
      <c r="AO93" s="30">
        <f>G93*0</f>
        <v>0</v>
      </c>
      <c r="AP93" s="30">
        <f>G93*(1-0)</f>
        <v>0</v>
      </c>
      <c r="AQ93" s="31" t="s">
        <v>77</v>
      </c>
      <c r="AV93" s="30">
        <f t="shared" si="124"/>
        <v>0</v>
      </c>
      <c r="AW93" s="30">
        <f t="shared" si="125"/>
        <v>0</v>
      </c>
      <c r="AX93" s="30">
        <f t="shared" si="126"/>
        <v>0</v>
      </c>
      <c r="AY93" s="31" t="s">
        <v>258</v>
      </c>
      <c r="AZ93" s="31" t="s">
        <v>259</v>
      </c>
      <c r="BA93" s="10" t="s">
        <v>60</v>
      </c>
      <c r="BC93" s="30">
        <f t="shared" si="127"/>
        <v>0</v>
      </c>
      <c r="BD93" s="30">
        <f t="shared" si="128"/>
        <v>0</v>
      </c>
      <c r="BE93" s="30">
        <v>0</v>
      </c>
      <c r="BF93" s="30">
        <f>93</f>
        <v>93</v>
      </c>
      <c r="BH93" s="30">
        <f t="shared" si="129"/>
        <v>0</v>
      </c>
      <c r="BI93" s="30">
        <f t="shared" si="130"/>
        <v>0</v>
      </c>
      <c r="BJ93" s="30">
        <f t="shared" si="131"/>
        <v>0</v>
      </c>
      <c r="BK93" s="30"/>
      <c r="BL93" s="30">
        <v>721</v>
      </c>
      <c r="BW93" s="30">
        <v>12</v>
      </c>
      <c r="BX93" s="4" t="s">
        <v>264</v>
      </c>
    </row>
    <row r="94" spans="1:76" x14ac:dyDescent="0.25">
      <c r="A94" s="32" t="s">
        <v>265</v>
      </c>
      <c r="B94" s="33" t="s">
        <v>266</v>
      </c>
      <c r="C94" s="141" t="s">
        <v>267</v>
      </c>
      <c r="D94" s="142"/>
      <c r="E94" s="33" t="s">
        <v>56</v>
      </c>
      <c r="F94" s="34">
        <v>2</v>
      </c>
      <c r="G94" s="35">
        <v>0</v>
      </c>
      <c r="H94" s="34">
        <f t="shared" si="110"/>
        <v>0</v>
      </c>
      <c r="I94" s="34">
        <f t="shared" si="111"/>
        <v>0</v>
      </c>
      <c r="J94" s="34">
        <f t="shared" si="112"/>
        <v>0</v>
      </c>
      <c r="K94" s="36" t="s">
        <v>57</v>
      </c>
      <c r="Z94" s="30">
        <f t="shared" si="113"/>
        <v>0</v>
      </c>
      <c r="AB94" s="30">
        <f t="shared" si="114"/>
        <v>0</v>
      </c>
      <c r="AC94" s="30">
        <f t="shared" si="115"/>
        <v>0</v>
      </c>
      <c r="AD94" s="30">
        <f t="shared" si="116"/>
        <v>0</v>
      </c>
      <c r="AE94" s="30">
        <f t="shared" si="117"/>
        <v>0</v>
      </c>
      <c r="AF94" s="30">
        <f t="shared" si="118"/>
        <v>0</v>
      </c>
      <c r="AG94" s="30">
        <f t="shared" si="119"/>
        <v>0</v>
      </c>
      <c r="AH94" s="30">
        <f t="shared" si="120"/>
        <v>0</v>
      </c>
      <c r="AI94" s="10" t="s">
        <v>50</v>
      </c>
      <c r="AJ94" s="30">
        <f t="shared" si="121"/>
        <v>0</v>
      </c>
      <c r="AK94" s="30">
        <f t="shared" si="122"/>
        <v>0</v>
      </c>
      <c r="AL94" s="30">
        <f t="shared" si="123"/>
        <v>0</v>
      </c>
      <c r="AN94" s="30">
        <v>12</v>
      </c>
      <c r="AO94" s="30">
        <f>G94*0</f>
        <v>0</v>
      </c>
      <c r="AP94" s="30">
        <f>G94*(1-0)</f>
        <v>0</v>
      </c>
      <c r="AQ94" s="31" t="s">
        <v>77</v>
      </c>
      <c r="AV94" s="30">
        <f t="shared" si="124"/>
        <v>0</v>
      </c>
      <c r="AW94" s="30">
        <f t="shared" si="125"/>
        <v>0</v>
      </c>
      <c r="AX94" s="30">
        <f t="shared" si="126"/>
        <v>0</v>
      </c>
      <c r="AY94" s="31" t="s">
        <v>258</v>
      </c>
      <c r="AZ94" s="31" t="s">
        <v>259</v>
      </c>
      <c r="BA94" s="10" t="s">
        <v>60</v>
      </c>
      <c r="BC94" s="30">
        <f t="shared" si="127"/>
        <v>0</v>
      </c>
      <c r="BD94" s="30">
        <f t="shared" si="128"/>
        <v>0</v>
      </c>
      <c r="BE94" s="30">
        <v>0</v>
      </c>
      <c r="BF94" s="30">
        <f>94</f>
        <v>94</v>
      </c>
      <c r="BH94" s="30">
        <f t="shared" si="129"/>
        <v>0</v>
      </c>
      <c r="BI94" s="30">
        <f t="shared" si="130"/>
        <v>0</v>
      </c>
      <c r="BJ94" s="30">
        <f t="shared" si="131"/>
        <v>0</v>
      </c>
      <c r="BK94" s="30"/>
      <c r="BL94" s="30">
        <v>721</v>
      </c>
      <c r="BW94" s="30">
        <v>12</v>
      </c>
      <c r="BX94" s="4" t="s">
        <v>267</v>
      </c>
    </row>
    <row r="95" spans="1:76" ht="25.5" x14ac:dyDescent="0.25">
      <c r="A95" s="32" t="s">
        <v>223</v>
      </c>
      <c r="B95" s="33" t="s">
        <v>268</v>
      </c>
      <c r="C95" s="141" t="s">
        <v>269</v>
      </c>
      <c r="D95" s="142"/>
      <c r="E95" s="33" t="s">
        <v>56</v>
      </c>
      <c r="F95" s="34">
        <v>2</v>
      </c>
      <c r="G95" s="35">
        <v>0</v>
      </c>
      <c r="H95" s="34">
        <f t="shared" si="110"/>
        <v>0</v>
      </c>
      <c r="I95" s="34">
        <f t="shared" si="111"/>
        <v>0</v>
      </c>
      <c r="J95" s="34">
        <f t="shared" si="112"/>
        <v>0</v>
      </c>
      <c r="K95" s="36" t="s">
        <v>57</v>
      </c>
      <c r="Z95" s="30">
        <f t="shared" si="113"/>
        <v>0</v>
      </c>
      <c r="AB95" s="30">
        <f t="shared" si="114"/>
        <v>0</v>
      </c>
      <c r="AC95" s="30">
        <f t="shared" si="115"/>
        <v>0</v>
      </c>
      <c r="AD95" s="30">
        <f t="shared" si="116"/>
        <v>0</v>
      </c>
      <c r="AE95" s="30">
        <f t="shared" si="117"/>
        <v>0</v>
      </c>
      <c r="AF95" s="30">
        <f t="shared" si="118"/>
        <v>0</v>
      </c>
      <c r="AG95" s="30">
        <f t="shared" si="119"/>
        <v>0</v>
      </c>
      <c r="AH95" s="30">
        <f t="shared" si="120"/>
        <v>0</v>
      </c>
      <c r="AI95" s="10" t="s">
        <v>50</v>
      </c>
      <c r="AJ95" s="30">
        <f t="shared" si="121"/>
        <v>0</v>
      </c>
      <c r="AK95" s="30">
        <f t="shared" si="122"/>
        <v>0</v>
      </c>
      <c r="AL95" s="30">
        <f t="shared" si="123"/>
        <v>0</v>
      </c>
      <c r="AN95" s="30">
        <v>12</v>
      </c>
      <c r="AO95" s="30">
        <f>G95*0.234419254</f>
        <v>0</v>
      </c>
      <c r="AP95" s="30">
        <f>G95*(1-0.234419254)</f>
        <v>0</v>
      </c>
      <c r="AQ95" s="31" t="s">
        <v>77</v>
      </c>
      <c r="AV95" s="30">
        <f t="shared" si="124"/>
        <v>0</v>
      </c>
      <c r="AW95" s="30">
        <f t="shared" si="125"/>
        <v>0</v>
      </c>
      <c r="AX95" s="30">
        <f t="shared" si="126"/>
        <v>0</v>
      </c>
      <c r="AY95" s="31" t="s">
        <v>258</v>
      </c>
      <c r="AZ95" s="31" t="s">
        <v>259</v>
      </c>
      <c r="BA95" s="10" t="s">
        <v>60</v>
      </c>
      <c r="BC95" s="30">
        <f t="shared" si="127"/>
        <v>0</v>
      </c>
      <c r="BD95" s="30">
        <f t="shared" si="128"/>
        <v>0</v>
      </c>
      <c r="BE95" s="30">
        <v>0</v>
      </c>
      <c r="BF95" s="30">
        <f>95</f>
        <v>95</v>
      </c>
      <c r="BH95" s="30">
        <f t="shared" si="129"/>
        <v>0</v>
      </c>
      <c r="BI95" s="30">
        <f t="shared" si="130"/>
        <v>0</v>
      </c>
      <c r="BJ95" s="30">
        <f t="shared" si="131"/>
        <v>0</v>
      </c>
      <c r="BK95" s="30"/>
      <c r="BL95" s="30">
        <v>721</v>
      </c>
      <c r="BW95" s="30">
        <v>12</v>
      </c>
      <c r="BX95" s="4" t="s">
        <v>269</v>
      </c>
    </row>
    <row r="96" spans="1:76" ht="25.5" x14ac:dyDescent="0.25">
      <c r="A96" s="32" t="s">
        <v>270</v>
      </c>
      <c r="B96" s="33" t="s">
        <v>271</v>
      </c>
      <c r="C96" s="141" t="s">
        <v>272</v>
      </c>
      <c r="D96" s="142"/>
      <c r="E96" s="33" t="s">
        <v>56</v>
      </c>
      <c r="F96" s="34">
        <v>1</v>
      </c>
      <c r="G96" s="35">
        <v>0</v>
      </c>
      <c r="H96" s="34">
        <f t="shared" si="110"/>
        <v>0</v>
      </c>
      <c r="I96" s="34">
        <f t="shared" si="111"/>
        <v>0</v>
      </c>
      <c r="J96" s="34">
        <f t="shared" si="112"/>
        <v>0</v>
      </c>
      <c r="K96" s="36" t="s">
        <v>57</v>
      </c>
      <c r="Z96" s="30">
        <f t="shared" si="113"/>
        <v>0</v>
      </c>
      <c r="AB96" s="30">
        <f t="shared" si="114"/>
        <v>0</v>
      </c>
      <c r="AC96" s="30">
        <f t="shared" si="115"/>
        <v>0</v>
      </c>
      <c r="AD96" s="30">
        <f t="shared" si="116"/>
        <v>0</v>
      </c>
      <c r="AE96" s="30">
        <f t="shared" si="117"/>
        <v>0</v>
      </c>
      <c r="AF96" s="30">
        <f t="shared" si="118"/>
        <v>0</v>
      </c>
      <c r="AG96" s="30">
        <f t="shared" si="119"/>
        <v>0</v>
      </c>
      <c r="AH96" s="30">
        <f t="shared" si="120"/>
        <v>0</v>
      </c>
      <c r="AI96" s="10" t="s">
        <v>50</v>
      </c>
      <c r="AJ96" s="30">
        <f t="shared" si="121"/>
        <v>0</v>
      </c>
      <c r="AK96" s="30">
        <f t="shared" si="122"/>
        <v>0</v>
      </c>
      <c r="AL96" s="30">
        <f t="shared" si="123"/>
        <v>0</v>
      </c>
      <c r="AN96" s="30">
        <v>12</v>
      </c>
      <c r="AO96" s="30">
        <f>G96*0.281444992</f>
        <v>0</v>
      </c>
      <c r="AP96" s="30">
        <f>G96*(1-0.281444992)</f>
        <v>0</v>
      </c>
      <c r="AQ96" s="31" t="s">
        <v>77</v>
      </c>
      <c r="AV96" s="30">
        <f t="shared" si="124"/>
        <v>0</v>
      </c>
      <c r="AW96" s="30">
        <f t="shared" si="125"/>
        <v>0</v>
      </c>
      <c r="AX96" s="30">
        <f t="shared" si="126"/>
        <v>0</v>
      </c>
      <c r="AY96" s="31" t="s">
        <v>258</v>
      </c>
      <c r="AZ96" s="31" t="s">
        <v>259</v>
      </c>
      <c r="BA96" s="10" t="s">
        <v>60</v>
      </c>
      <c r="BC96" s="30">
        <f t="shared" si="127"/>
        <v>0</v>
      </c>
      <c r="BD96" s="30">
        <f t="shared" si="128"/>
        <v>0</v>
      </c>
      <c r="BE96" s="30">
        <v>0</v>
      </c>
      <c r="BF96" s="30">
        <f>96</f>
        <v>96</v>
      </c>
      <c r="BH96" s="30">
        <f t="shared" si="129"/>
        <v>0</v>
      </c>
      <c r="BI96" s="30">
        <f t="shared" si="130"/>
        <v>0</v>
      </c>
      <c r="BJ96" s="30">
        <f t="shared" si="131"/>
        <v>0</v>
      </c>
      <c r="BK96" s="30"/>
      <c r="BL96" s="30">
        <v>721</v>
      </c>
      <c r="BW96" s="30">
        <v>12</v>
      </c>
      <c r="BX96" s="4" t="s">
        <v>272</v>
      </c>
    </row>
    <row r="97" spans="1:76" x14ac:dyDescent="0.25">
      <c r="A97" s="32" t="s">
        <v>273</v>
      </c>
      <c r="B97" s="33" t="s">
        <v>274</v>
      </c>
      <c r="C97" s="141" t="s">
        <v>275</v>
      </c>
      <c r="D97" s="142"/>
      <c r="E97" s="33" t="s">
        <v>99</v>
      </c>
      <c r="F97" s="34">
        <v>19.8</v>
      </c>
      <c r="G97" s="35">
        <v>0</v>
      </c>
      <c r="H97" s="34">
        <f t="shared" si="110"/>
        <v>0</v>
      </c>
      <c r="I97" s="34">
        <f t="shared" si="111"/>
        <v>0</v>
      </c>
      <c r="J97" s="34">
        <f t="shared" si="112"/>
        <v>0</v>
      </c>
      <c r="K97" s="36" t="s">
        <v>57</v>
      </c>
      <c r="Z97" s="30">
        <f t="shared" si="113"/>
        <v>0</v>
      </c>
      <c r="AB97" s="30">
        <f t="shared" si="114"/>
        <v>0</v>
      </c>
      <c r="AC97" s="30">
        <f t="shared" si="115"/>
        <v>0</v>
      </c>
      <c r="AD97" s="30">
        <f t="shared" si="116"/>
        <v>0</v>
      </c>
      <c r="AE97" s="30">
        <f t="shared" si="117"/>
        <v>0</v>
      </c>
      <c r="AF97" s="30">
        <f t="shared" si="118"/>
        <v>0</v>
      </c>
      <c r="AG97" s="30">
        <f t="shared" si="119"/>
        <v>0</v>
      </c>
      <c r="AH97" s="30">
        <f t="shared" si="120"/>
        <v>0</v>
      </c>
      <c r="AI97" s="10" t="s">
        <v>50</v>
      </c>
      <c r="AJ97" s="30">
        <f t="shared" si="121"/>
        <v>0</v>
      </c>
      <c r="AK97" s="30">
        <f t="shared" si="122"/>
        <v>0</v>
      </c>
      <c r="AL97" s="30">
        <f t="shared" si="123"/>
        <v>0</v>
      </c>
      <c r="AN97" s="30">
        <v>12</v>
      </c>
      <c r="AO97" s="30">
        <f>G97*0.029824561</f>
        <v>0</v>
      </c>
      <c r="AP97" s="30">
        <f>G97*(1-0.029824561)</f>
        <v>0</v>
      </c>
      <c r="AQ97" s="31" t="s">
        <v>77</v>
      </c>
      <c r="AV97" s="30">
        <f t="shared" si="124"/>
        <v>0</v>
      </c>
      <c r="AW97" s="30">
        <f t="shared" si="125"/>
        <v>0</v>
      </c>
      <c r="AX97" s="30">
        <f t="shared" si="126"/>
        <v>0</v>
      </c>
      <c r="AY97" s="31" t="s">
        <v>258</v>
      </c>
      <c r="AZ97" s="31" t="s">
        <v>259</v>
      </c>
      <c r="BA97" s="10" t="s">
        <v>60</v>
      </c>
      <c r="BC97" s="30">
        <f t="shared" si="127"/>
        <v>0</v>
      </c>
      <c r="BD97" s="30">
        <f t="shared" si="128"/>
        <v>0</v>
      </c>
      <c r="BE97" s="30">
        <v>0</v>
      </c>
      <c r="BF97" s="30">
        <f>97</f>
        <v>97</v>
      </c>
      <c r="BH97" s="30">
        <f t="shared" si="129"/>
        <v>0</v>
      </c>
      <c r="BI97" s="30">
        <f t="shared" si="130"/>
        <v>0</v>
      </c>
      <c r="BJ97" s="30">
        <f t="shared" si="131"/>
        <v>0</v>
      </c>
      <c r="BK97" s="30"/>
      <c r="BL97" s="30">
        <v>721</v>
      </c>
      <c r="BW97" s="30">
        <v>12</v>
      </c>
      <c r="BX97" s="4" t="s">
        <v>275</v>
      </c>
    </row>
    <row r="98" spans="1:76" x14ac:dyDescent="0.25">
      <c r="A98" s="32" t="s">
        <v>276</v>
      </c>
      <c r="B98" s="33" t="s">
        <v>277</v>
      </c>
      <c r="C98" s="141" t="s">
        <v>278</v>
      </c>
      <c r="D98" s="142"/>
      <c r="E98" s="33" t="s">
        <v>109</v>
      </c>
      <c r="F98" s="34">
        <v>1.2880000000000001E-2</v>
      </c>
      <c r="G98" s="35">
        <v>0</v>
      </c>
      <c r="H98" s="34">
        <f t="shared" si="110"/>
        <v>0</v>
      </c>
      <c r="I98" s="34">
        <f t="shared" si="111"/>
        <v>0</v>
      </c>
      <c r="J98" s="34">
        <f t="shared" si="112"/>
        <v>0</v>
      </c>
      <c r="K98" s="36" t="s">
        <v>57</v>
      </c>
      <c r="Z98" s="30">
        <f t="shared" si="113"/>
        <v>0</v>
      </c>
      <c r="AB98" s="30">
        <f t="shared" si="114"/>
        <v>0</v>
      </c>
      <c r="AC98" s="30">
        <f t="shared" si="115"/>
        <v>0</v>
      </c>
      <c r="AD98" s="30">
        <f t="shared" si="116"/>
        <v>0</v>
      </c>
      <c r="AE98" s="30">
        <f t="shared" si="117"/>
        <v>0</v>
      </c>
      <c r="AF98" s="30">
        <f t="shared" si="118"/>
        <v>0</v>
      </c>
      <c r="AG98" s="30">
        <f t="shared" si="119"/>
        <v>0</v>
      </c>
      <c r="AH98" s="30">
        <f t="shared" si="120"/>
        <v>0</v>
      </c>
      <c r="AI98" s="10" t="s">
        <v>50</v>
      </c>
      <c r="AJ98" s="30">
        <f t="shared" si="121"/>
        <v>0</v>
      </c>
      <c r="AK98" s="30">
        <f t="shared" si="122"/>
        <v>0</v>
      </c>
      <c r="AL98" s="30">
        <f t="shared" si="123"/>
        <v>0</v>
      </c>
      <c r="AN98" s="30">
        <v>12</v>
      </c>
      <c r="AO98" s="30">
        <f>G98*0</f>
        <v>0</v>
      </c>
      <c r="AP98" s="30">
        <f>G98*(1-0)</f>
        <v>0</v>
      </c>
      <c r="AQ98" s="31" t="s">
        <v>71</v>
      </c>
      <c r="AV98" s="30">
        <f t="shared" si="124"/>
        <v>0</v>
      </c>
      <c r="AW98" s="30">
        <f t="shared" si="125"/>
        <v>0</v>
      </c>
      <c r="AX98" s="30">
        <f t="shared" si="126"/>
        <v>0</v>
      </c>
      <c r="AY98" s="31" t="s">
        <v>258</v>
      </c>
      <c r="AZ98" s="31" t="s">
        <v>259</v>
      </c>
      <c r="BA98" s="10" t="s">
        <v>60</v>
      </c>
      <c r="BC98" s="30">
        <f t="shared" si="127"/>
        <v>0</v>
      </c>
      <c r="BD98" s="30">
        <f t="shared" si="128"/>
        <v>0</v>
      </c>
      <c r="BE98" s="30">
        <v>0</v>
      </c>
      <c r="BF98" s="30">
        <f>98</f>
        <v>98</v>
      </c>
      <c r="BH98" s="30">
        <f t="shared" si="129"/>
        <v>0</v>
      </c>
      <c r="BI98" s="30">
        <f t="shared" si="130"/>
        <v>0</v>
      </c>
      <c r="BJ98" s="30">
        <f t="shared" si="131"/>
        <v>0</v>
      </c>
      <c r="BK98" s="30"/>
      <c r="BL98" s="30">
        <v>721</v>
      </c>
      <c r="BW98" s="30">
        <v>12</v>
      </c>
      <c r="BX98" s="4" t="s">
        <v>278</v>
      </c>
    </row>
    <row r="99" spans="1:76" x14ac:dyDescent="0.25">
      <c r="A99" s="39" t="s">
        <v>50</v>
      </c>
      <c r="B99" s="40" t="s">
        <v>279</v>
      </c>
      <c r="C99" s="156" t="s">
        <v>280</v>
      </c>
      <c r="D99" s="157"/>
      <c r="E99" s="41" t="s">
        <v>4</v>
      </c>
      <c r="F99" s="41" t="s">
        <v>4</v>
      </c>
      <c r="G99" s="42" t="s">
        <v>4</v>
      </c>
      <c r="H99" s="43">
        <f>SUM(H100:H117)</f>
        <v>0</v>
      </c>
      <c r="I99" s="43">
        <f>SUM(I100:I117)</f>
        <v>0</v>
      </c>
      <c r="J99" s="43">
        <f>SUM(J100:J117)</f>
        <v>0</v>
      </c>
      <c r="K99" s="44" t="s">
        <v>50</v>
      </c>
      <c r="AI99" s="10" t="s">
        <v>50</v>
      </c>
      <c r="AS99" s="1">
        <f>SUM(AJ100:AJ117)</f>
        <v>0</v>
      </c>
      <c r="AT99" s="1">
        <f>SUM(AK100:AK117)</f>
        <v>0</v>
      </c>
      <c r="AU99" s="1">
        <f>SUM(AL100:AL117)</f>
        <v>0</v>
      </c>
    </row>
    <row r="100" spans="1:76" x14ac:dyDescent="0.25">
      <c r="A100" s="25" t="s">
        <v>281</v>
      </c>
      <c r="B100" s="26" t="s">
        <v>282</v>
      </c>
      <c r="C100" s="150" t="s">
        <v>283</v>
      </c>
      <c r="D100" s="151"/>
      <c r="E100" s="26" t="s">
        <v>99</v>
      </c>
      <c r="F100" s="27">
        <v>34.950000000000003</v>
      </c>
      <c r="G100" s="28">
        <v>0</v>
      </c>
      <c r="H100" s="27">
        <f>F100*AO100</f>
        <v>0</v>
      </c>
      <c r="I100" s="27">
        <f>F100*AP100</f>
        <v>0</v>
      </c>
      <c r="J100" s="27">
        <f>F100*G100</f>
        <v>0</v>
      </c>
      <c r="K100" s="29" t="s">
        <v>57</v>
      </c>
      <c r="Z100" s="30">
        <f>IF(AQ100="5",BJ100,0)</f>
        <v>0</v>
      </c>
      <c r="AB100" s="30">
        <f>IF(AQ100="1",BH100,0)</f>
        <v>0</v>
      </c>
      <c r="AC100" s="30">
        <f>IF(AQ100="1",BI100,0)</f>
        <v>0</v>
      </c>
      <c r="AD100" s="30">
        <f>IF(AQ100="7",BH100,0)</f>
        <v>0</v>
      </c>
      <c r="AE100" s="30">
        <f>IF(AQ100="7",BI100,0)</f>
        <v>0</v>
      </c>
      <c r="AF100" s="30">
        <f>IF(AQ100="2",BH100,0)</f>
        <v>0</v>
      </c>
      <c r="AG100" s="30">
        <f>IF(AQ100="2",BI100,0)</f>
        <v>0</v>
      </c>
      <c r="AH100" s="30">
        <f>IF(AQ100="0",BJ100,0)</f>
        <v>0</v>
      </c>
      <c r="AI100" s="10" t="s">
        <v>50</v>
      </c>
      <c r="AJ100" s="30">
        <f>IF(AN100=0,J100,0)</f>
        <v>0</v>
      </c>
      <c r="AK100" s="30">
        <f>IF(AN100=12,J100,0)</f>
        <v>0</v>
      </c>
      <c r="AL100" s="30">
        <f>IF(AN100=21,J100,0)</f>
        <v>0</v>
      </c>
      <c r="AN100" s="30">
        <v>12</v>
      </c>
      <c r="AO100" s="30">
        <f>G100*0.226815118</f>
        <v>0</v>
      </c>
      <c r="AP100" s="30">
        <f>G100*(1-0.226815118)</f>
        <v>0</v>
      </c>
      <c r="AQ100" s="31" t="s">
        <v>77</v>
      </c>
      <c r="AV100" s="30">
        <f>AW100+AX100</f>
        <v>0</v>
      </c>
      <c r="AW100" s="30">
        <f>F100*AO100</f>
        <v>0</v>
      </c>
      <c r="AX100" s="30">
        <f>F100*AP100</f>
        <v>0</v>
      </c>
      <c r="AY100" s="31" t="s">
        <v>284</v>
      </c>
      <c r="AZ100" s="31" t="s">
        <v>259</v>
      </c>
      <c r="BA100" s="10" t="s">
        <v>60</v>
      </c>
      <c r="BC100" s="30">
        <f>AW100+AX100</f>
        <v>0</v>
      </c>
      <c r="BD100" s="30">
        <f>G100/(100-BE100)*100</f>
        <v>0</v>
      </c>
      <c r="BE100" s="30">
        <v>0</v>
      </c>
      <c r="BF100" s="30">
        <f>100</f>
        <v>100</v>
      </c>
      <c r="BH100" s="30">
        <f>F100*AO100</f>
        <v>0</v>
      </c>
      <c r="BI100" s="30">
        <f>F100*AP100</f>
        <v>0</v>
      </c>
      <c r="BJ100" s="30">
        <f>F100*G100</f>
        <v>0</v>
      </c>
      <c r="BK100" s="30"/>
      <c r="BL100" s="30">
        <v>722</v>
      </c>
      <c r="BW100" s="30">
        <v>12</v>
      </c>
      <c r="BX100" s="4" t="s">
        <v>283</v>
      </c>
    </row>
    <row r="101" spans="1:76" x14ac:dyDescent="0.25">
      <c r="A101" s="32" t="s">
        <v>285</v>
      </c>
      <c r="B101" s="33" t="s">
        <v>286</v>
      </c>
      <c r="C101" s="141" t="s">
        <v>287</v>
      </c>
      <c r="D101" s="142"/>
      <c r="E101" s="33" t="s">
        <v>99</v>
      </c>
      <c r="F101" s="34">
        <v>20</v>
      </c>
      <c r="G101" s="35">
        <v>0</v>
      </c>
      <c r="H101" s="34">
        <f>F101*AO101</f>
        <v>0</v>
      </c>
      <c r="I101" s="34">
        <f>F101*AP101</f>
        <v>0</v>
      </c>
      <c r="J101" s="34">
        <f>F101*G101</f>
        <v>0</v>
      </c>
      <c r="K101" s="36" t="s">
        <v>57</v>
      </c>
      <c r="Z101" s="30">
        <f>IF(AQ101="5",BJ101,0)</f>
        <v>0</v>
      </c>
      <c r="AB101" s="30">
        <f>IF(AQ101="1",BH101,0)</f>
        <v>0</v>
      </c>
      <c r="AC101" s="30">
        <f>IF(AQ101="1",BI101,0)</f>
        <v>0</v>
      </c>
      <c r="AD101" s="30">
        <f>IF(AQ101="7",BH101,0)</f>
        <v>0</v>
      </c>
      <c r="AE101" s="30">
        <f>IF(AQ101="7",BI101,0)</f>
        <v>0</v>
      </c>
      <c r="AF101" s="30">
        <f>IF(AQ101="2",BH101,0)</f>
        <v>0</v>
      </c>
      <c r="AG101" s="30">
        <f>IF(AQ101="2",BI101,0)</f>
        <v>0</v>
      </c>
      <c r="AH101" s="30">
        <f>IF(AQ101="0",BJ101,0)</f>
        <v>0</v>
      </c>
      <c r="AI101" s="10" t="s">
        <v>50</v>
      </c>
      <c r="AJ101" s="30">
        <f>IF(AN101=0,J101,0)</f>
        <v>0</v>
      </c>
      <c r="AK101" s="30">
        <f>IF(AN101=12,J101,0)</f>
        <v>0</v>
      </c>
      <c r="AL101" s="30">
        <f>IF(AN101=21,J101,0)</f>
        <v>0</v>
      </c>
      <c r="AN101" s="30">
        <v>12</v>
      </c>
      <c r="AO101" s="30">
        <f>G101*0.254655172</f>
        <v>0</v>
      </c>
      <c r="AP101" s="30">
        <f>G101*(1-0.254655172)</f>
        <v>0</v>
      </c>
      <c r="AQ101" s="31" t="s">
        <v>77</v>
      </c>
      <c r="AV101" s="30">
        <f>AW101+AX101</f>
        <v>0</v>
      </c>
      <c r="AW101" s="30">
        <f>F101*AO101</f>
        <v>0</v>
      </c>
      <c r="AX101" s="30">
        <f>F101*AP101</f>
        <v>0</v>
      </c>
      <c r="AY101" s="31" t="s">
        <v>284</v>
      </c>
      <c r="AZ101" s="31" t="s">
        <v>259</v>
      </c>
      <c r="BA101" s="10" t="s">
        <v>60</v>
      </c>
      <c r="BC101" s="30">
        <f>AW101+AX101</f>
        <v>0</v>
      </c>
      <c r="BD101" s="30">
        <f>G101/(100-BE101)*100</f>
        <v>0</v>
      </c>
      <c r="BE101" s="30">
        <v>0</v>
      </c>
      <c r="BF101" s="30">
        <f>101</f>
        <v>101</v>
      </c>
      <c r="BH101" s="30">
        <f>F101*AO101</f>
        <v>0</v>
      </c>
      <c r="BI101" s="30">
        <f>F101*AP101</f>
        <v>0</v>
      </c>
      <c r="BJ101" s="30">
        <f>F101*G101</f>
        <v>0</v>
      </c>
      <c r="BK101" s="30"/>
      <c r="BL101" s="30">
        <v>722</v>
      </c>
      <c r="BW101" s="30">
        <v>12</v>
      </c>
      <c r="BX101" s="4" t="s">
        <v>287</v>
      </c>
    </row>
    <row r="102" spans="1:76" x14ac:dyDescent="0.25">
      <c r="A102" s="32" t="s">
        <v>288</v>
      </c>
      <c r="B102" s="33" t="s">
        <v>289</v>
      </c>
      <c r="C102" s="141" t="s">
        <v>290</v>
      </c>
      <c r="D102" s="142"/>
      <c r="E102" s="33" t="s">
        <v>99</v>
      </c>
      <c r="F102" s="34">
        <v>34.950000000000003</v>
      </c>
      <c r="G102" s="35">
        <v>0</v>
      </c>
      <c r="H102" s="34">
        <f>F102*AO102</f>
        <v>0</v>
      </c>
      <c r="I102" s="34">
        <f>F102*AP102</f>
        <v>0</v>
      </c>
      <c r="J102" s="34">
        <f>F102*G102</f>
        <v>0</v>
      </c>
      <c r="K102" s="36" t="s">
        <v>57</v>
      </c>
      <c r="Z102" s="30">
        <f>IF(AQ102="5",BJ102,0)</f>
        <v>0</v>
      </c>
      <c r="AB102" s="30">
        <f>IF(AQ102="1",BH102,0)</f>
        <v>0</v>
      </c>
      <c r="AC102" s="30">
        <f>IF(AQ102="1",BI102,0)</f>
        <v>0</v>
      </c>
      <c r="AD102" s="30">
        <f>IF(AQ102="7",BH102,0)</f>
        <v>0</v>
      </c>
      <c r="AE102" s="30">
        <f>IF(AQ102="7",BI102,0)</f>
        <v>0</v>
      </c>
      <c r="AF102" s="30">
        <f>IF(AQ102="2",BH102,0)</f>
        <v>0</v>
      </c>
      <c r="AG102" s="30">
        <f>IF(AQ102="2",BI102,0)</f>
        <v>0</v>
      </c>
      <c r="AH102" s="30">
        <f>IF(AQ102="0",BJ102,0)</f>
        <v>0</v>
      </c>
      <c r="AI102" s="10" t="s">
        <v>50</v>
      </c>
      <c r="AJ102" s="30">
        <f>IF(AN102=0,J102,0)</f>
        <v>0</v>
      </c>
      <c r="AK102" s="30">
        <f>IF(AN102=12,J102,0)</f>
        <v>0</v>
      </c>
      <c r="AL102" s="30">
        <f>IF(AN102=21,J102,0)</f>
        <v>0</v>
      </c>
      <c r="AN102" s="30">
        <v>12</v>
      </c>
      <c r="AO102" s="30">
        <f>G102*0.099876214</f>
        <v>0</v>
      </c>
      <c r="AP102" s="30">
        <f>G102*(1-0.099876214)</f>
        <v>0</v>
      </c>
      <c r="AQ102" s="31" t="s">
        <v>77</v>
      </c>
      <c r="AV102" s="30">
        <f>AW102+AX102</f>
        <v>0</v>
      </c>
      <c r="AW102" s="30">
        <f>F102*AO102</f>
        <v>0</v>
      </c>
      <c r="AX102" s="30">
        <f>F102*AP102</f>
        <v>0</v>
      </c>
      <c r="AY102" s="31" t="s">
        <v>284</v>
      </c>
      <c r="AZ102" s="31" t="s">
        <v>259</v>
      </c>
      <c r="BA102" s="10" t="s">
        <v>60</v>
      </c>
      <c r="BC102" s="30">
        <f>AW102+AX102</f>
        <v>0</v>
      </c>
      <c r="BD102" s="30">
        <f>G102/(100-BE102)*100</f>
        <v>0</v>
      </c>
      <c r="BE102" s="30">
        <v>0</v>
      </c>
      <c r="BF102" s="30">
        <f>102</f>
        <v>102</v>
      </c>
      <c r="BH102" s="30">
        <f>F102*AO102</f>
        <v>0</v>
      </c>
      <c r="BI102" s="30">
        <f>F102*AP102</f>
        <v>0</v>
      </c>
      <c r="BJ102" s="30">
        <f>F102*G102</f>
        <v>0</v>
      </c>
      <c r="BK102" s="30"/>
      <c r="BL102" s="30">
        <v>722</v>
      </c>
      <c r="BW102" s="30">
        <v>12</v>
      </c>
      <c r="BX102" s="4" t="s">
        <v>290</v>
      </c>
    </row>
    <row r="103" spans="1:76" x14ac:dyDescent="0.25">
      <c r="A103" s="32" t="s">
        <v>291</v>
      </c>
      <c r="B103" s="33" t="s">
        <v>292</v>
      </c>
      <c r="C103" s="141" t="s">
        <v>293</v>
      </c>
      <c r="D103" s="142"/>
      <c r="E103" s="33" t="s">
        <v>99</v>
      </c>
      <c r="F103" s="34">
        <v>20</v>
      </c>
      <c r="G103" s="35">
        <v>0</v>
      </c>
      <c r="H103" s="34">
        <f>F103*AO103</f>
        <v>0</v>
      </c>
      <c r="I103" s="34">
        <f>F103*AP103</f>
        <v>0</v>
      </c>
      <c r="J103" s="34">
        <f>F103*G103</f>
        <v>0</v>
      </c>
      <c r="K103" s="36" t="s">
        <v>57</v>
      </c>
      <c r="Z103" s="30">
        <f>IF(AQ103="5",BJ103,0)</f>
        <v>0</v>
      </c>
      <c r="AB103" s="30">
        <f>IF(AQ103="1",BH103,0)</f>
        <v>0</v>
      </c>
      <c r="AC103" s="30">
        <f>IF(AQ103="1",BI103,0)</f>
        <v>0</v>
      </c>
      <c r="AD103" s="30">
        <f>IF(AQ103="7",BH103,0)</f>
        <v>0</v>
      </c>
      <c r="AE103" s="30">
        <f>IF(AQ103="7",BI103,0)</f>
        <v>0</v>
      </c>
      <c r="AF103" s="30">
        <f>IF(AQ103="2",BH103,0)</f>
        <v>0</v>
      </c>
      <c r="AG103" s="30">
        <f>IF(AQ103="2",BI103,0)</f>
        <v>0</v>
      </c>
      <c r="AH103" s="30">
        <f>IF(AQ103="0",BJ103,0)</f>
        <v>0</v>
      </c>
      <c r="AI103" s="10" t="s">
        <v>50</v>
      </c>
      <c r="AJ103" s="30">
        <f>IF(AN103=0,J103,0)</f>
        <v>0</v>
      </c>
      <c r="AK103" s="30">
        <f>IF(AN103=12,J103,0)</f>
        <v>0</v>
      </c>
      <c r="AL103" s="30">
        <f>IF(AN103=21,J103,0)</f>
        <v>0</v>
      </c>
      <c r="AN103" s="30">
        <v>12</v>
      </c>
      <c r="AO103" s="30">
        <f>G103*0.097243952</f>
        <v>0</v>
      </c>
      <c r="AP103" s="30">
        <f>G103*(1-0.097243952)</f>
        <v>0</v>
      </c>
      <c r="AQ103" s="31" t="s">
        <v>77</v>
      </c>
      <c r="AV103" s="30">
        <f>AW103+AX103</f>
        <v>0</v>
      </c>
      <c r="AW103" s="30">
        <f>F103*AO103</f>
        <v>0</v>
      </c>
      <c r="AX103" s="30">
        <f>F103*AP103</f>
        <v>0</v>
      </c>
      <c r="AY103" s="31" t="s">
        <v>284</v>
      </c>
      <c r="AZ103" s="31" t="s">
        <v>259</v>
      </c>
      <c r="BA103" s="10" t="s">
        <v>60</v>
      </c>
      <c r="BC103" s="30">
        <f>AW103+AX103</f>
        <v>0</v>
      </c>
      <c r="BD103" s="30">
        <f>G103/(100-BE103)*100</f>
        <v>0</v>
      </c>
      <c r="BE103" s="30">
        <v>0</v>
      </c>
      <c r="BF103" s="30">
        <f>103</f>
        <v>103</v>
      </c>
      <c r="BH103" s="30">
        <f>F103*AO103</f>
        <v>0</v>
      </c>
      <c r="BI103" s="30">
        <f>F103*AP103</f>
        <v>0</v>
      </c>
      <c r="BJ103" s="30">
        <f>F103*G103</f>
        <v>0</v>
      </c>
      <c r="BK103" s="30"/>
      <c r="BL103" s="30">
        <v>722</v>
      </c>
      <c r="BW103" s="30">
        <v>12</v>
      </c>
      <c r="BX103" s="4" t="s">
        <v>293</v>
      </c>
    </row>
    <row r="104" spans="1:76" x14ac:dyDescent="0.25">
      <c r="A104" s="32" t="s">
        <v>294</v>
      </c>
      <c r="B104" s="33" t="s">
        <v>295</v>
      </c>
      <c r="C104" s="141" t="s">
        <v>296</v>
      </c>
      <c r="D104" s="142"/>
      <c r="E104" s="33" t="s">
        <v>99</v>
      </c>
      <c r="F104" s="34">
        <v>34.950000000000003</v>
      </c>
      <c r="G104" s="35">
        <v>0</v>
      </c>
      <c r="H104" s="34">
        <f>F104*AO104</f>
        <v>0</v>
      </c>
      <c r="I104" s="34">
        <f>F104*AP104</f>
        <v>0</v>
      </c>
      <c r="J104" s="34">
        <f>F104*G104</f>
        <v>0</v>
      </c>
      <c r="K104" s="36" t="s">
        <v>57</v>
      </c>
      <c r="Z104" s="30">
        <f>IF(AQ104="5",BJ104,0)</f>
        <v>0</v>
      </c>
      <c r="AB104" s="30">
        <f>IF(AQ104="1",BH104,0)</f>
        <v>0</v>
      </c>
      <c r="AC104" s="30">
        <f>IF(AQ104="1",BI104,0)</f>
        <v>0</v>
      </c>
      <c r="AD104" s="30">
        <f>IF(AQ104="7",BH104,0)</f>
        <v>0</v>
      </c>
      <c r="AE104" s="30">
        <f>IF(AQ104="7",BI104,0)</f>
        <v>0</v>
      </c>
      <c r="AF104" s="30">
        <f>IF(AQ104="2",BH104,0)</f>
        <v>0</v>
      </c>
      <c r="AG104" s="30">
        <f>IF(AQ104="2",BI104,0)</f>
        <v>0</v>
      </c>
      <c r="AH104" s="30">
        <f>IF(AQ104="0",BJ104,0)</f>
        <v>0</v>
      </c>
      <c r="AI104" s="10" t="s">
        <v>50</v>
      </c>
      <c r="AJ104" s="30">
        <f>IF(AN104=0,J104,0)</f>
        <v>0</v>
      </c>
      <c r="AK104" s="30">
        <f>IF(AN104=12,J104,0)</f>
        <v>0</v>
      </c>
      <c r="AL104" s="30">
        <f>IF(AN104=21,J104,0)</f>
        <v>0</v>
      </c>
      <c r="AN104" s="30">
        <v>12</v>
      </c>
      <c r="AO104" s="30">
        <f>G104*0.287626774</f>
        <v>0</v>
      </c>
      <c r="AP104" s="30">
        <f>G104*(1-0.287626774)</f>
        <v>0</v>
      </c>
      <c r="AQ104" s="31" t="s">
        <v>77</v>
      </c>
      <c r="AV104" s="30">
        <f>AW104+AX104</f>
        <v>0</v>
      </c>
      <c r="AW104" s="30">
        <f>F104*AO104</f>
        <v>0</v>
      </c>
      <c r="AX104" s="30">
        <f>F104*AP104</f>
        <v>0</v>
      </c>
      <c r="AY104" s="31" t="s">
        <v>284</v>
      </c>
      <c r="AZ104" s="31" t="s">
        <v>259</v>
      </c>
      <c r="BA104" s="10" t="s">
        <v>60</v>
      </c>
      <c r="BC104" s="30">
        <f>AW104+AX104</f>
        <v>0</v>
      </c>
      <c r="BD104" s="30">
        <f>G104/(100-BE104)*100</f>
        <v>0</v>
      </c>
      <c r="BE104" s="30">
        <v>0</v>
      </c>
      <c r="BF104" s="30">
        <f>104</f>
        <v>104</v>
      </c>
      <c r="BH104" s="30">
        <f>F104*AO104</f>
        <v>0</v>
      </c>
      <c r="BI104" s="30">
        <f>F104*AP104</f>
        <v>0</v>
      </c>
      <c r="BJ104" s="30">
        <f>F104*G104</f>
        <v>0</v>
      </c>
      <c r="BK104" s="30"/>
      <c r="BL104" s="30">
        <v>722</v>
      </c>
      <c r="BW104" s="30">
        <v>12</v>
      </c>
      <c r="BX104" s="4" t="s">
        <v>296</v>
      </c>
    </row>
    <row r="105" spans="1:76" ht="13.5" customHeight="1" x14ac:dyDescent="0.25">
      <c r="A105" s="37"/>
      <c r="B105" s="38" t="s">
        <v>84</v>
      </c>
      <c r="C105" s="152" t="s">
        <v>297</v>
      </c>
      <c r="D105" s="153"/>
      <c r="E105" s="153"/>
      <c r="F105" s="153"/>
      <c r="G105" s="154"/>
      <c r="H105" s="153"/>
      <c r="I105" s="153"/>
      <c r="J105" s="153"/>
      <c r="K105" s="155"/>
    </row>
    <row r="106" spans="1:76" x14ac:dyDescent="0.25">
      <c r="A106" s="25" t="s">
        <v>298</v>
      </c>
      <c r="B106" s="26" t="s">
        <v>299</v>
      </c>
      <c r="C106" s="150" t="s">
        <v>296</v>
      </c>
      <c r="D106" s="151"/>
      <c r="E106" s="26" t="s">
        <v>99</v>
      </c>
      <c r="F106" s="27">
        <v>20</v>
      </c>
      <c r="G106" s="28">
        <v>0</v>
      </c>
      <c r="H106" s="27">
        <f>F106*AO106</f>
        <v>0</v>
      </c>
      <c r="I106" s="27">
        <f>F106*AP106</f>
        <v>0</v>
      </c>
      <c r="J106" s="27">
        <f>F106*G106</f>
        <v>0</v>
      </c>
      <c r="K106" s="29" t="s">
        <v>57</v>
      </c>
      <c r="Z106" s="30">
        <f>IF(AQ106="5",BJ106,0)</f>
        <v>0</v>
      </c>
      <c r="AB106" s="30">
        <f>IF(AQ106="1",BH106,0)</f>
        <v>0</v>
      </c>
      <c r="AC106" s="30">
        <f>IF(AQ106="1",BI106,0)</f>
        <v>0</v>
      </c>
      <c r="AD106" s="30">
        <f>IF(AQ106="7",BH106,0)</f>
        <v>0</v>
      </c>
      <c r="AE106" s="30">
        <f>IF(AQ106="7",BI106,0)</f>
        <v>0</v>
      </c>
      <c r="AF106" s="30">
        <f>IF(AQ106="2",BH106,0)</f>
        <v>0</v>
      </c>
      <c r="AG106" s="30">
        <f>IF(AQ106="2",BI106,0)</f>
        <v>0</v>
      </c>
      <c r="AH106" s="30">
        <f>IF(AQ106="0",BJ106,0)</f>
        <v>0</v>
      </c>
      <c r="AI106" s="10" t="s">
        <v>50</v>
      </c>
      <c r="AJ106" s="30">
        <f>IF(AN106=0,J106,0)</f>
        <v>0</v>
      </c>
      <c r="AK106" s="30">
        <f>IF(AN106=12,J106,0)</f>
        <v>0</v>
      </c>
      <c r="AL106" s="30">
        <f>IF(AN106=21,J106,0)</f>
        <v>0</v>
      </c>
      <c r="AN106" s="30">
        <v>12</v>
      </c>
      <c r="AO106" s="30">
        <f>G106*0.309695066</f>
        <v>0</v>
      </c>
      <c r="AP106" s="30">
        <f>G106*(1-0.309695066)</f>
        <v>0</v>
      </c>
      <c r="AQ106" s="31" t="s">
        <v>77</v>
      </c>
      <c r="AV106" s="30">
        <f>AW106+AX106</f>
        <v>0</v>
      </c>
      <c r="AW106" s="30">
        <f>F106*AO106</f>
        <v>0</v>
      </c>
      <c r="AX106" s="30">
        <f>F106*AP106</f>
        <v>0</v>
      </c>
      <c r="AY106" s="31" t="s">
        <v>284</v>
      </c>
      <c r="AZ106" s="31" t="s">
        <v>259</v>
      </c>
      <c r="BA106" s="10" t="s">
        <v>60</v>
      </c>
      <c r="BC106" s="30">
        <f>AW106+AX106</f>
        <v>0</v>
      </c>
      <c r="BD106" s="30">
        <f>G106/(100-BE106)*100</f>
        <v>0</v>
      </c>
      <c r="BE106" s="30">
        <v>0</v>
      </c>
      <c r="BF106" s="30">
        <f>106</f>
        <v>106</v>
      </c>
      <c r="BH106" s="30">
        <f>F106*AO106</f>
        <v>0</v>
      </c>
      <c r="BI106" s="30">
        <f>F106*AP106</f>
        <v>0</v>
      </c>
      <c r="BJ106" s="30">
        <f>F106*G106</f>
        <v>0</v>
      </c>
      <c r="BK106" s="30"/>
      <c r="BL106" s="30">
        <v>722</v>
      </c>
      <c r="BW106" s="30">
        <v>12</v>
      </c>
      <c r="BX106" s="4" t="s">
        <v>296</v>
      </c>
    </row>
    <row r="107" spans="1:76" ht="13.5" customHeight="1" x14ac:dyDescent="0.25">
      <c r="A107" s="37"/>
      <c r="B107" s="38" t="s">
        <v>84</v>
      </c>
      <c r="C107" s="152" t="s">
        <v>300</v>
      </c>
      <c r="D107" s="153"/>
      <c r="E107" s="153"/>
      <c r="F107" s="153"/>
      <c r="G107" s="154"/>
      <c r="H107" s="153"/>
      <c r="I107" s="153"/>
      <c r="J107" s="153"/>
      <c r="K107" s="155"/>
    </row>
    <row r="108" spans="1:76" x14ac:dyDescent="0.25">
      <c r="A108" s="25" t="s">
        <v>301</v>
      </c>
      <c r="B108" s="26" t="s">
        <v>302</v>
      </c>
      <c r="C108" s="150" t="s">
        <v>303</v>
      </c>
      <c r="D108" s="151"/>
      <c r="E108" s="26" t="s">
        <v>56</v>
      </c>
      <c r="F108" s="27">
        <v>15</v>
      </c>
      <c r="G108" s="28">
        <v>0</v>
      </c>
      <c r="H108" s="27">
        <f t="shared" ref="H108:H117" si="132">F108*AO108</f>
        <v>0</v>
      </c>
      <c r="I108" s="27">
        <f t="shared" ref="I108:I117" si="133">F108*AP108</f>
        <v>0</v>
      </c>
      <c r="J108" s="27">
        <f t="shared" ref="J108:J117" si="134">F108*G108</f>
        <v>0</v>
      </c>
      <c r="K108" s="29" t="s">
        <v>57</v>
      </c>
      <c r="Z108" s="30">
        <f t="shared" ref="Z108:Z117" si="135">IF(AQ108="5",BJ108,0)</f>
        <v>0</v>
      </c>
      <c r="AB108" s="30">
        <f t="shared" ref="AB108:AB117" si="136">IF(AQ108="1",BH108,0)</f>
        <v>0</v>
      </c>
      <c r="AC108" s="30">
        <f t="shared" ref="AC108:AC117" si="137">IF(AQ108="1",BI108,0)</f>
        <v>0</v>
      </c>
      <c r="AD108" s="30">
        <f t="shared" ref="AD108:AD117" si="138">IF(AQ108="7",BH108,0)</f>
        <v>0</v>
      </c>
      <c r="AE108" s="30">
        <f t="shared" ref="AE108:AE117" si="139">IF(AQ108="7",BI108,0)</f>
        <v>0</v>
      </c>
      <c r="AF108" s="30">
        <f t="shared" ref="AF108:AF117" si="140">IF(AQ108="2",BH108,0)</f>
        <v>0</v>
      </c>
      <c r="AG108" s="30">
        <f t="shared" ref="AG108:AG117" si="141">IF(AQ108="2",BI108,0)</f>
        <v>0</v>
      </c>
      <c r="AH108" s="30">
        <f t="shared" ref="AH108:AH117" si="142">IF(AQ108="0",BJ108,0)</f>
        <v>0</v>
      </c>
      <c r="AI108" s="10" t="s">
        <v>50</v>
      </c>
      <c r="AJ108" s="30">
        <f t="shared" ref="AJ108:AJ117" si="143">IF(AN108=0,J108,0)</f>
        <v>0</v>
      </c>
      <c r="AK108" s="30">
        <f t="shared" ref="AK108:AK117" si="144">IF(AN108=12,J108,0)</f>
        <v>0</v>
      </c>
      <c r="AL108" s="30">
        <f t="shared" ref="AL108:AL117" si="145">IF(AN108=21,J108,0)</f>
        <v>0</v>
      </c>
      <c r="AN108" s="30">
        <v>12</v>
      </c>
      <c r="AO108" s="30">
        <f>G108*0</f>
        <v>0</v>
      </c>
      <c r="AP108" s="30">
        <f>G108*(1-0)</f>
        <v>0</v>
      </c>
      <c r="AQ108" s="31" t="s">
        <v>77</v>
      </c>
      <c r="AV108" s="30">
        <f t="shared" ref="AV108:AV117" si="146">AW108+AX108</f>
        <v>0</v>
      </c>
      <c r="AW108" s="30">
        <f t="shared" ref="AW108:AW117" si="147">F108*AO108</f>
        <v>0</v>
      </c>
      <c r="AX108" s="30">
        <f t="shared" ref="AX108:AX117" si="148">F108*AP108</f>
        <v>0</v>
      </c>
      <c r="AY108" s="31" t="s">
        <v>284</v>
      </c>
      <c r="AZ108" s="31" t="s">
        <v>259</v>
      </c>
      <c r="BA108" s="10" t="s">
        <v>60</v>
      </c>
      <c r="BC108" s="30">
        <f t="shared" ref="BC108:BC117" si="149">AW108+AX108</f>
        <v>0</v>
      </c>
      <c r="BD108" s="30">
        <f t="shared" ref="BD108:BD117" si="150">G108/(100-BE108)*100</f>
        <v>0</v>
      </c>
      <c r="BE108" s="30">
        <v>0</v>
      </c>
      <c r="BF108" s="30">
        <f>108</f>
        <v>108</v>
      </c>
      <c r="BH108" s="30">
        <f t="shared" ref="BH108:BH117" si="151">F108*AO108</f>
        <v>0</v>
      </c>
      <c r="BI108" s="30">
        <f t="shared" ref="BI108:BI117" si="152">F108*AP108</f>
        <v>0</v>
      </c>
      <c r="BJ108" s="30">
        <f t="shared" ref="BJ108:BJ117" si="153">F108*G108</f>
        <v>0</v>
      </c>
      <c r="BK108" s="30"/>
      <c r="BL108" s="30">
        <v>722</v>
      </c>
      <c r="BW108" s="30">
        <v>12</v>
      </c>
      <c r="BX108" s="4" t="s">
        <v>303</v>
      </c>
    </row>
    <row r="109" spans="1:76" x14ac:dyDescent="0.25">
      <c r="A109" s="32" t="s">
        <v>304</v>
      </c>
      <c r="B109" s="33" t="s">
        <v>305</v>
      </c>
      <c r="C109" s="141" t="s">
        <v>306</v>
      </c>
      <c r="D109" s="142"/>
      <c r="E109" s="33" t="s">
        <v>56</v>
      </c>
      <c r="F109" s="34">
        <v>2</v>
      </c>
      <c r="G109" s="35">
        <v>0</v>
      </c>
      <c r="H109" s="34">
        <f t="shared" si="132"/>
        <v>0</v>
      </c>
      <c r="I109" s="34">
        <f t="shared" si="133"/>
        <v>0</v>
      </c>
      <c r="J109" s="34">
        <f t="shared" si="134"/>
        <v>0</v>
      </c>
      <c r="K109" s="36" t="s">
        <v>57</v>
      </c>
      <c r="Z109" s="30">
        <f t="shared" si="135"/>
        <v>0</v>
      </c>
      <c r="AB109" s="30">
        <f t="shared" si="136"/>
        <v>0</v>
      </c>
      <c r="AC109" s="30">
        <f t="shared" si="137"/>
        <v>0</v>
      </c>
      <c r="AD109" s="30">
        <f t="shared" si="138"/>
        <v>0</v>
      </c>
      <c r="AE109" s="30">
        <f t="shared" si="139"/>
        <v>0</v>
      </c>
      <c r="AF109" s="30">
        <f t="shared" si="140"/>
        <v>0</v>
      </c>
      <c r="AG109" s="30">
        <f t="shared" si="141"/>
        <v>0</v>
      </c>
      <c r="AH109" s="30">
        <f t="shared" si="142"/>
        <v>0</v>
      </c>
      <c r="AI109" s="10" t="s">
        <v>50</v>
      </c>
      <c r="AJ109" s="30">
        <f t="shared" si="143"/>
        <v>0</v>
      </c>
      <c r="AK109" s="30">
        <f t="shared" si="144"/>
        <v>0</v>
      </c>
      <c r="AL109" s="30">
        <f t="shared" si="145"/>
        <v>0</v>
      </c>
      <c r="AN109" s="30">
        <v>12</v>
      </c>
      <c r="AO109" s="30">
        <f>G109*0</f>
        <v>0</v>
      </c>
      <c r="AP109" s="30">
        <f>G109*(1-0)</f>
        <v>0</v>
      </c>
      <c r="AQ109" s="31" t="s">
        <v>77</v>
      </c>
      <c r="AV109" s="30">
        <f t="shared" si="146"/>
        <v>0</v>
      </c>
      <c r="AW109" s="30">
        <f t="shared" si="147"/>
        <v>0</v>
      </c>
      <c r="AX109" s="30">
        <f t="shared" si="148"/>
        <v>0</v>
      </c>
      <c r="AY109" s="31" t="s">
        <v>284</v>
      </c>
      <c r="AZ109" s="31" t="s">
        <v>259</v>
      </c>
      <c r="BA109" s="10" t="s">
        <v>60</v>
      </c>
      <c r="BC109" s="30">
        <f t="shared" si="149"/>
        <v>0</v>
      </c>
      <c r="BD109" s="30">
        <f t="shared" si="150"/>
        <v>0</v>
      </c>
      <c r="BE109" s="30">
        <v>0</v>
      </c>
      <c r="BF109" s="30">
        <f>109</f>
        <v>109</v>
      </c>
      <c r="BH109" s="30">
        <f t="shared" si="151"/>
        <v>0</v>
      </c>
      <c r="BI109" s="30">
        <f t="shared" si="152"/>
        <v>0</v>
      </c>
      <c r="BJ109" s="30">
        <f t="shared" si="153"/>
        <v>0</v>
      </c>
      <c r="BK109" s="30"/>
      <c r="BL109" s="30">
        <v>722</v>
      </c>
      <c r="BW109" s="30">
        <v>12</v>
      </c>
      <c r="BX109" s="4" t="s">
        <v>306</v>
      </c>
    </row>
    <row r="110" spans="1:76" x14ac:dyDescent="0.25">
      <c r="A110" s="32" t="s">
        <v>307</v>
      </c>
      <c r="B110" s="33" t="s">
        <v>308</v>
      </c>
      <c r="C110" s="141" t="s">
        <v>309</v>
      </c>
      <c r="D110" s="142"/>
      <c r="E110" s="33" t="s">
        <v>56</v>
      </c>
      <c r="F110" s="34">
        <v>2</v>
      </c>
      <c r="G110" s="35">
        <v>0</v>
      </c>
      <c r="H110" s="34">
        <f t="shared" si="132"/>
        <v>0</v>
      </c>
      <c r="I110" s="34">
        <f t="shared" si="133"/>
        <v>0</v>
      </c>
      <c r="J110" s="34">
        <f t="shared" si="134"/>
        <v>0</v>
      </c>
      <c r="K110" s="36" t="s">
        <v>57</v>
      </c>
      <c r="Z110" s="30">
        <f t="shared" si="135"/>
        <v>0</v>
      </c>
      <c r="AB110" s="30">
        <f t="shared" si="136"/>
        <v>0</v>
      </c>
      <c r="AC110" s="30">
        <f t="shared" si="137"/>
        <v>0</v>
      </c>
      <c r="AD110" s="30">
        <f t="shared" si="138"/>
        <v>0</v>
      </c>
      <c r="AE110" s="30">
        <f t="shared" si="139"/>
        <v>0</v>
      </c>
      <c r="AF110" s="30">
        <f t="shared" si="140"/>
        <v>0</v>
      </c>
      <c r="AG110" s="30">
        <f t="shared" si="141"/>
        <v>0</v>
      </c>
      <c r="AH110" s="30">
        <f t="shared" si="142"/>
        <v>0</v>
      </c>
      <c r="AI110" s="10" t="s">
        <v>50</v>
      </c>
      <c r="AJ110" s="30">
        <f t="shared" si="143"/>
        <v>0</v>
      </c>
      <c r="AK110" s="30">
        <f t="shared" si="144"/>
        <v>0</v>
      </c>
      <c r="AL110" s="30">
        <f t="shared" si="145"/>
        <v>0</v>
      </c>
      <c r="AN110" s="30">
        <v>12</v>
      </c>
      <c r="AO110" s="30">
        <f>G110*0.868746239</f>
        <v>0</v>
      </c>
      <c r="AP110" s="30">
        <f>G110*(1-0.868746239)</f>
        <v>0</v>
      </c>
      <c r="AQ110" s="31" t="s">
        <v>77</v>
      </c>
      <c r="AV110" s="30">
        <f t="shared" si="146"/>
        <v>0</v>
      </c>
      <c r="AW110" s="30">
        <f t="shared" si="147"/>
        <v>0</v>
      </c>
      <c r="AX110" s="30">
        <f t="shared" si="148"/>
        <v>0</v>
      </c>
      <c r="AY110" s="31" t="s">
        <v>284</v>
      </c>
      <c r="AZ110" s="31" t="s">
        <v>259</v>
      </c>
      <c r="BA110" s="10" t="s">
        <v>60</v>
      </c>
      <c r="BC110" s="30">
        <f t="shared" si="149"/>
        <v>0</v>
      </c>
      <c r="BD110" s="30">
        <f t="shared" si="150"/>
        <v>0</v>
      </c>
      <c r="BE110" s="30">
        <v>0</v>
      </c>
      <c r="BF110" s="30">
        <f>110</f>
        <v>110</v>
      </c>
      <c r="BH110" s="30">
        <f t="shared" si="151"/>
        <v>0</v>
      </c>
      <c r="BI110" s="30">
        <f t="shared" si="152"/>
        <v>0</v>
      </c>
      <c r="BJ110" s="30">
        <f t="shared" si="153"/>
        <v>0</v>
      </c>
      <c r="BK110" s="30"/>
      <c r="BL110" s="30">
        <v>722</v>
      </c>
      <c r="BW110" s="30">
        <v>12</v>
      </c>
      <c r="BX110" s="4" t="s">
        <v>309</v>
      </c>
    </row>
    <row r="111" spans="1:76" x14ac:dyDescent="0.25">
      <c r="A111" s="32" t="s">
        <v>310</v>
      </c>
      <c r="B111" s="33" t="s">
        <v>311</v>
      </c>
      <c r="C111" s="141" t="s">
        <v>312</v>
      </c>
      <c r="D111" s="142"/>
      <c r="E111" s="33" t="s">
        <v>56</v>
      </c>
      <c r="F111" s="34">
        <v>15</v>
      </c>
      <c r="G111" s="35">
        <v>0</v>
      </c>
      <c r="H111" s="34">
        <f t="shared" si="132"/>
        <v>0</v>
      </c>
      <c r="I111" s="34">
        <f t="shared" si="133"/>
        <v>0</v>
      </c>
      <c r="J111" s="34">
        <f t="shared" si="134"/>
        <v>0</v>
      </c>
      <c r="K111" s="36" t="s">
        <v>57</v>
      </c>
      <c r="Z111" s="30">
        <f t="shared" si="135"/>
        <v>0</v>
      </c>
      <c r="AB111" s="30">
        <f t="shared" si="136"/>
        <v>0</v>
      </c>
      <c r="AC111" s="30">
        <f t="shared" si="137"/>
        <v>0</v>
      </c>
      <c r="AD111" s="30">
        <f t="shared" si="138"/>
        <v>0</v>
      </c>
      <c r="AE111" s="30">
        <f t="shared" si="139"/>
        <v>0</v>
      </c>
      <c r="AF111" s="30">
        <f t="shared" si="140"/>
        <v>0</v>
      </c>
      <c r="AG111" s="30">
        <f t="shared" si="141"/>
        <v>0</v>
      </c>
      <c r="AH111" s="30">
        <f t="shared" si="142"/>
        <v>0</v>
      </c>
      <c r="AI111" s="10" t="s">
        <v>50</v>
      </c>
      <c r="AJ111" s="30">
        <f t="shared" si="143"/>
        <v>0</v>
      </c>
      <c r="AK111" s="30">
        <f t="shared" si="144"/>
        <v>0</v>
      </c>
      <c r="AL111" s="30">
        <f t="shared" si="145"/>
        <v>0</v>
      </c>
      <c r="AN111" s="30">
        <v>12</v>
      </c>
      <c r="AO111" s="30">
        <f>G111*0.52306338</f>
        <v>0</v>
      </c>
      <c r="AP111" s="30">
        <f>G111*(1-0.52306338)</f>
        <v>0</v>
      </c>
      <c r="AQ111" s="31" t="s">
        <v>77</v>
      </c>
      <c r="AV111" s="30">
        <f t="shared" si="146"/>
        <v>0</v>
      </c>
      <c r="AW111" s="30">
        <f t="shared" si="147"/>
        <v>0</v>
      </c>
      <c r="AX111" s="30">
        <f t="shared" si="148"/>
        <v>0</v>
      </c>
      <c r="AY111" s="31" t="s">
        <v>284</v>
      </c>
      <c r="AZ111" s="31" t="s">
        <v>259</v>
      </c>
      <c r="BA111" s="10" t="s">
        <v>60</v>
      </c>
      <c r="BC111" s="30">
        <f t="shared" si="149"/>
        <v>0</v>
      </c>
      <c r="BD111" s="30">
        <f t="shared" si="150"/>
        <v>0</v>
      </c>
      <c r="BE111" s="30">
        <v>0</v>
      </c>
      <c r="BF111" s="30">
        <f>111</f>
        <v>111</v>
      </c>
      <c r="BH111" s="30">
        <f t="shared" si="151"/>
        <v>0</v>
      </c>
      <c r="BI111" s="30">
        <f t="shared" si="152"/>
        <v>0</v>
      </c>
      <c r="BJ111" s="30">
        <f t="shared" si="153"/>
        <v>0</v>
      </c>
      <c r="BK111" s="30"/>
      <c r="BL111" s="30">
        <v>722</v>
      </c>
      <c r="BW111" s="30">
        <v>12</v>
      </c>
      <c r="BX111" s="4" t="s">
        <v>312</v>
      </c>
    </row>
    <row r="112" spans="1:76" x14ac:dyDescent="0.25">
      <c r="A112" s="32" t="s">
        <v>313</v>
      </c>
      <c r="B112" s="33" t="s">
        <v>314</v>
      </c>
      <c r="C112" s="141" t="s">
        <v>315</v>
      </c>
      <c r="D112" s="142"/>
      <c r="E112" s="33" t="s">
        <v>56</v>
      </c>
      <c r="F112" s="34">
        <v>2</v>
      </c>
      <c r="G112" s="35">
        <v>0</v>
      </c>
      <c r="H112" s="34">
        <f t="shared" si="132"/>
        <v>0</v>
      </c>
      <c r="I112" s="34">
        <f t="shared" si="133"/>
        <v>0</v>
      </c>
      <c r="J112" s="34">
        <f t="shared" si="134"/>
        <v>0</v>
      </c>
      <c r="K112" s="36" t="s">
        <v>57</v>
      </c>
      <c r="Z112" s="30">
        <f t="shared" si="135"/>
        <v>0</v>
      </c>
      <c r="AB112" s="30">
        <f t="shared" si="136"/>
        <v>0</v>
      </c>
      <c r="AC112" s="30">
        <f t="shared" si="137"/>
        <v>0</v>
      </c>
      <c r="AD112" s="30">
        <f t="shared" si="138"/>
        <v>0</v>
      </c>
      <c r="AE112" s="30">
        <f t="shared" si="139"/>
        <v>0</v>
      </c>
      <c r="AF112" s="30">
        <f t="shared" si="140"/>
        <v>0</v>
      </c>
      <c r="AG112" s="30">
        <f t="shared" si="141"/>
        <v>0</v>
      </c>
      <c r="AH112" s="30">
        <f t="shared" si="142"/>
        <v>0</v>
      </c>
      <c r="AI112" s="10" t="s">
        <v>50</v>
      </c>
      <c r="AJ112" s="30">
        <f t="shared" si="143"/>
        <v>0</v>
      </c>
      <c r="AK112" s="30">
        <f t="shared" si="144"/>
        <v>0</v>
      </c>
      <c r="AL112" s="30">
        <f t="shared" si="145"/>
        <v>0</v>
      </c>
      <c r="AN112" s="30">
        <v>12</v>
      </c>
      <c r="AO112" s="30">
        <f>G112*0.511456</f>
        <v>0</v>
      </c>
      <c r="AP112" s="30">
        <f>G112*(1-0.511456)</f>
        <v>0</v>
      </c>
      <c r="AQ112" s="31" t="s">
        <v>77</v>
      </c>
      <c r="AV112" s="30">
        <f t="shared" si="146"/>
        <v>0</v>
      </c>
      <c r="AW112" s="30">
        <f t="shared" si="147"/>
        <v>0</v>
      </c>
      <c r="AX112" s="30">
        <f t="shared" si="148"/>
        <v>0</v>
      </c>
      <c r="AY112" s="31" t="s">
        <v>284</v>
      </c>
      <c r="AZ112" s="31" t="s">
        <v>259</v>
      </c>
      <c r="BA112" s="10" t="s">
        <v>60</v>
      </c>
      <c r="BC112" s="30">
        <f t="shared" si="149"/>
        <v>0</v>
      </c>
      <c r="BD112" s="30">
        <f t="shared" si="150"/>
        <v>0</v>
      </c>
      <c r="BE112" s="30">
        <v>0</v>
      </c>
      <c r="BF112" s="30">
        <f>112</f>
        <v>112</v>
      </c>
      <c r="BH112" s="30">
        <f t="shared" si="151"/>
        <v>0</v>
      </c>
      <c r="BI112" s="30">
        <f t="shared" si="152"/>
        <v>0</v>
      </c>
      <c r="BJ112" s="30">
        <f t="shared" si="153"/>
        <v>0</v>
      </c>
      <c r="BK112" s="30"/>
      <c r="BL112" s="30">
        <v>722</v>
      </c>
      <c r="BW112" s="30">
        <v>12</v>
      </c>
      <c r="BX112" s="4" t="s">
        <v>315</v>
      </c>
    </row>
    <row r="113" spans="1:76" x14ac:dyDescent="0.25">
      <c r="A113" s="32" t="s">
        <v>316</v>
      </c>
      <c r="B113" s="33" t="s">
        <v>317</v>
      </c>
      <c r="C113" s="141" t="s">
        <v>318</v>
      </c>
      <c r="D113" s="142"/>
      <c r="E113" s="33" t="s">
        <v>319</v>
      </c>
      <c r="F113" s="34">
        <v>2</v>
      </c>
      <c r="G113" s="35">
        <v>0</v>
      </c>
      <c r="H113" s="34">
        <f t="shared" si="132"/>
        <v>0</v>
      </c>
      <c r="I113" s="34">
        <f t="shared" si="133"/>
        <v>0</v>
      </c>
      <c r="J113" s="34">
        <f t="shared" si="134"/>
        <v>0</v>
      </c>
      <c r="K113" s="36" t="s">
        <v>57</v>
      </c>
      <c r="Z113" s="30">
        <f t="shared" si="135"/>
        <v>0</v>
      </c>
      <c r="AB113" s="30">
        <f t="shared" si="136"/>
        <v>0</v>
      </c>
      <c r="AC113" s="30">
        <f t="shared" si="137"/>
        <v>0</v>
      </c>
      <c r="AD113" s="30">
        <f t="shared" si="138"/>
        <v>0</v>
      </c>
      <c r="AE113" s="30">
        <f t="shared" si="139"/>
        <v>0</v>
      </c>
      <c r="AF113" s="30">
        <f t="shared" si="140"/>
        <v>0</v>
      </c>
      <c r="AG113" s="30">
        <f t="shared" si="141"/>
        <v>0</v>
      </c>
      <c r="AH113" s="30">
        <f t="shared" si="142"/>
        <v>0</v>
      </c>
      <c r="AI113" s="10" t="s">
        <v>50</v>
      </c>
      <c r="AJ113" s="30">
        <f t="shared" si="143"/>
        <v>0</v>
      </c>
      <c r="AK113" s="30">
        <f t="shared" si="144"/>
        <v>0</v>
      </c>
      <c r="AL113" s="30">
        <f t="shared" si="145"/>
        <v>0</v>
      </c>
      <c r="AN113" s="30">
        <v>12</v>
      </c>
      <c r="AO113" s="30">
        <f>G113*0.529089317</f>
        <v>0</v>
      </c>
      <c r="AP113" s="30">
        <f>G113*(1-0.529089317)</f>
        <v>0</v>
      </c>
      <c r="AQ113" s="31" t="s">
        <v>77</v>
      </c>
      <c r="AV113" s="30">
        <f t="shared" si="146"/>
        <v>0</v>
      </c>
      <c r="AW113" s="30">
        <f t="shared" si="147"/>
        <v>0</v>
      </c>
      <c r="AX113" s="30">
        <f t="shared" si="148"/>
        <v>0</v>
      </c>
      <c r="AY113" s="31" t="s">
        <v>284</v>
      </c>
      <c r="AZ113" s="31" t="s">
        <v>259</v>
      </c>
      <c r="BA113" s="10" t="s">
        <v>60</v>
      </c>
      <c r="BC113" s="30">
        <f t="shared" si="149"/>
        <v>0</v>
      </c>
      <c r="BD113" s="30">
        <f t="shared" si="150"/>
        <v>0</v>
      </c>
      <c r="BE113" s="30">
        <v>0</v>
      </c>
      <c r="BF113" s="30">
        <f>113</f>
        <v>113</v>
      </c>
      <c r="BH113" s="30">
        <f t="shared" si="151"/>
        <v>0</v>
      </c>
      <c r="BI113" s="30">
        <f t="shared" si="152"/>
        <v>0</v>
      </c>
      <c r="BJ113" s="30">
        <f t="shared" si="153"/>
        <v>0</v>
      </c>
      <c r="BK113" s="30"/>
      <c r="BL113" s="30">
        <v>722</v>
      </c>
      <c r="BW113" s="30">
        <v>12</v>
      </c>
      <c r="BX113" s="4" t="s">
        <v>318</v>
      </c>
    </row>
    <row r="114" spans="1:76" x14ac:dyDescent="0.25">
      <c r="A114" s="32" t="s">
        <v>320</v>
      </c>
      <c r="B114" s="33" t="s">
        <v>321</v>
      </c>
      <c r="C114" s="141" t="s">
        <v>322</v>
      </c>
      <c r="D114" s="142"/>
      <c r="E114" s="33" t="s">
        <v>56</v>
      </c>
      <c r="F114" s="34">
        <v>11</v>
      </c>
      <c r="G114" s="35">
        <v>0</v>
      </c>
      <c r="H114" s="34">
        <f t="shared" si="132"/>
        <v>0</v>
      </c>
      <c r="I114" s="34">
        <f t="shared" si="133"/>
        <v>0</v>
      </c>
      <c r="J114" s="34">
        <f t="shared" si="134"/>
        <v>0</v>
      </c>
      <c r="K114" s="36" t="s">
        <v>57</v>
      </c>
      <c r="Z114" s="30">
        <f t="shared" si="135"/>
        <v>0</v>
      </c>
      <c r="AB114" s="30">
        <f t="shared" si="136"/>
        <v>0</v>
      </c>
      <c r="AC114" s="30">
        <f t="shared" si="137"/>
        <v>0</v>
      </c>
      <c r="AD114" s="30">
        <f t="shared" si="138"/>
        <v>0</v>
      </c>
      <c r="AE114" s="30">
        <f t="shared" si="139"/>
        <v>0</v>
      </c>
      <c r="AF114" s="30">
        <f t="shared" si="140"/>
        <v>0</v>
      </c>
      <c r="AG114" s="30">
        <f t="shared" si="141"/>
        <v>0</v>
      </c>
      <c r="AH114" s="30">
        <f t="shared" si="142"/>
        <v>0</v>
      </c>
      <c r="AI114" s="10" t="s">
        <v>50</v>
      </c>
      <c r="AJ114" s="30">
        <f t="shared" si="143"/>
        <v>0</v>
      </c>
      <c r="AK114" s="30">
        <f t="shared" si="144"/>
        <v>0</v>
      </c>
      <c r="AL114" s="30">
        <f t="shared" si="145"/>
        <v>0</v>
      </c>
      <c r="AN114" s="30">
        <v>12</v>
      </c>
      <c r="AO114" s="30">
        <f>G114*0.672672176</f>
        <v>0</v>
      </c>
      <c r="AP114" s="30">
        <f>G114*(1-0.672672176)</f>
        <v>0</v>
      </c>
      <c r="AQ114" s="31" t="s">
        <v>77</v>
      </c>
      <c r="AV114" s="30">
        <f t="shared" si="146"/>
        <v>0</v>
      </c>
      <c r="AW114" s="30">
        <f t="shared" si="147"/>
        <v>0</v>
      </c>
      <c r="AX114" s="30">
        <f t="shared" si="148"/>
        <v>0</v>
      </c>
      <c r="AY114" s="31" t="s">
        <v>284</v>
      </c>
      <c r="AZ114" s="31" t="s">
        <v>259</v>
      </c>
      <c r="BA114" s="10" t="s">
        <v>60</v>
      </c>
      <c r="BC114" s="30">
        <f t="shared" si="149"/>
        <v>0</v>
      </c>
      <c r="BD114" s="30">
        <f t="shared" si="150"/>
        <v>0</v>
      </c>
      <c r="BE114" s="30">
        <v>0</v>
      </c>
      <c r="BF114" s="30">
        <f>114</f>
        <v>114</v>
      </c>
      <c r="BH114" s="30">
        <f t="shared" si="151"/>
        <v>0</v>
      </c>
      <c r="BI114" s="30">
        <f t="shared" si="152"/>
        <v>0</v>
      </c>
      <c r="BJ114" s="30">
        <f t="shared" si="153"/>
        <v>0</v>
      </c>
      <c r="BK114" s="30"/>
      <c r="BL114" s="30">
        <v>722</v>
      </c>
      <c r="BW114" s="30">
        <v>12</v>
      </c>
      <c r="BX114" s="4" t="s">
        <v>322</v>
      </c>
    </row>
    <row r="115" spans="1:76" x14ac:dyDescent="0.25">
      <c r="A115" s="32" t="s">
        <v>323</v>
      </c>
      <c r="B115" s="33" t="s">
        <v>324</v>
      </c>
      <c r="C115" s="141" t="s">
        <v>325</v>
      </c>
      <c r="D115" s="142"/>
      <c r="E115" s="33" t="s">
        <v>99</v>
      </c>
      <c r="F115" s="34">
        <v>54.9</v>
      </c>
      <c r="G115" s="35">
        <v>0</v>
      </c>
      <c r="H115" s="34">
        <f t="shared" si="132"/>
        <v>0</v>
      </c>
      <c r="I115" s="34">
        <f t="shared" si="133"/>
        <v>0</v>
      </c>
      <c r="J115" s="34">
        <f t="shared" si="134"/>
        <v>0</v>
      </c>
      <c r="K115" s="36" t="s">
        <v>57</v>
      </c>
      <c r="Z115" s="30">
        <f t="shared" si="135"/>
        <v>0</v>
      </c>
      <c r="AB115" s="30">
        <f t="shared" si="136"/>
        <v>0</v>
      </c>
      <c r="AC115" s="30">
        <f t="shared" si="137"/>
        <v>0</v>
      </c>
      <c r="AD115" s="30">
        <f t="shared" si="138"/>
        <v>0</v>
      </c>
      <c r="AE115" s="30">
        <f t="shared" si="139"/>
        <v>0</v>
      </c>
      <c r="AF115" s="30">
        <f t="shared" si="140"/>
        <v>0</v>
      </c>
      <c r="AG115" s="30">
        <f t="shared" si="141"/>
        <v>0</v>
      </c>
      <c r="AH115" s="30">
        <f t="shared" si="142"/>
        <v>0</v>
      </c>
      <c r="AI115" s="10" t="s">
        <v>50</v>
      </c>
      <c r="AJ115" s="30">
        <f t="shared" si="143"/>
        <v>0</v>
      </c>
      <c r="AK115" s="30">
        <f t="shared" si="144"/>
        <v>0</v>
      </c>
      <c r="AL115" s="30">
        <f t="shared" si="145"/>
        <v>0</v>
      </c>
      <c r="AN115" s="30">
        <v>12</v>
      </c>
      <c r="AO115" s="30">
        <f>G115*0.239779006</f>
        <v>0</v>
      </c>
      <c r="AP115" s="30">
        <f>G115*(1-0.239779006)</f>
        <v>0</v>
      </c>
      <c r="AQ115" s="31" t="s">
        <v>77</v>
      </c>
      <c r="AV115" s="30">
        <f t="shared" si="146"/>
        <v>0</v>
      </c>
      <c r="AW115" s="30">
        <f t="shared" si="147"/>
        <v>0</v>
      </c>
      <c r="AX115" s="30">
        <f t="shared" si="148"/>
        <v>0</v>
      </c>
      <c r="AY115" s="31" t="s">
        <v>284</v>
      </c>
      <c r="AZ115" s="31" t="s">
        <v>259</v>
      </c>
      <c r="BA115" s="10" t="s">
        <v>60</v>
      </c>
      <c r="BC115" s="30">
        <f t="shared" si="149"/>
        <v>0</v>
      </c>
      <c r="BD115" s="30">
        <f t="shared" si="150"/>
        <v>0</v>
      </c>
      <c r="BE115" s="30">
        <v>0</v>
      </c>
      <c r="BF115" s="30">
        <f>115</f>
        <v>115</v>
      </c>
      <c r="BH115" s="30">
        <f t="shared" si="151"/>
        <v>0</v>
      </c>
      <c r="BI115" s="30">
        <f t="shared" si="152"/>
        <v>0</v>
      </c>
      <c r="BJ115" s="30">
        <f t="shared" si="153"/>
        <v>0</v>
      </c>
      <c r="BK115" s="30"/>
      <c r="BL115" s="30">
        <v>722</v>
      </c>
      <c r="BW115" s="30">
        <v>12</v>
      </c>
      <c r="BX115" s="4" t="s">
        <v>325</v>
      </c>
    </row>
    <row r="116" spans="1:76" x14ac:dyDescent="0.25">
      <c r="A116" s="32" t="s">
        <v>326</v>
      </c>
      <c r="B116" s="33" t="s">
        <v>327</v>
      </c>
      <c r="C116" s="141" t="s">
        <v>328</v>
      </c>
      <c r="D116" s="142"/>
      <c r="E116" s="33" t="s">
        <v>99</v>
      </c>
      <c r="F116" s="34">
        <v>54.9</v>
      </c>
      <c r="G116" s="35">
        <v>0</v>
      </c>
      <c r="H116" s="34">
        <f t="shared" si="132"/>
        <v>0</v>
      </c>
      <c r="I116" s="34">
        <f t="shared" si="133"/>
        <v>0</v>
      </c>
      <c r="J116" s="34">
        <f t="shared" si="134"/>
        <v>0</v>
      </c>
      <c r="K116" s="36" t="s">
        <v>57</v>
      </c>
      <c r="Z116" s="30">
        <f t="shared" si="135"/>
        <v>0</v>
      </c>
      <c r="AB116" s="30">
        <f t="shared" si="136"/>
        <v>0</v>
      </c>
      <c r="AC116" s="30">
        <f t="shared" si="137"/>
        <v>0</v>
      </c>
      <c r="AD116" s="30">
        <f t="shared" si="138"/>
        <v>0</v>
      </c>
      <c r="AE116" s="30">
        <f t="shared" si="139"/>
        <v>0</v>
      </c>
      <c r="AF116" s="30">
        <f t="shared" si="140"/>
        <v>0</v>
      </c>
      <c r="AG116" s="30">
        <f t="shared" si="141"/>
        <v>0</v>
      </c>
      <c r="AH116" s="30">
        <f t="shared" si="142"/>
        <v>0</v>
      </c>
      <c r="AI116" s="10" t="s">
        <v>50</v>
      </c>
      <c r="AJ116" s="30">
        <f t="shared" si="143"/>
        <v>0</v>
      </c>
      <c r="AK116" s="30">
        <f t="shared" si="144"/>
        <v>0</v>
      </c>
      <c r="AL116" s="30">
        <f t="shared" si="145"/>
        <v>0</v>
      </c>
      <c r="AN116" s="30">
        <v>12</v>
      </c>
      <c r="AO116" s="30">
        <f>G116*0.05464191</f>
        <v>0</v>
      </c>
      <c r="AP116" s="30">
        <f>G116*(1-0.05464191)</f>
        <v>0</v>
      </c>
      <c r="AQ116" s="31" t="s">
        <v>77</v>
      </c>
      <c r="AV116" s="30">
        <f t="shared" si="146"/>
        <v>0</v>
      </c>
      <c r="AW116" s="30">
        <f t="shared" si="147"/>
        <v>0</v>
      </c>
      <c r="AX116" s="30">
        <f t="shared" si="148"/>
        <v>0</v>
      </c>
      <c r="AY116" s="31" t="s">
        <v>284</v>
      </c>
      <c r="AZ116" s="31" t="s">
        <v>259</v>
      </c>
      <c r="BA116" s="10" t="s">
        <v>60</v>
      </c>
      <c r="BC116" s="30">
        <f t="shared" si="149"/>
        <v>0</v>
      </c>
      <c r="BD116" s="30">
        <f t="shared" si="150"/>
        <v>0</v>
      </c>
      <c r="BE116" s="30">
        <v>0</v>
      </c>
      <c r="BF116" s="30">
        <f>116</f>
        <v>116</v>
      </c>
      <c r="BH116" s="30">
        <f t="shared" si="151"/>
        <v>0</v>
      </c>
      <c r="BI116" s="30">
        <f t="shared" si="152"/>
        <v>0</v>
      </c>
      <c r="BJ116" s="30">
        <f t="shared" si="153"/>
        <v>0</v>
      </c>
      <c r="BK116" s="30"/>
      <c r="BL116" s="30">
        <v>722</v>
      </c>
      <c r="BW116" s="30">
        <v>12</v>
      </c>
      <c r="BX116" s="4" t="s">
        <v>328</v>
      </c>
    </row>
    <row r="117" spans="1:76" x14ac:dyDescent="0.25">
      <c r="A117" s="32" t="s">
        <v>329</v>
      </c>
      <c r="B117" s="33" t="s">
        <v>330</v>
      </c>
      <c r="C117" s="141" t="s">
        <v>331</v>
      </c>
      <c r="D117" s="142"/>
      <c r="E117" s="33" t="s">
        <v>109</v>
      </c>
      <c r="F117" s="34">
        <v>0.27766000000000002</v>
      </c>
      <c r="G117" s="35">
        <v>0</v>
      </c>
      <c r="H117" s="34">
        <f t="shared" si="132"/>
        <v>0</v>
      </c>
      <c r="I117" s="34">
        <f t="shared" si="133"/>
        <v>0</v>
      </c>
      <c r="J117" s="34">
        <f t="shared" si="134"/>
        <v>0</v>
      </c>
      <c r="K117" s="36" t="s">
        <v>57</v>
      </c>
      <c r="Z117" s="30">
        <f t="shared" si="135"/>
        <v>0</v>
      </c>
      <c r="AB117" s="30">
        <f t="shared" si="136"/>
        <v>0</v>
      </c>
      <c r="AC117" s="30">
        <f t="shared" si="137"/>
        <v>0</v>
      </c>
      <c r="AD117" s="30">
        <f t="shared" si="138"/>
        <v>0</v>
      </c>
      <c r="AE117" s="30">
        <f t="shared" si="139"/>
        <v>0</v>
      </c>
      <c r="AF117" s="30">
        <f t="shared" si="140"/>
        <v>0</v>
      </c>
      <c r="AG117" s="30">
        <f t="shared" si="141"/>
        <v>0</v>
      </c>
      <c r="AH117" s="30">
        <f t="shared" si="142"/>
        <v>0</v>
      </c>
      <c r="AI117" s="10" t="s">
        <v>50</v>
      </c>
      <c r="AJ117" s="30">
        <f t="shared" si="143"/>
        <v>0</v>
      </c>
      <c r="AK117" s="30">
        <f t="shared" si="144"/>
        <v>0</v>
      </c>
      <c r="AL117" s="30">
        <f t="shared" si="145"/>
        <v>0</v>
      </c>
      <c r="AN117" s="30">
        <v>12</v>
      </c>
      <c r="AO117" s="30">
        <f>G117*0</f>
        <v>0</v>
      </c>
      <c r="AP117" s="30">
        <f>G117*(1-0)</f>
        <v>0</v>
      </c>
      <c r="AQ117" s="31" t="s">
        <v>71</v>
      </c>
      <c r="AV117" s="30">
        <f t="shared" si="146"/>
        <v>0</v>
      </c>
      <c r="AW117" s="30">
        <f t="shared" si="147"/>
        <v>0</v>
      </c>
      <c r="AX117" s="30">
        <f t="shared" si="148"/>
        <v>0</v>
      </c>
      <c r="AY117" s="31" t="s">
        <v>284</v>
      </c>
      <c r="AZ117" s="31" t="s">
        <v>259</v>
      </c>
      <c r="BA117" s="10" t="s">
        <v>60</v>
      </c>
      <c r="BC117" s="30">
        <f t="shared" si="149"/>
        <v>0</v>
      </c>
      <c r="BD117" s="30">
        <f t="shared" si="150"/>
        <v>0</v>
      </c>
      <c r="BE117" s="30">
        <v>0</v>
      </c>
      <c r="BF117" s="30">
        <f>117</f>
        <v>117</v>
      </c>
      <c r="BH117" s="30">
        <f t="shared" si="151"/>
        <v>0</v>
      </c>
      <c r="BI117" s="30">
        <f t="shared" si="152"/>
        <v>0</v>
      </c>
      <c r="BJ117" s="30">
        <f t="shared" si="153"/>
        <v>0</v>
      </c>
      <c r="BK117" s="30"/>
      <c r="BL117" s="30">
        <v>722</v>
      </c>
      <c r="BW117" s="30">
        <v>12</v>
      </c>
      <c r="BX117" s="4" t="s">
        <v>331</v>
      </c>
    </row>
    <row r="118" spans="1:76" x14ac:dyDescent="0.25">
      <c r="A118" s="39" t="s">
        <v>50</v>
      </c>
      <c r="B118" s="40" t="s">
        <v>332</v>
      </c>
      <c r="C118" s="156" t="s">
        <v>333</v>
      </c>
      <c r="D118" s="157"/>
      <c r="E118" s="41" t="s">
        <v>4</v>
      </c>
      <c r="F118" s="41" t="s">
        <v>4</v>
      </c>
      <c r="G118" s="42" t="s">
        <v>4</v>
      </c>
      <c r="H118" s="43">
        <f>SUM(H119:H123)</f>
        <v>0</v>
      </c>
      <c r="I118" s="43">
        <f>SUM(I119:I123)</f>
        <v>0</v>
      </c>
      <c r="J118" s="43">
        <f>SUM(J119:J123)</f>
        <v>0</v>
      </c>
      <c r="K118" s="44" t="s">
        <v>50</v>
      </c>
      <c r="AI118" s="10" t="s">
        <v>50</v>
      </c>
      <c r="AS118" s="1">
        <f>SUM(AJ119:AJ123)</f>
        <v>0</v>
      </c>
      <c r="AT118" s="1">
        <f>SUM(AK119:AK123)</f>
        <v>0</v>
      </c>
      <c r="AU118" s="1">
        <f>SUM(AL119:AL123)</f>
        <v>0</v>
      </c>
    </row>
    <row r="119" spans="1:76" ht="25.5" x14ac:dyDescent="0.25">
      <c r="A119" s="25" t="s">
        <v>334</v>
      </c>
      <c r="B119" s="26" t="s">
        <v>335</v>
      </c>
      <c r="C119" s="150" t="s">
        <v>336</v>
      </c>
      <c r="D119" s="151"/>
      <c r="E119" s="26" t="s">
        <v>99</v>
      </c>
      <c r="F119" s="27">
        <v>7.5</v>
      </c>
      <c r="G119" s="28">
        <v>0</v>
      </c>
      <c r="H119" s="27">
        <f>F119*AO119</f>
        <v>0</v>
      </c>
      <c r="I119" s="27">
        <f>F119*AP119</f>
        <v>0</v>
      </c>
      <c r="J119" s="27">
        <f>F119*G119</f>
        <v>0</v>
      </c>
      <c r="K119" s="29" t="s">
        <v>57</v>
      </c>
      <c r="Z119" s="30">
        <f>IF(AQ119="5",BJ119,0)</f>
        <v>0</v>
      </c>
      <c r="AB119" s="30">
        <f>IF(AQ119="1",BH119,0)</f>
        <v>0</v>
      </c>
      <c r="AC119" s="30">
        <f>IF(AQ119="1",BI119,0)</f>
        <v>0</v>
      </c>
      <c r="AD119" s="30">
        <f>IF(AQ119="7",BH119,0)</f>
        <v>0</v>
      </c>
      <c r="AE119" s="30">
        <f>IF(AQ119="7",BI119,0)</f>
        <v>0</v>
      </c>
      <c r="AF119" s="30">
        <f>IF(AQ119="2",BH119,0)</f>
        <v>0</v>
      </c>
      <c r="AG119" s="30">
        <f>IF(AQ119="2",BI119,0)</f>
        <v>0</v>
      </c>
      <c r="AH119" s="30">
        <f>IF(AQ119="0",BJ119,0)</f>
        <v>0</v>
      </c>
      <c r="AI119" s="10" t="s">
        <v>50</v>
      </c>
      <c r="AJ119" s="30">
        <f>IF(AN119=0,J119,0)</f>
        <v>0</v>
      </c>
      <c r="AK119" s="30">
        <f>IF(AN119=12,J119,0)</f>
        <v>0</v>
      </c>
      <c r="AL119" s="30">
        <f>IF(AN119=21,J119,0)</f>
        <v>0</v>
      </c>
      <c r="AN119" s="30">
        <v>12</v>
      </c>
      <c r="AO119" s="30">
        <f>G119*0.87855173</f>
        <v>0</v>
      </c>
      <c r="AP119" s="30">
        <f>G119*(1-0.87855173)</f>
        <v>0</v>
      </c>
      <c r="AQ119" s="31" t="s">
        <v>77</v>
      </c>
      <c r="AV119" s="30">
        <f>AW119+AX119</f>
        <v>0</v>
      </c>
      <c r="AW119" s="30">
        <f>F119*AO119</f>
        <v>0</v>
      </c>
      <c r="AX119" s="30">
        <f>F119*AP119</f>
        <v>0</v>
      </c>
      <c r="AY119" s="31" t="s">
        <v>337</v>
      </c>
      <c r="AZ119" s="31" t="s">
        <v>259</v>
      </c>
      <c r="BA119" s="10" t="s">
        <v>60</v>
      </c>
      <c r="BC119" s="30">
        <f>AW119+AX119</f>
        <v>0</v>
      </c>
      <c r="BD119" s="30">
        <f>G119/(100-BE119)*100</f>
        <v>0</v>
      </c>
      <c r="BE119" s="30">
        <v>0</v>
      </c>
      <c r="BF119" s="30">
        <f>119</f>
        <v>119</v>
      </c>
      <c r="BH119" s="30">
        <f>F119*AO119</f>
        <v>0</v>
      </c>
      <c r="BI119" s="30">
        <f>F119*AP119</f>
        <v>0</v>
      </c>
      <c r="BJ119" s="30">
        <f>F119*G119</f>
        <v>0</v>
      </c>
      <c r="BK119" s="30"/>
      <c r="BL119" s="30">
        <v>723</v>
      </c>
      <c r="BW119" s="30">
        <v>12</v>
      </c>
      <c r="BX119" s="4" t="s">
        <v>336</v>
      </c>
    </row>
    <row r="120" spans="1:76" x14ac:dyDescent="0.25">
      <c r="A120" s="32" t="s">
        <v>338</v>
      </c>
      <c r="B120" s="33" t="s">
        <v>339</v>
      </c>
      <c r="C120" s="141" t="s">
        <v>340</v>
      </c>
      <c r="D120" s="142"/>
      <c r="E120" s="33" t="s">
        <v>56</v>
      </c>
      <c r="F120" s="34">
        <v>1</v>
      </c>
      <c r="G120" s="35">
        <v>0</v>
      </c>
      <c r="H120" s="34">
        <f>F120*AO120</f>
        <v>0</v>
      </c>
      <c r="I120" s="34">
        <f>F120*AP120</f>
        <v>0</v>
      </c>
      <c r="J120" s="34">
        <f>F120*G120</f>
        <v>0</v>
      </c>
      <c r="K120" s="36" t="s">
        <v>57</v>
      </c>
      <c r="Z120" s="30">
        <f>IF(AQ120="5",BJ120,0)</f>
        <v>0</v>
      </c>
      <c r="AB120" s="30">
        <f>IF(AQ120="1",BH120,0)</f>
        <v>0</v>
      </c>
      <c r="AC120" s="30">
        <f>IF(AQ120="1",BI120,0)</f>
        <v>0</v>
      </c>
      <c r="AD120" s="30">
        <f>IF(AQ120="7",BH120,0)</f>
        <v>0</v>
      </c>
      <c r="AE120" s="30">
        <f>IF(AQ120="7",BI120,0)</f>
        <v>0</v>
      </c>
      <c r="AF120" s="30">
        <f>IF(AQ120="2",BH120,0)</f>
        <v>0</v>
      </c>
      <c r="AG120" s="30">
        <f>IF(AQ120="2",BI120,0)</f>
        <v>0</v>
      </c>
      <c r="AH120" s="30">
        <f>IF(AQ120="0",BJ120,0)</f>
        <v>0</v>
      </c>
      <c r="AI120" s="10" t="s">
        <v>50</v>
      </c>
      <c r="AJ120" s="30">
        <f>IF(AN120=0,J120,0)</f>
        <v>0</v>
      </c>
      <c r="AK120" s="30">
        <f>IF(AN120=12,J120,0)</f>
        <v>0</v>
      </c>
      <c r="AL120" s="30">
        <f>IF(AN120=21,J120,0)</f>
        <v>0</v>
      </c>
      <c r="AN120" s="30">
        <v>12</v>
      </c>
      <c r="AO120" s="30">
        <f>G120*0.893874302</f>
        <v>0</v>
      </c>
      <c r="AP120" s="30">
        <f>G120*(1-0.893874302)</f>
        <v>0</v>
      </c>
      <c r="AQ120" s="31" t="s">
        <v>77</v>
      </c>
      <c r="AV120" s="30">
        <f>AW120+AX120</f>
        <v>0</v>
      </c>
      <c r="AW120" s="30">
        <f>F120*AO120</f>
        <v>0</v>
      </c>
      <c r="AX120" s="30">
        <f>F120*AP120</f>
        <v>0</v>
      </c>
      <c r="AY120" s="31" t="s">
        <v>337</v>
      </c>
      <c r="AZ120" s="31" t="s">
        <v>259</v>
      </c>
      <c r="BA120" s="10" t="s">
        <v>60</v>
      </c>
      <c r="BC120" s="30">
        <f>AW120+AX120</f>
        <v>0</v>
      </c>
      <c r="BD120" s="30">
        <f>G120/(100-BE120)*100</f>
        <v>0</v>
      </c>
      <c r="BE120" s="30">
        <v>0</v>
      </c>
      <c r="BF120" s="30">
        <f>120</f>
        <v>120</v>
      </c>
      <c r="BH120" s="30">
        <f>F120*AO120</f>
        <v>0</v>
      </c>
      <c r="BI120" s="30">
        <f>F120*AP120</f>
        <v>0</v>
      </c>
      <c r="BJ120" s="30">
        <f>F120*G120</f>
        <v>0</v>
      </c>
      <c r="BK120" s="30"/>
      <c r="BL120" s="30">
        <v>723</v>
      </c>
      <c r="BW120" s="30">
        <v>12</v>
      </c>
      <c r="BX120" s="4" t="s">
        <v>340</v>
      </c>
    </row>
    <row r="121" spans="1:76" x14ac:dyDescent="0.25">
      <c r="A121" s="32" t="s">
        <v>341</v>
      </c>
      <c r="B121" s="33" t="s">
        <v>342</v>
      </c>
      <c r="C121" s="141" t="s">
        <v>343</v>
      </c>
      <c r="D121" s="142"/>
      <c r="E121" s="33" t="s">
        <v>99</v>
      </c>
      <c r="F121" s="34">
        <v>7.5</v>
      </c>
      <c r="G121" s="35">
        <v>0</v>
      </c>
      <c r="H121" s="34">
        <f>F121*AO121</f>
        <v>0</v>
      </c>
      <c r="I121" s="34">
        <f>F121*AP121</f>
        <v>0</v>
      </c>
      <c r="J121" s="34">
        <f>F121*G121</f>
        <v>0</v>
      </c>
      <c r="K121" s="36" t="s">
        <v>57</v>
      </c>
      <c r="Z121" s="30">
        <f>IF(AQ121="5",BJ121,0)</f>
        <v>0</v>
      </c>
      <c r="AB121" s="30">
        <f>IF(AQ121="1",BH121,0)</f>
        <v>0</v>
      </c>
      <c r="AC121" s="30">
        <f>IF(AQ121="1",BI121,0)</f>
        <v>0</v>
      </c>
      <c r="AD121" s="30">
        <f>IF(AQ121="7",BH121,0)</f>
        <v>0</v>
      </c>
      <c r="AE121" s="30">
        <f>IF(AQ121="7",BI121,0)</f>
        <v>0</v>
      </c>
      <c r="AF121" s="30">
        <f>IF(AQ121="2",BH121,0)</f>
        <v>0</v>
      </c>
      <c r="AG121" s="30">
        <f>IF(AQ121="2",BI121,0)</f>
        <v>0</v>
      </c>
      <c r="AH121" s="30">
        <f>IF(AQ121="0",BJ121,0)</f>
        <v>0</v>
      </c>
      <c r="AI121" s="10" t="s">
        <v>50</v>
      </c>
      <c r="AJ121" s="30">
        <f>IF(AN121=0,J121,0)</f>
        <v>0</v>
      </c>
      <c r="AK121" s="30">
        <f>IF(AN121=12,J121,0)</f>
        <v>0</v>
      </c>
      <c r="AL121" s="30">
        <f>IF(AN121=21,J121,0)</f>
        <v>0</v>
      </c>
      <c r="AN121" s="30">
        <v>12</v>
      </c>
      <c r="AO121" s="30">
        <f>G121*0</f>
        <v>0</v>
      </c>
      <c r="AP121" s="30">
        <f>G121*(1-0)</f>
        <v>0</v>
      </c>
      <c r="AQ121" s="31" t="s">
        <v>77</v>
      </c>
      <c r="AV121" s="30">
        <f>AW121+AX121</f>
        <v>0</v>
      </c>
      <c r="AW121" s="30">
        <f>F121*AO121</f>
        <v>0</v>
      </c>
      <c r="AX121" s="30">
        <f>F121*AP121</f>
        <v>0</v>
      </c>
      <c r="AY121" s="31" t="s">
        <v>337</v>
      </c>
      <c r="AZ121" s="31" t="s">
        <v>259</v>
      </c>
      <c r="BA121" s="10" t="s">
        <v>60</v>
      </c>
      <c r="BC121" s="30">
        <f>AW121+AX121</f>
        <v>0</v>
      </c>
      <c r="BD121" s="30">
        <f>G121/(100-BE121)*100</f>
        <v>0</v>
      </c>
      <c r="BE121" s="30">
        <v>0</v>
      </c>
      <c r="BF121" s="30">
        <f>121</f>
        <v>121</v>
      </c>
      <c r="BH121" s="30">
        <f>F121*AO121</f>
        <v>0</v>
      </c>
      <c r="BI121" s="30">
        <f>F121*AP121</f>
        <v>0</v>
      </c>
      <c r="BJ121" s="30">
        <f>F121*G121</f>
        <v>0</v>
      </c>
      <c r="BK121" s="30"/>
      <c r="BL121" s="30">
        <v>723</v>
      </c>
      <c r="BW121" s="30">
        <v>12</v>
      </c>
      <c r="BX121" s="4" t="s">
        <v>343</v>
      </c>
    </row>
    <row r="122" spans="1:76" x14ac:dyDescent="0.25">
      <c r="A122" s="32" t="s">
        <v>344</v>
      </c>
      <c r="B122" s="33" t="s">
        <v>345</v>
      </c>
      <c r="C122" s="141" t="s">
        <v>346</v>
      </c>
      <c r="D122" s="142"/>
      <c r="E122" s="33" t="s">
        <v>56</v>
      </c>
      <c r="F122" s="34">
        <v>1</v>
      </c>
      <c r="G122" s="35">
        <v>0</v>
      </c>
      <c r="H122" s="34">
        <f>F122*AO122</f>
        <v>0</v>
      </c>
      <c r="I122" s="34">
        <f>F122*AP122</f>
        <v>0</v>
      </c>
      <c r="J122" s="34">
        <f>F122*G122</f>
        <v>0</v>
      </c>
      <c r="K122" s="36" t="s">
        <v>57</v>
      </c>
      <c r="Z122" s="30">
        <f>IF(AQ122="5",BJ122,0)</f>
        <v>0</v>
      </c>
      <c r="AB122" s="30">
        <f>IF(AQ122="1",BH122,0)</f>
        <v>0</v>
      </c>
      <c r="AC122" s="30">
        <f>IF(AQ122="1",BI122,0)</f>
        <v>0</v>
      </c>
      <c r="AD122" s="30">
        <f>IF(AQ122="7",BH122,0)</f>
        <v>0</v>
      </c>
      <c r="AE122" s="30">
        <f>IF(AQ122="7",BI122,0)</f>
        <v>0</v>
      </c>
      <c r="AF122" s="30">
        <f>IF(AQ122="2",BH122,0)</f>
        <v>0</v>
      </c>
      <c r="AG122" s="30">
        <f>IF(AQ122="2",BI122,0)</f>
        <v>0</v>
      </c>
      <c r="AH122" s="30">
        <f>IF(AQ122="0",BJ122,0)</f>
        <v>0</v>
      </c>
      <c r="AI122" s="10" t="s">
        <v>50</v>
      </c>
      <c r="AJ122" s="30">
        <f>IF(AN122=0,J122,0)</f>
        <v>0</v>
      </c>
      <c r="AK122" s="30">
        <f>IF(AN122=12,J122,0)</f>
        <v>0</v>
      </c>
      <c r="AL122" s="30">
        <f>IF(AN122=21,J122,0)</f>
        <v>0</v>
      </c>
      <c r="AN122" s="30">
        <v>12</v>
      </c>
      <c r="AO122" s="30">
        <f>G122*0</f>
        <v>0</v>
      </c>
      <c r="AP122" s="30">
        <f>G122*(1-0)</f>
        <v>0</v>
      </c>
      <c r="AQ122" s="31" t="s">
        <v>77</v>
      </c>
      <c r="AV122" s="30">
        <f>AW122+AX122</f>
        <v>0</v>
      </c>
      <c r="AW122" s="30">
        <f>F122*AO122</f>
        <v>0</v>
      </c>
      <c r="AX122" s="30">
        <f>F122*AP122</f>
        <v>0</v>
      </c>
      <c r="AY122" s="31" t="s">
        <v>337</v>
      </c>
      <c r="AZ122" s="31" t="s">
        <v>259</v>
      </c>
      <c r="BA122" s="10" t="s">
        <v>60</v>
      </c>
      <c r="BC122" s="30">
        <f>AW122+AX122</f>
        <v>0</v>
      </c>
      <c r="BD122" s="30">
        <f>G122/(100-BE122)*100</f>
        <v>0</v>
      </c>
      <c r="BE122" s="30">
        <v>0</v>
      </c>
      <c r="BF122" s="30">
        <f>122</f>
        <v>122</v>
      </c>
      <c r="BH122" s="30">
        <f>F122*AO122</f>
        <v>0</v>
      </c>
      <c r="BI122" s="30">
        <f>F122*AP122</f>
        <v>0</v>
      </c>
      <c r="BJ122" s="30">
        <f>F122*G122</f>
        <v>0</v>
      </c>
      <c r="BK122" s="30"/>
      <c r="BL122" s="30">
        <v>723</v>
      </c>
      <c r="BW122" s="30">
        <v>12</v>
      </c>
      <c r="BX122" s="4" t="s">
        <v>346</v>
      </c>
    </row>
    <row r="123" spans="1:76" x14ac:dyDescent="0.25">
      <c r="A123" s="32" t="s">
        <v>347</v>
      </c>
      <c r="B123" s="33" t="s">
        <v>348</v>
      </c>
      <c r="C123" s="141" t="s">
        <v>349</v>
      </c>
      <c r="D123" s="142"/>
      <c r="E123" s="33" t="s">
        <v>109</v>
      </c>
      <c r="F123" s="34">
        <v>1.5859999999999999E-2</v>
      </c>
      <c r="G123" s="35">
        <v>0</v>
      </c>
      <c r="H123" s="34">
        <f>F123*AO123</f>
        <v>0</v>
      </c>
      <c r="I123" s="34">
        <f>F123*AP123</f>
        <v>0</v>
      </c>
      <c r="J123" s="34">
        <f>F123*G123</f>
        <v>0</v>
      </c>
      <c r="K123" s="36" t="s">
        <v>57</v>
      </c>
      <c r="Z123" s="30">
        <f>IF(AQ123="5",BJ123,0)</f>
        <v>0</v>
      </c>
      <c r="AB123" s="30">
        <f>IF(AQ123="1",BH123,0)</f>
        <v>0</v>
      </c>
      <c r="AC123" s="30">
        <f>IF(AQ123="1",BI123,0)</f>
        <v>0</v>
      </c>
      <c r="AD123" s="30">
        <f>IF(AQ123="7",BH123,0)</f>
        <v>0</v>
      </c>
      <c r="AE123" s="30">
        <f>IF(AQ123="7",BI123,0)</f>
        <v>0</v>
      </c>
      <c r="AF123" s="30">
        <f>IF(AQ123="2",BH123,0)</f>
        <v>0</v>
      </c>
      <c r="AG123" s="30">
        <f>IF(AQ123="2",BI123,0)</f>
        <v>0</v>
      </c>
      <c r="AH123" s="30">
        <f>IF(AQ123="0",BJ123,0)</f>
        <v>0</v>
      </c>
      <c r="AI123" s="10" t="s">
        <v>50</v>
      </c>
      <c r="AJ123" s="30">
        <f>IF(AN123=0,J123,0)</f>
        <v>0</v>
      </c>
      <c r="AK123" s="30">
        <f>IF(AN123=12,J123,0)</f>
        <v>0</v>
      </c>
      <c r="AL123" s="30">
        <f>IF(AN123=21,J123,0)</f>
        <v>0</v>
      </c>
      <c r="AN123" s="30">
        <v>12</v>
      </c>
      <c r="AO123" s="30">
        <f>G123*0</f>
        <v>0</v>
      </c>
      <c r="AP123" s="30">
        <f>G123*(1-0)</f>
        <v>0</v>
      </c>
      <c r="AQ123" s="31" t="s">
        <v>71</v>
      </c>
      <c r="AV123" s="30">
        <f>AW123+AX123</f>
        <v>0</v>
      </c>
      <c r="AW123" s="30">
        <f>F123*AO123</f>
        <v>0</v>
      </c>
      <c r="AX123" s="30">
        <f>F123*AP123</f>
        <v>0</v>
      </c>
      <c r="AY123" s="31" t="s">
        <v>337</v>
      </c>
      <c r="AZ123" s="31" t="s">
        <v>259</v>
      </c>
      <c r="BA123" s="10" t="s">
        <v>60</v>
      </c>
      <c r="BC123" s="30">
        <f>AW123+AX123</f>
        <v>0</v>
      </c>
      <c r="BD123" s="30">
        <f>G123/(100-BE123)*100</f>
        <v>0</v>
      </c>
      <c r="BE123" s="30">
        <v>0</v>
      </c>
      <c r="BF123" s="30">
        <f>123</f>
        <v>123</v>
      </c>
      <c r="BH123" s="30">
        <f>F123*AO123</f>
        <v>0</v>
      </c>
      <c r="BI123" s="30">
        <f>F123*AP123</f>
        <v>0</v>
      </c>
      <c r="BJ123" s="30">
        <f>F123*G123</f>
        <v>0</v>
      </c>
      <c r="BK123" s="30"/>
      <c r="BL123" s="30">
        <v>723</v>
      </c>
      <c r="BW123" s="30">
        <v>12</v>
      </c>
      <c r="BX123" s="4" t="s">
        <v>349</v>
      </c>
    </row>
    <row r="124" spans="1:76" x14ac:dyDescent="0.25">
      <c r="A124" s="39" t="s">
        <v>50</v>
      </c>
      <c r="B124" s="40" t="s">
        <v>350</v>
      </c>
      <c r="C124" s="156" t="s">
        <v>351</v>
      </c>
      <c r="D124" s="157"/>
      <c r="E124" s="41" t="s">
        <v>4</v>
      </c>
      <c r="F124" s="41" t="s">
        <v>4</v>
      </c>
      <c r="G124" s="42" t="s">
        <v>4</v>
      </c>
      <c r="H124" s="43">
        <f>SUM(H125:H159)</f>
        <v>0</v>
      </c>
      <c r="I124" s="43">
        <f>SUM(I125:I159)</f>
        <v>0</v>
      </c>
      <c r="J124" s="43">
        <f>SUM(J125:J159)</f>
        <v>0</v>
      </c>
      <c r="K124" s="44" t="s">
        <v>50</v>
      </c>
      <c r="AI124" s="10" t="s">
        <v>50</v>
      </c>
      <c r="AS124" s="1">
        <f>SUM(AJ125:AJ159)</f>
        <v>0</v>
      </c>
      <c r="AT124" s="1">
        <f>SUM(AK125:AK159)</f>
        <v>0</v>
      </c>
      <c r="AU124" s="1">
        <f>SUM(AL125:AL159)</f>
        <v>0</v>
      </c>
    </row>
    <row r="125" spans="1:76" x14ac:dyDescent="0.25">
      <c r="A125" s="25" t="s">
        <v>352</v>
      </c>
      <c r="B125" s="26" t="s">
        <v>353</v>
      </c>
      <c r="C125" s="150" t="s">
        <v>354</v>
      </c>
      <c r="D125" s="151"/>
      <c r="E125" s="26" t="s">
        <v>355</v>
      </c>
      <c r="F125" s="27">
        <v>1</v>
      </c>
      <c r="G125" s="28">
        <v>0</v>
      </c>
      <c r="H125" s="27">
        <f t="shared" ref="H125:H130" si="154">F125*AO125</f>
        <v>0</v>
      </c>
      <c r="I125" s="27">
        <f t="shared" ref="I125:I130" si="155">F125*AP125</f>
        <v>0</v>
      </c>
      <c r="J125" s="27">
        <f t="shared" ref="J125:J130" si="156">F125*G125</f>
        <v>0</v>
      </c>
      <c r="K125" s="29" t="s">
        <v>57</v>
      </c>
      <c r="Z125" s="30">
        <f t="shared" ref="Z125:Z130" si="157">IF(AQ125="5",BJ125,0)</f>
        <v>0</v>
      </c>
      <c r="AB125" s="30">
        <f t="shared" ref="AB125:AB130" si="158">IF(AQ125="1",BH125,0)</f>
        <v>0</v>
      </c>
      <c r="AC125" s="30">
        <f t="shared" ref="AC125:AC130" si="159">IF(AQ125="1",BI125,0)</f>
        <v>0</v>
      </c>
      <c r="AD125" s="30">
        <f t="shared" ref="AD125:AD130" si="160">IF(AQ125="7",BH125,0)</f>
        <v>0</v>
      </c>
      <c r="AE125" s="30">
        <f t="shared" ref="AE125:AE130" si="161">IF(AQ125="7",BI125,0)</f>
        <v>0</v>
      </c>
      <c r="AF125" s="30">
        <f t="shared" ref="AF125:AF130" si="162">IF(AQ125="2",BH125,0)</f>
        <v>0</v>
      </c>
      <c r="AG125" s="30">
        <f t="shared" ref="AG125:AG130" si="163">IF(AQ125="2",BI125,0)</f>
        <v>0</v>
      </c>
      <c r="AH125" s="30">
        <f t="shared" ref="AH125:AH130" si="164">IF(AQ125="0",BJ125,0)</f>
        <v>0</v>
      </c>
      <c r="AI125" s="10" t="s">
        <v>50</v>
      </c>
      <c r="AJ125" s="30">
        <f t="shared" ref="AJ125:AJ130" si="165">IF(AN125=0,J125,0)</f>
        <v>0</v>
      </c>
      <c r="AK125" s="30">
        <f t="shared" ref="AK125:AK130" si="166">IF(AN125=12,J125,0)</f>
        <v>0</v>
      </c>
      <c r="AL125" s="30">
        <f t="shared" ref="AL125:AL130" si="167">IF(AN125=21,J125,0)</f>
        <v>0</v>
      </c>
      <c r="AN125" s="30">
        <v>12</v>
      </c>
      <c r="AO125" s="30">
        <f>G125*0</f>
        <v>0</v>
      </c>
      <c r="AP125" s="30">
        <f>G125*(1-0)</f>
        <v>0</v>
      </c>
      <c r="AQ125" s="31" t="s">
        <v>77</v>
      </c>
      <c r="AV125" s="30">
        <f t="shared" ref="AV125:AV130" si="168">AW125+AX125</f>
        <v>0</v>
      </c>
      <c r="AW125" s="30">
        <f t="shared" ref="AW125:AW130" si="169">F125*AO125</f>
        <v>0</v>
      </c>
      <c r="AX125" s="30">
        <f t="shared" ref="AX125:AX130" si="170">F125*AP125</f>
        <v>0</v>
      </c>
      <c r="AY125" s="31" t="s">
        <v>356</v>
      </c>
      <c r="AZ125" s="31" t="s">
        <v>259</v>
      </c>
      <c r="BA125" s="10" t="s">
        <v>60</v>
      </c>
      <c r="BC125" s="30">
        <f t="shared" ref="BC125:BC130" si="171">AW125+AX125</f>
        <v>0</v>
      </c>
      <c r="BD125" s="30">
        <f t="shared" ref="BD125:BD130" si="172">G125/(100-BE125)*100</f>
        <v>0</v>
      </c>
      <c r="BE125" s="30">
        <v>0</v>
      </c>
      <c r="BF125" s="30">
        <f>125</f>
        <v>125</v>
      </c>
      <c r="BH125" s="30">
        <f t="shared" ref="BH125:BH130" si="173">F125*AO125</f>
        <v>0</v>
      </c>
      <c r="BI125" s="30">
        <f t="shared" ref="BI125:BI130" si="174">F125*AP125</f>
        <v>0</v>
      </c>
      <c r="BJ125" s="30">
        <f t="shared" ref="BJ125:BJ130" si="175">F125*G125</f>
        <v>0</v>
      </c>
      <c r="BK125" s="30"/>
      <c r="BL125" s="30">
        <v>725</v>
      </c>
      <c r="BW125" s="30">
        <v>12</v>
      </c>
      <c r="BX125" s="4" t="s">
        <v>354</v>
      </c>
    </row>
    <row r="126" spans="1:76" x14ac:dyDescent="0.25">
      <c r="A126" s="32" t="s">
        <v>357</v>
      </c>
      <c r="B126" s="33" t="s">
        <v>358</v>
      </c>
      <c r="C126" s="141" t="s">
        <v>359</v>
      </c>
      <c r="D126" s="142"/>
      <c r="E126" s="33" t="s">
        <v>355</v>
      </c>
      <c r="F126" s="34">
        <v>1</v>
      </c>
      <c r="G126" s="35">
        <v>0</v>
      </c>
      <c r="H126" s="34">
        <f t="shared" si="154"/>
        <v>0</v>
      </c>
      <c r="I126" s="34">
        <f t="shared" si="155"/>
        <v>0</v>
      </c>
      <c r="J126" s="34">
        <f t="shared" si="156"/>
        <v>0</v>
      </c>
      <c r="K126" s="36" t="s">
        <v>57</v>
      </c>
      <c r="Z126" s="30">
        <f t="shared" si="157"/>
        <v>0</v>
      </c>
      <c r="AB126" s="30">
        <f t="shared" si="158"/>
        <v>0</v>
      </c>
      <c r="AC126" s="30">
        <f t="shared" si="159"/>
        <v>0</v>
      </c>
      <c r="AD126" s="30">
        <f t="shared" si="160"/>
        <v>0</v>
      </c>
      <c r="AE126" s="30">
        <f t="shared" si="161"/>
        <v>0</v>
      </c>
      <c r="AF126" s="30">
        <f t="shared" si="162"/>
        <v>0</v>
      </c>
      <c r="AG126" s="30">
        <f t="shared" si="163"/>
        <v>0</v>
      </c>
      <c r="AH126" s="30">
        <f t="shared" si="164"/>
        <v>0</v>
      </c>
      <c r="AI126" s="10" t="s">
        <v>50</v>
      </c>
      <c r="AJ126" s="30">
        <f t="shared" si="165"/>
        <v>0</v>
      </c>
      <c r="AK126" s="30">
        <f t="shared" si="166"/>
        <v>0</v>
      </c>
      <c r="AL126" s="30">
        <f t="shared" si="167"/>
        <v>0</v>
      </c>
      <c r="AN126" s="30">
        <v>12</v>
      </c>
      <c r="AO126" s="30">
        <f>G126*0</f>
        <v>0</v>
      </c>
      <c r="AP126" s="30">
        <f>G126*(1-0)</f>
        <v>0</v>
      </c>
      <c r="AQ126" s="31" t="s">
        <v>77</v>
      </c>
      <c r="AV126" s="30">
        <f t="shared" si="168"/>
        <v>0</v>
      </c>
      <c r="AW126" s="30">
        <f t="shared" si="169"/>
        <v>0</v>
      </c>
      <c r="AX126" s="30">
        <f t="shared" si="170"/>
        <v>0</v>
      </c>
      <c r="AY126" s="31" t="s">
        <v>356</v>
      </c>
      <c r="AZ126" s="31" t="s">
        <v>259</v>
      </c>
      <c r="BA126" s="10" t="s">
        <v>60</v>
      </c>
      <c r="BC126" s="30">
        <f t="shared" si="171"/>
        <v>0</v>
      </c>
      <c r="BD126" s="30">
        <f t="shared" si="172"/>
        <v>0</v>
      </c>
      <c r="BE126" s="30">
        <v>0</v>
      </c>
      <c r="BF126" s="30">
        <f>126</f>
        <v>126</v>
      </c>
      <c r="BH126" s="30">
        <f t="shared" si="173"/>
        <v>0</v>
      </c>
      <c r="BI126" s="30">
        <f t="shared" si="174"/>
        <v>0</v>
      </c>
      <c r="BJ126" s="30">
        <f t="shared" si="175"/>
        <v>0</v>
      </c>
      <c r="BK126" s="30"/>
      <c r="BL126" s="30">
        <v>725</v>
      </c>
      <c r="BW126" s="30">
        <v>12</v>
      </c>
      <c r="BX126" s="4" t="s">
        <v>359</v>
      </c>
    </row>
    <row r="127" spans="1:76" x14ac:dyDescent="0.25">
      <c r="A127" s="32" t="s">
        <v>360</v>
      </c>
      <c r="B127" s="33" t="s">
        <v>361</v>
      </c>
      <c r="C127" s="141" t="s">
        <v>362</v>
      </c>
      <c r="D127" s="142"/>
      <c r="E127" s="33" t="s">
        <v>56</v>
      </c>
      <c r="F127" s="34">
        <v>2</v>
      </c>
      <c r="G127" s="35">
        <v>0</v>
      </c>
      <c r="H127" s="34">
        <f t="shared" si="154"/>
        <v>0</v>
      </c>
      <c r="I127" s="34">
        <f t="shared" si="155"/>
        <v>0</v>
      </c>
      <c r="J127" s="34">
        <f t="shared" si="156"/>
        <v>0</v>
      </c>
      <c r="K127" s="36" t="s">
        <v>57</v>
      </c>
      <c r="Z127" s="30">
        <f t="shared" si="157"/>
        <v>0</v>
      </c>
      <c r="AB127" s="30">
        <f t="shared" si="158"/>
        <v>0</v>
      </c>
      <c r="AC127" s="30">
        <f t="shared" si="159"/>
        <v>0</v>
      </c>
      <c r="AD127" s="30">
        <f t="shared" si="160"/>
        <v>0</v>
      </c>
      <c r="AE127" s="30">
        <f t="shared" si="161"/>
        <v>0</v>
      </c>
      <c r="AF127" s="30">
        <f t="shared" si="162"/>
        <v>0</v>
      </c>
      <c r="AG127" s="30">
        <f t="shared" si="163"/>
        <v>0</v>
      </c>
      <c r="AH127" s="30">
        <f t="shared" si="164"/>
        <v>0</v>
      </c>
      <c r="AI127" s="10" t="s">
        <v>50</v>
      </c>
      <c r="AJ127" s="30">
        <f t="shared" si="165"/>
        <v>0</v>
      </c>
      <c r="AK127" s="30">
        <f t="shared" si="166"/>
        <v>0</v>
      </c>
      <c r="AL127" s="30">
        <f t="shared" si="167"/>
        <v>0</v>
      </c>
      <c r="AN127" s="30">
        <v>12</v>
      </c>
      <c r="AO127" s="30">
        <f>G127*0</f>
        <v>0</v>
      </c>
      <c r="AP127" s="30">
        <f>G127*(1-0)</f>
        <v>0</v>
      </c>
      <c r="AQ127" s="31" t="s">
        <v>77</v>
      </c>
      <c r="AV127" s="30">
        <f t="shared" si="168"/>
        <v>0</v>
      </c>
      <c r="AW127" s="30">
        <f t="shared" si="169"/>
        <v>0</v>
      </c>
      <c r="AX127" s="30">
        <f t="shared" si="170"/>
        <v>0</v>
      </c>
      <c r="AY127" s="31" t="s">
        <v>356</v>
      </c>
      <c r="AZ127" s="31" t="s">
        <v>259</v>
      </c>
      <c r="BA127" s="10" t="s">
        <v>60</v>
      </c>
      <c r="BC127" s="30">
        <f t="shared" si="171"/>
        <v>0</v>
      </c>
      <c r="BD127" s="30">
        <f t="shared" si="172"/>
        <v>0</v>
      </c>
      <c r="BE127" s="30">
        <v>0</v>
      </c>
      <c r="BF127" s="30">
        <f>127</f>
        <v>127</v>
      </c>
      <c r="BH127" s="30">
        <f t="shared" si="173"/>
        <v>0</v>
      </c>
      <c r="BI127" s="30">
        <f t="shared" si="174"/>
        <v>0</v>
      </c>
      <c r="BJ127" s="30">
        <f t="shared" si="175"/>
        <v>0</v>
      </c>
      <c r="BK127" s="30"/>
      <c r="BL127" s="30">
        <v>725</v>
      </c>
      <c r="BW127" s="30">
        <v>12</v>
      </c>
      <c r="BX127" s="4" t="s">
        <v>362</v>
      </c>
    </row>
    <row r="128" spans="1:76" x14ac:dyDescent="0.25">
      <c r="A128" s="32" t="s">
        <v>363</v>
      </c>
      <c r="B128" s="33" t="s">
        <v>364</v>
      </c>
      <c r="C128" s="141" t="s">
        <v>365</v>
      </c>
      <c r="D128" s="142"/>
      <c r="E128" s="33" t="s">
        <v>355</v>
      </c>
      <c r="F128" s="34">
        <v>1</v>
      </c>
      <c r="G128" s="35">
        <v>0</v>
      </c>
      <c r="H128" s="34">
        <f t="shared" si="154"/>
        <v>0</v>
      </c>
      <c r="I128" s="34">
        <f t="shared" si="155"/>
        <v>0</v>
      </c>
      <c r="J128" s="34">
        <f t="shared" si="156"/>
        <v>0</v>
      </c>
      <c r="K128" s="36" t="s">
        <v>57</v>
      </c>
      <c r="Z128" s="30">
        <f t="shared" si="157"/>
        <v>0</v>
      </c>
      <c r="AB128" s="30">
        <f t="shared" si="158"/>
        <v>0</v>
      </c>
      <c r="AC128" s="30">
        <f t="shared" si="159"/>
        <v>0</v>
      </c>
      <c r="AD128" s="30">
        <f t="shared" si="160"/>
        <v>0</v>
      </c>
      <c r="AE128" s="30">
        <f t="shared" si="161"/>
        <v>0</v>
      </c>
      <c r="AF128" s="30">
        <f t="shared" si="162"/>
        <v>0</v>
      </c>
      <c r="AG128" s="30">
        <f t="shared" si="163"/>
        <v>0</v>
      </c>
      <c r="AH128" s="30">
        <f t="shared" si="164"/>
        <v>0</v>
      </c>
      <c r="AI128" s="10" t="s">
        <v>50</v>
      </c>
      <c r="AJ128" s="30">
        <f t="shared" si="165"/>
        <v>0</v>
      </c>
      <c r="AK128" s="30">
        <f t="shared" si="166"/>
        <v>0</v>
      </c>
      <c r="AL128" s="30">
        <f t="shared" si="167"/>
        <v>0</v>
      </c>
      <c r="AN128" s="30">
        <v>12</v>
      </c>
      <c r="AO128" s="30">
        <f>G128*0</f>
        <v>0</v>
      </c>
      <c r="AP128" s="30">
        <f>G128*(1-0)</f>
        <v>0</v>
      </c>
      <c r="AQ128" s="31" t="s">
        <v>77</v>
      </c>
      <c r="AV128" s="30">
        <f t="shared" si="168"/>
        <v>0</v>
      </c>
      <c r="AW128" s="30">
        <f t="shared" si="169"/>
        <v>0</v>
      </c>
      <c r="AX128" s="30">
        <f t="shared" si="170"/>
        <v>0</v>
      </c>
      <c r="AY128" s="31" t="s">
        <v>356</v>
      </c>
      <c r="AZ128" s="31" t="s">
        <v>259</v>
      </c>
      <c r="BA128" s="10" t="s">
        <v>60</v>
      </c>
      <c r="BC128" s="30">
        <f t="shared" si="171"/>
        <v>0</v>
      </c>
      <c r="BD128" s="30">
        <f t="shared" si="172"/>
        <v>0</v>
      </c>
      <c r="BE128" s="30">
        <v>0</v>
      </c>
      <c r="BF128" s="30">
        <f>128</f>
        <v>128</v>
      </c>
      <c r="BH128" s="30">
        <f t="shared" si="173"/>
        <v>0</v>
      </c>
      <c r="BI128" s="30">
        <f t="shared" si="174"/>
        <v>0</v>
      </c>
      <c r="BJ128" s="30">
        <f t="shared" si="175"/>
        <v>0</v>
      </c>
      <c r="BK128" s="30"/>
      <c r="BL128" s="30">
        <v>725</v>
      </c>
      <c r="BW128" s="30">
        <v>12</v>
      </c>
      <c r="BX128" s="4" t="s">
        <v>365</v>
      </c>
    </row>
    <row r="129" spans="1:76" x14ac:dyDescent="0.25">
      <c r="A129" s="32" t="s">
        <v>366</v>
      </c>
      <c r="B129" s="33" t="s">
        <v>367</v>
      </c>
      <c r="C129" s="141" t="s">
        <v>368</v>
      </c>
      <c r="D129" s="142"/>
      <c r="E129" s="33" t="s">
        <v>355</v>
      </c>
      <c r="F129" s="34">
        <v>2</v>
      </c>
      <c r="G129" s="35">
        <v>0</v>
      </c>
      <c r="H129" s="34">
        <f t="shared" si="154"/>
        <v>0</v>
      </c>
      <c r="I129" s="34">
        <f t="shared" si="155"/>
        <v>0</v>
      </c>
      <c r="J129" s="34">
        <f t="shared" si="156"/>
        <v>0</v>
      </c>
      <c r="K129" s="36" t="s">
        <v>57</v>
      </c>
      <c r="Z129" s="30">
        <f t="shared" si="157"/>
        <v>0</v>
      </c>
      <c r="AB129" s="30">
        <f t="shared" si="158"/>
        <v>0</v>
      </c>
      <c r="AC129" s="30">
        <f t="shared" si="159"/>
        <v>0</v>
      </c>
      <c r="AD129" s="30">
        <f t="shared" si="160"/>
        <v>0</v>
      </c>
      <c r="AE129" s="30">
        <f t="shared" si="161"/>
        <v>0</v>
      </c>
      <c r="AF129" s="30">
        <f t="shared" si="162"/>
        <v>0</v>
      </c>
      <c r="AG129" s="30">
        <f t="shared" si="163"/>
        <v>0</v>
      </c>
      <c r="AH129" s="30">
        <f t="shared" si="164"/>
        <v>0</v>
      </c>
      <c r="AI129" s="10" t="s">
        <v>50</v>
      </c>
      <c r="AJ129" s="30">
        <f t="shared" si="165"/>
        <v>0</v>
      </c>
      <c r="AK129" s="30">
        <f t="shared" si="166"/>
        <v>0</v>
      </c>
      <c r="AL129" s="30">
        <f t="shared" si="167"/>
        <v>0</v>
      </c>
      <c r="AN129" s="30">
        <v>12</v>
      </c>
      <c r="AO129" s="30">
        <f>G129*0</f>
        <v>0</v>
      </c>
      <c r="AP129" s="30">
        <f>G129*(1-0)</f>
        <v>0</v>
      </c>
      <c r="AQ129" s="31" t="s">
        <v>77</v>
      </c>
      <c r="AV129" s="30">
        <f t="shared" si="168"/>
        <v>0</v>
      </c>
      <c r="AW129" s="30">
        <f t="shared" si="169"/>
        <v>0</v>
      </c>
      <c r="AX129" s="30">
        <f t="shared" si="170"/>
        <v>0</v>
      </c>
      <c r="AY129" s="31" t="s">
        <v>356</v>
      </c>
      <c r="AZ129" s="31" t="s">
        <v>259</v>
      </c>
      <c r="BA129" s="10" t="s">
        <v>60</v>
      </c>
      <c r="BC129" s="30">
        <f t="shared" si="171"/>
        <v>0</v>
      </c>
      <c r="BD129" s="30">
        <f t="shared" si="172"/>
        <v>0</v>
      </c>
      <c r="BE129" s="30">
        <v>0</v>
      </c>
      <c r="BF129" s="30">
        <f>129</f>
        <v>129</v>
      </c>
      <c r="BH129" s="30">
        <f t="shared" si="173"/>
        <v>0</v>
      </c>
      <c r="BI129" s="30">
        <f t="shared" si="174"/>
        <v>0</v>
      </c>
      <c r="BJ129" s="30">
        <f t="shared" si="175"/>
        <v>0</v>
      </c>
      <c r="BK129" s="30"/>
      <c r="BL129" s="30">
        <v>725</v>
      </c>
      <c r="BW129" s="30">
        <v>12</v>
      </c>
      <c r="BX129" s="4" t="s">
        <v>368</v>
      </c>
    </row>
    <row r="130" spans="1:76" x14ac:dyDescent="0.25">
      <c r="A130" s="32" t="s">
        <v>369</v>
      </c>
      <c r="B130" s="33" t="s">
        <v>370</v>
      </c>
      <c r="C130" s="141" t="s">
        <v>371</v>
      </c>
      <c r="D130" s="142"/>
      <c r="E130" s="33" t="s">
        <v>56</v>
      </c>
      <c r="F130" s="34">
        <v>2</v>
      </c>
      <c r="G130" s="35">
        <v>0</v>
      </c>
      <c r="H130" s="34">
        <f t="shared" si="154"/>
        <v>0</v>
      </c>
      <c r="I130" s="34">
        <f t="shared" si="155"/>
        <v>0</v>
      </c>
      <c r="J130" s="34">
        <f t="shared" si="156"/>
        <v>0</v>
      </c>
      <c r="K130" s="36" t="s">
        <v>57</v>
      </c>
      <c r="Z130" s="30">
        <f t="shared" si="157"/>
        <v>0</v>
      </c>
      <c r="AB130" s="30">
        <f t="shared" si="158"/>
        <v>0</v>
      </c>
      <c r="AC130" s="30">
        <f t="shared" si="159"/>
        <v>0</v>
      </c>
      <c r="AD130" s="30">
        <f t="shared" si="160"/>
        <v>0</v>
      </c>
      <c r="AE130" s="30">
        <f t="shared" si="161"/>
        <v>0</v>
      </c>
      <c r="AF130" s="30">
        <f t="shared" si="162"/>
        <v>0</v>
      </c>
      <c r="AG130" s="30">
        <f t="shared" si="163"/>
        <v>0</v>
      </c>
      <c r="AH130" s="30">
        <f t="shared" si="164"/>
        <v>0</v>
      </c>
      <c r="AI130" s="10" t="s">
        <v>50</v>
      </c>
      <c r="AJ130" s="30">
        <f t="shared" si="165"/>
        <v>0</v>
      </c>
      <c r="AK130" s="30">
        <f t="shared" si="166"/>
        <v>0</v>
      </c>
      <c r="AL130" s="30">
        <f t="shared" si="167"/>
        <v>0</v>
      </c>
      <c r="AN130" s="30">
        <v>12</v>
      </c>
      <c r="AO130" s="30">
        <f>G130*0.8963074</f>
        <v>0</v>
      </c>
      <c r="AP130" s="30">
        <f>G130*(1-0.8963074)</f>
        <v>0</v>
      </c>
      <c r="AQ130" s="31" t="s">
        <v>77</v>
      </c>
      <c r="AV130" s="30">
        <f t="shared" si="168"/>
        <v>0</v>
      </c>
      <c r="AW130" s="30">
        <f t="shared" si="169"/>
        <v>0</v>
      </c>
      <c r="AX130" s="30">
        <f t="shared" si="170"/>
        <v>0</v>
      </c>
      <c r="AY130" s="31" t="s">
        <v>356</v>
      </c>
      <c r="AZ130" s="31" t="s">
        <v>259</v>
      </c>
      <c r="BA130" s="10" t="s">
        <v>60</v>
      </c>
      <c r="BC130" s="30">
        <f t="shared" si="171"/>
        <v>0</v>
      </c>
      <c r="BD130" s="30">
        <f t="shared" si="172"/>
        <v>0</v>
      </c>
      <c r="BE130" s="30">
        <v>0</v>
      </c>
      <c r="BF130" s="30">
        <f>130</f>
        <v>130</v>
      </c>
      <c r="BH130" s="30">
        <f t="shared" si="173"/>
        <v>0</v>
      </c>
      <c r="BI130" s="30">
        <f t="shared" si="174"/>
        <v>0</v>
      </c>
      <c r="BJ130" s="30">
        <f t="shared" si="175"/>
        <v>0</v>
      </c>
      <c r="BK130" s="30"/>
      <c r="BL130" s="30">
        <v>725</v>
      </c>
      <c r="BW130" s="30">
        <v>12</v>
      </c>
      <c r="BX130" s="4" t="s">
        <v>371</v>
      </c>
    </row>
    <row r="131" spans="1:76" ht="13.5" customHeight="1" x14ac:dyDescent="0.25">
      <c r="A131" s="37"/>
      <c r="B131" s="38" t="s">
        <v>84</v>
      </c>
      <c r="C131" s="152" t="s">
        <v>372</v>
      </c>
      <c r="D131" s="153"/>
      <c r="E131" s="153"/>
      <c r="F131" s="153"/>
      <c r="G131" s="154"/>
      <c r="H131" s="153"/>
      <c r="I131" s="153"/>
      <c r="J131" s="153"/>
      <c r="K131" s="155"/>
    </row>
    <row r="132" spans="1:76" x14ac:dyDescent="0.25">
      <c r="A132" s="25" t="s">
        <v>373</v>
      </c>
      <c r="B132" s="26" t="s">
        <v>374</v>
      </c>
      <c r="C132" s="150" t="s">
        <v>375</v>
      </c>
      <c r="D132" s="151"/>
      <c r="E132" s="26" t="s">
        <v>56</v>
      </c>
      <c r="F132" s="27">
        <v>1</v>
      </c>
      <c r="G132" s="28">
        <v>0</v>
      </c>
      <c r="H132" s="27">
        <f t="shared" ref="H132:H156" si="176">F132*AO132</f>
        <v>0</v>
      </c>
      <c r="I132" s="27">
        <f t="shared" ref="I132:I156" si="177">F132*AP132</f>
        <v>0</v>
      </c>
      <c r="J132" s="27">
        <f t="shared" ref="J132:J156" si="178">F132*G132</f>
        <v>0</v>
      </c>
      <c r="K132" s="29" t="s">
        <v>57</v>
      </c>
      <c r="Z132" s="30">
        <f t="shared" ref="Z132:Z156" si="179">IF(AQ132="5",BJ132,0)</f>
        <v>0</v>
      </c>
      <c r="AB132" s="30">
        <f t="shared" ref="AB132:AB156" si="180">IF(AQ132="1",BH132,0)</f>
        <v>0</v>
      </c>
      <c r="AC132" s="30">
        <f t="shared" ref="AC132:AC156" si="181">IF(AQ132="1",BI132,0)</f>
        <v>0</v>
      </c>
      <c r="AD132" s="30">
        <f t="shared" ref="AD132:AD156" si="182">IF(AQ132="7",BH132,0)</f>
        <v>0</v>
      </c>
      <c r="AE132" s="30">
        <f t="shared" ref="AE132:AE156" si="183">IF(AQ132="7",BI132,0)</f>
        <v>0</v>
      </c>
      <c r="AF132" s="30">
        <f t="shared" ref="AF132:AF156" si="184">IF(AQ132="2",BH132,0)</f>
        <v>0</v>
      </c>
      <c r="AG132" s="30">
        <f t="shared" ref="AG132:AG156" si="185">IF(AQ132="2",BI132,0)</f>
        <v>0</v>
      </c>
      <c r="AH132" s="30">
        <f t="shared" ref="AH132:AH156" si="186">IF(AQ132="0",BJ132,0)</f>
        <v>0</v>
      </c>
      <c r="AI132" s="10" t="s">
        <v>50</v>
      </c>
      <c r="AJ132" s="30">
        <f t="shared" ref="AJ132:AJ156" si="187">IF(AN132=0,J132,0)</f>
        <v>0</v>
      </c>
      <c r="AK132" s="30">
        <f t="shared" ref="AK132:AK156" si="188">IF(AN132=12,J132,0)</f>
        <v>0</v>
      </c>
      <c r="AL132" s="30">
        <f t="shared" ref="AL132:AL156" si="189">IF(AN132=21,J132,0)</f>
        <v>0</v>
      </c>
      <c r="AN132" s="30">
        <v>12</v>
      </c>
      <c r="AO132" s="30">
        <f>G132*0.369266667</f>
        <v>0</v>
      </c>
      <c r="AP132" s="30">
        <f>G132*(1-0.369266667)</f>
        <v>0</v>
      </c>
      <c r="AQ132" s="31" t="s">
        <v>77</v>
      </c>
      <c r="AV132" s="30">
        <f t="shared" ref="AV132:AV156" si="190">AW132+AX132</f>
        <v>0</v>
      </c>
      <c r="AW132" s="30">
        <f t="shared" ref="AW132:AW156" si="191">F132*AO132</f>
        <v>0</v>
      </c>
      <c r="AX132" s="30">
        <f t="shared" ref="AX132:AX156" si="192">F132*AP132</f>
        <v>0</v>
      </c>
      <c r="AY132" s="31" t="s">
        <v>356</v>
      </c>
      <c r="AZ132" s="31" t="s">
        <v>259</v>
      </c>
      <c r="BA132" s="10" t="s">
        <v>60</v>
      </c>
      <c r="BC132" s="30">
        <f t="shared" ref="BC132:BC156" si="193">AW132+AX132</f>
        <v>0</v>
      </c>
      <c r="BD132" s="30">
        <f t="shared" ref="BD132:BD156" si="194">G132/(100-BE132)*100</f>
        <v>0</v>
      </c>
      <c r="BE132" s="30">
        <v>0</v>
      </c>
      <c r="BF132" s="30">
        <f>132</f>
        <v>132</v>
      </c>
      <c r="BH132" s="30">
        <f t="shared" ref="BH132:BH156" si="195">F132*AO132</f>
        <v>0</v>
      </c>
      <c r="BI132" s="30">
        <f t="shared" ref="BI132:BI156" si="196">F132*AP132</f>
        <v>0</v>
      </c>
      <c r="BJ132" s="30">
        <f t="shared" ref="BJ132:BJ156" si="197">F132*G132</f>
        <v>0</v>
      </c>
      <c r="BK132" s="30"/>
      <c r="BL132" s="30">
        <v>725</v>
      </c>
      <c r="BW132" s="30">
        <v>12</v>
      </c>
      <c r="BX132" s="4" t="s">
        <v>375</v>
      </c>
    </row>
    <row r="133" spans="1:76" x14ac:dyDescent="0.25">
      <c r="A133" s="32" t="s">
        <v>376</v>
      </c>
      <c r="B133" s="33" t="s">
        <v>377</v>
      </c>
      <c r="C133" s="141" t="s">
        <v>378</v>
      </c>
      <c r="D133" s="142"/>
      <c r="E133" s="33" t="s">
        <v>56</v>
      </c>
      <c r="F133" s="34">
        <v>1</v>
      </c>
      <c r="G133" s="35">
        <v>0</v>
      </c>
      <c r="H133" s="34">
        <f t="shared" si="176"/>
        <v>0</v>
      </c>
      <c r="I133" s="34">
        <f t="shared" si="177"/>
        <v>0</v>
      </c>
      <c r="J133" s="34">
        <f t="shared" si="178"/>
        <v>0</v>
      </c>
      <c r="K133" s="36" t="s">
        <v>57</v>
      </c>
      <c r="Z133" s="30">
        <f t="shared" si="179"/>
        <v>0</v>
      </c>
      <c r="AB133" s="30">
        <f t="shared" si="180"/>
        <v>0</v>
      </c>
      <c r="AC133" s="30">
        <f t="shared" si="181"/>
        <v>0</v>
      </c>
      <c r="AD133" s="30">
        <f t="shared" si="182"/>
        <v>0</v>
      </c>
      <c r="AE133" s="30">
        <f t="shared" si="183"/>
        <v>0</v>
      </c>
      <c r="AF133" s="30">
        <f t="shared" si="184"/>
        <v>0</v>
      </c>
      <c r="AG133" s="30">
        <f t="shared" si="185"/>
        <v>0</v>
      </c>
      <c r="AH133" s="30">
        <f t="shared" si="186"/>
        <v>0</v>
      </c>
      <c r="AI133" s="10" t="s">
        <v>50</v>
      </c>
      <c r="AJ133" s="30">
        <f t="shared" si="187"/>
        <v>0</v>
      </c>
      <c r="AK133" s="30">
        <f t="shared" si="188"/>
        <v>0</v>
      </c>
      <c r="AL133" s="30">
        <f t="shared" si="189"/>
        <v>0</v>
      </c>
      <c r="AN133" s="30">
        <v>12</v>
      </c>
      <c r="AO133" s="30">
        <f>G133*1</f>
        <v>0</v>
      </c>
      <c r="AP133" s="30">
        <f>G133*(1-1)</f>
        <v>0</v>
      </c>
      <c r="AQ133" s="31" t="s">
        <v>77</v>
      </c>
      <c r="AV133" s="30">
        <f t="shared" si="190"/>
        <v>0</v>
      </c>
      <c r="AW133" s="30">
        <f t="shared" si="191"/>
        <v>0</v>
      </c>
      <c r="AX133" s="30">
        <f t="shared" si="192"/>
        <v>0</v>
      </c>
      <c r="AY133" s="31" t="s">
        <v>356</v>
      </c>
      <c r="AZ133" s="31" t="s">
        <v>259</v>
      </c>
      <c r="BA133" s="10" t="s">
        <v>60</v>
      </c>
      <c r="BC133" s="30">
        <f t="shared" si="193"/>
        <v>0</v>
      </c>
      <c r="BD133" s="30">
        <f t="shared" si="194"/>
        <v>0</v>
      </c>
      <c r="BE133" s="30">
        <v>0</v>
      </c>
      <c r="BF133" s="30">
        <f>133</f>
        <v>133</v>
      </c>
      <c r="BH133" s="30">
        <f t="shared" si="195"/>
        <v>0</v>
      </c>
      <c r="BI133" s="30">
        <f t="shared" si="196"/>
        <v>0</v>
      </c>
      <c r="BJ133" s="30">
        <f t="shared" si="197"/>
        <v>0</v>
      </c>
      <c r="BK133" s="30"/>
      <c r="BL133" s="30">
        <v>725</v>
      </c>
      <c r="BW133" s="30">
        <v>12</v>
      </c>
      <c r="BX133" s="4" t="s">
        <v>378</v>
      </c>
    </row>
    <row r="134" spans="1:76" x14ac:dyDescent="0.25">
      <c r="A134" s="32" t="s">
        <v>379</v>
      </c>
      <c r="B134" s="33" t="s">
        <v>380</v>
      </c>
      <c r="C134" s="141" t="s">
        <v>381</v>
      </c>
      <c r="D134" s="142"/>
      <c r="E134" s="33" t="s">
        <v>56</v>
      </c>
      <c r="F134" s="34">
        <v>1</v>
      </c>
      <c r="G134" s="35">
        <v>0</v>
      </c>
      <c r="H134" s="34">
        <f t="shared" si="176"/>
        <v>0</v>
      </c>
      <c r="I134" s="34">
        <f t="shared" si="177"/>
        <v>0</v>
      </c>
      <c r="J134" s="34">
        <f t="shared" si="178"/>
        <v>0</v>
      </c>
      <c r="K134" s="36" t="s">
        <v>57</v>
      </c>
      <c r="Z134" s="30">
        <f t="shared" si="179"/>
        <v>0</v>
      </c>
      <c r="AB134" s="30">
        <f t="shared" si="180"/>
        <v>0</v>
      </c>
      <c r="AC134" s="30">
        <f t="shared" si="181"/>
        <v>0</v>
      </c>
      <c r="AD134" s="30">
        <f t="shared" si="182"/>
        <v>0</v>
      </c>
      <c r="AE134" s="30">
        <f t="shared" si="183"/>
        <v>0</v>
      </c>
      <c r="AF134" s="30">
        <f t="shared" si="184"/>
        <v>0</v>
      </c>
      <c r="AG134" s="30">
        <f t="shared" si="185"/>
        <v>0</v>
      </c>
      <c r="AH134" s="30">
        <f t="shared" si="186"/>
        <v>0</v>
      </c>
      <c r="AI134" s="10" t="s">
        <v>50</v>
      </c>
      <c r="AJ134" s="30">
        <f t="shared" si="187"/>
        <v>0</v>
      </c>
      <c r="AK134" s="30">
        <f t="shared" si="188"/>
        <v>0</v>
      </c>
      <c r="AL134" s="30">
        <f t="shared" si="189"/>
        <v>0</v>
      </c>
      <c r="AN134" s="30">
        <v>12</v>
      </c>
      <c r="AO134" s="30">
        <f>G134*0.868028037</f>
        <v>0</v>
      </c>
      <c r="AP134" s="30">
        <f>G134*(1-0.868028037)</f>
        <v>0</v>
      </c>
      <c r="AQ134" s="31" t="s">
        <v>77</v>
      </c>
      <c r="AV134" s="30">
        <f t="shared" si="190"/>
        <v>0</v>
      </c>
      <c r="AW134" s="30">
        <f t="shared" si="191"/>
        <v>0</v>
      </c>
      <c r="AX134" s="30">
        <f t="shared" si="192"/>
        <v>0</v>
      </c>
      <c r="AY134" s="31" t="s">
        <v>356</v>
      </c>
      <c r="AZ134" s="31" t="s">
        <v>259</v>
      </c>
      <c r="BA134" s="10" t="s">
        <v>60</v>
      </c>
      <c r="BC134" s="30">
        <f t="shared" si="193"/>
        <v>0</v>
      </c>
      <c r="BD134" s="30">
        <f t="shared" si="194"/>
        <v>0</v>
      </c>
      <c r="BE134" s="30">
        <v>0</v>
      </c>
      <c r="BF134" s="30">
        <f>134</f>
        <v>134</v>
      </c>
      <c r="BH134" s="30">
        <f t="shared" si="195"/>
        <v>0</v>
      </c>
      <c r="BI134" s="30">
        <f t="shared" si="196"/>
        <v>0</v>
      </c>
      <c r="BJ134" s="30">
        <f t="shared" si="197"/>
        <v>0</v>
      </c>
      <c r="BK134" s="30"/>
      <c r="BL134" s="30">
        <v>725</v>
      </c>
      <c r="BW134" s="30">
        <v>12</v>
      </c>
      <c r="BX134" s="4" t="s">
        <v>381</v>
      </c>
    </row>
    <row r="135" spans="1:76" x14ac:dyDescent="0.25">
      <c r="A135" s="32" t="s">
        <v>382</v>
      </c>
      <c r="B135" s="33" t="s">
        <v>383</v>
      </c>
      <c r="C135" s="141" t="s">
        <v>384</v>
      </c>
      <c r="D135" s="142"/>
      <c r="E135" s="33" t="s">
        <v>355</v>
      </c>
      <c r="F135" s="34">
        <v>2</v>
      </c>
      <c r="G135" s="35">
        <v>0</v>
      </c>
      <c r="H135" s="34">
        <f t="shared" si="176"/>
        <v>0</v>
      </c>
      <c r="I135" s="34">
        <f t="shared" si="177"/>
        <v>0</v>
      </c>
      <c r="J135" s="34">
        <f t="shared" si="178"/>
        <v>0</v>
      </c>
      <c r="K135" s="36" t="s">
        <v>57</v>
      </c>
      <c r="Z135" s="30">
        <f t="shared" si="179"/>
        <v>0</v>
      </c>
      <c r="AB135" s="30">
        <f t="shared" si="180"/>
        <v>0</v>
      </c>
      <c r="AC135" s="30">
        <f t="shared" si="181"/>
        <v>0</v>
      </c>
      <c r="AD135" s="30">
        <f t="shared" si="182"/>
        <v>0</v>
      </c>
      <c r="AE135" s="30">
        <f t="shared" si="183"/>
        <v>0</v>
      </c>
      <c r="AF135" s="30">
        <f t="shared" si="184"/>
        <v>0</v>
      </c>
      <c r="AG135" s="30">
        <f t="shared" si="185"/>
        <v>0</v>
      </c>
      <c r="AH135" s="30">
        <f t="shared" si="186"/>
        <v>0</v>
      </c>
      <c r="AI135" s="10" t="s">
        <v>50</v>
      </c>
      <c r="AJ135" s="30">
        <f t="shared" si="187"/>
        <v>0</v>
      </c>
      <c r="AK135" s="30">
        <f t="shared" si="188"/>
        <v>0</v>
      </c>
      <c r="AL135" s="30">
        <f t="shared" si="189"/>
        <v>0</v>
      </c>
      <c r="AN135" s="30">
        <v>12</v>
      </c>
      <c r="AO135" s="30">
        <f>G135*0.819014778</f>
        <v>0</v>
      </c>
      <c r="AP135" s="30">
        <f>G135*(1-0.819014778)</f>
        <v>0</v>
      </c>
      <c r="AQ135" s="31" t="s">
        <v>77</v>
      </c>
      <c r="AV135" s="30">
        <f t="shared" si="190"/>
        <v>0</v>
      </c>
      <c r="AW135" s="30">
        <f t="shared" si="191"/>
        <v>0</v>
      </c>
      <c r="AX135" s="30">
        <f t="shared" si="192"/>
        <v>0</v>
      </c>
      <c r="AY135" s="31" t="s">
        <v>356</v>
      </c>
      <c r="AZ135" s="31" t="s">
        <v>259</v>
      </c>
      <c r="BA135" s="10" t="s">
        <v>60</v>
      </c>
      <c r="BC135" s="30">
        <f t="shared" si="193"/>
        <v>0</v>
      </c>
      <c r="BD135" s="30">
        <f t="shared" si="194"/>
        <v>0</v>
      </c>
      <c r="BE135" s="30">
        <v>0</v>
      </c>
      <c r="BF135" s="30">
        <f>135</f>
        <v>135</v>
      </c>
      <c r="BH135" s="30">
        <f t="shared" si="195"/>
        <v>0</v>
      </c>
      <c r="BI135" s="30">
        <f t="shared" si="196"/>
        <v>0</v>
      </c>
      <c r="BJ135" s="30">
        <f t="shared" si="197"/>
        <v>0</v>
      </c>
      <c r="BK135" s="30"/>
      <c r="BL135" s="30">
        <v>725</v>
      </c>
      <c r="BW135" s="30">
        <v>12</v>
      </c>
      <c r="BX135" s="4" t="s">
        <v>384</v>
      </c>
    </row>
    <row r="136" spans="1:76" x14ac:dyDescent="0.25">
      <c r="A136" s="32" t="s">
        <v>385</v>
      </c>
      <c r="B136" s="33" t="s">
        <v>386</v>
      </c>
      <c r="C136" s="141" t="s">
        <v>387</v>
      </c>
      <c r="D136" s="142"/>
      <c r="E136" s="33" t="s">
        <v>355</v>
      </c>
      <c r="F136" s="34">
        <v>2</v>
      </c>
      <c r="G136" s="35">
        <v>0</v>
      </c>
      <c r="H136" s="34">
        <f t="shared" si="176"/>
        <v>0</v>
      </c>
      <c r="I136" s="34">
        <f t="shared" si="177"/>
        <v>0</v>
      </c>
      <c r="J136" s="34">
        <f t="shared" si="178"/>
        <v>0</v>
      </c>
      <c r="K136" s="36" t="s">
        <v>57</v>
      </c>
      <c r="Z136" s="30">
        <f t="shared" si="179"/>
        <v>0</v>
      </c>
      <c r="AB136" s="30">
        <f t="shared" si="180"/>
        <v>0</v>
      </c>
      <c r="AC136" s="30">
        <f t="shared" si="181"/>
        <v>0</v>
      </c>
      <c r="AD136" s="30">
        <f t="shared" si="182"/>
        <v>0</v>
      </c>
      <c r="AE136" s="30">
        <f t="shared" si="183"/>
        <v>0</v>
      </c>
      <c r="AF136" s="30">
        <f t="shared" si="184"/>
        <v>0</v>
      </c>
      <c r="AG136" s="30">
        <f t="shared" si="185"/>
        <v>0</v>
      </c>
      <c r="AH136" s="30">
        <f t="shared" si="186"/>
        <v>0</v>
      </c>
      <c r="AI136" s="10" t="s">
        <v>50</v>
      </c>
      <c r="AJ136" s="30">
        <f t="shared" si="187"/>
        <v>0</v>
      </c>
      <c r="AK136" s="30">
        <f t="shared" si="188"/>
        <v>0</v>
      </c>
      <c r="AL136" s="30">
        <f t="shared" si="189"/>
        <v>0</v>
      </c>
      <c r="AN136" s="30">
        <v>12</v>
      </c>
      <c r="AO136" s="30">
        <f>G136*0.231760176</f>
        <v>0</v>
      </c>
      <c r="AP136" s="30">
        <f>G136*(1-0.231760176)</f>
        <v>0</v>
      </c>
      <c r="AQ136" s="31" t="s">
        <v>77</v>
      </c>
      <c r="AV136" s="30">
        <f t="shared" si="190"/>
        <v>0</v>
      </c>
      <c r="AW136" s="30">
        <f t="shared" si="191"/>
        <v>0</v>
      </c>
      <c r="AX136" s="30">
        <f t="shared" si="192"/>
        <v>0</v>
      </c>
      <c r="AY136" s="31" t="s">
        <v>356</v>
      </c>
      <c r="AZ136" s="31" t="s">
        <v>259</v>
      </c>
      <c r="BA136" s="10" t="s">
        <v>60</v>
      </c>
      <c r="BC136" s="30">
        <f t="shared" si="193"/>
        <v>0</v>
      </c>
      <c r="BD136" s="30">
        <f t="shared" si="194"/>
        <v>0</v>
      </c>
      <c r="BE136" s="30">
        <v>0</v>
      </c>
      <c r="BF136" s="30">
        <f>136</f>
        <v>136</v>
      </c>
      <c r="BH136" s="30">
        <f t="shared" si="195"/>
        <v>0</v>
      </c>
      <c r="BI136" s="30">
        <f t="shared" si="196"/>
        <v>0</v>
      </c>
      <c r="BJ136" s="30">
        <f t="shared" si="197"/>
        <v>0</v>
      </c>
      <c r="BK136" s="30"/>
      <c r="BL136" s="30">
        <v>725</v>
      </c>
      <c r="BW136" s="30">
        <v>12</v>
      </c>
      <c r="BX136" s="4" t="s">
        <v>387</v>
      </c>
    </row>
    <row r="137" spans="1:76" x14ac:dyDescent="0.25">
      <c r="A137" s="32" t="s">
        <v>388</v>
      </c>
      <c r="B137" s="33" t="s">
        <v>389</v>
      </c>
      <c r="C137" s="141" t="s">
        <v>390</v>
      </c>
      <c r="D137" s="142"/>
      <c r="E137" s="33" t="s">
        <v>56</v>
      </c>
      <c r="F137" s="34">
        <v>2</v>
      </c>
      <c r="G137" s="35">
        <v>0</v>
      </c>
      <c r="H137" s="34">
        <f t="shared" si="176"/>
        <v>0</v>
      </c>
      <c r="I137" s="34">
        <f t="shared" si="177"/>
        <v>0</v>
      </c>
      <c r="J137" s="34">
        <f t="shared" si="178"/>
        <v>0</v>
      </c>
      <c r="K137" s="36" t="s">
        <v>57</v>
      </c>
      <c r="Z137" s="30">
        <f t="shared" si="179"/>
        <v>0</v>
      </c>
      <c r="AB137" s="30">
        <f t="shared" si="180"/>
        <v>0</v>
      </c>
      <c r="AC137" s="30">
        <f t="shared" si="181"/>
        <v>0</v>
      </c>
      <c r="AD137" s="30">
        <f t="shared" si="182"/>
        <v>0</v>
      </c>
      <c r="AE137" s="30">
        <f t="shared" si="183"/>
        <v>0</v>
      </c>
      <c r="AF137" s="30">
        <f t="shared" si="184"/>
        <v>0</v>
      </c>
      <c r="AG137" s="30">
        <f t="shared" si="185"/>
        <v>0</v>
      </c>
      <c r="AH137" s="30">
        <f t="shared" si="186"/>
        <v>0</v>
      </c>
      <c r="AI137" s="10" t="s">
        <v>50</v>
      </c>
      <c r="AJ137" s="30">
        <f t="shared" si="187"/>
        <v>0</v>
      </c>
      <c r="AK137" s="30">
        <f t="shared" si="188"/>
        <v>0</v>
      </c>
      <c r="AL137" s="30">
        <f t="shared" si="189"/>
        <v>0</v>
      </c>
      <c r="AN137" s="30">
        <v>12</v>
      </c>
      <c r="AO137" s="30">
        <f>G137*1</f>
        <v>0</v>
      </c>
      <c r="AP137" s="30">
        <f>G137*(1-1)</f>
        <v>0</v>
      </c>
      <c r="AQ137" s="31" t="s">
        <v>77</v>
      </c>
      <c r="AV137" s="30">
        <f t="shared" si="190"/>
        <v>0</v>
      </c>
      <c r="AW137" s="30">
        <f t="shared" si="191"/>
        <v>0</v>
      </c>
      <c r="AX137" s="30">
        <f t="shared" si="192"/>
        <v>0</v>
      </c>
      <c r="AY137" s="31" t="s">
        <v>356</v>
      </c>
      <c r="AZ137" s="31" t="s">
        <v>259</v>
      </c>
      <c r="BA137" s="10" t="s">
        <v>60</v>
      </c>
      <c r="BC137" s="30">
        <f t="shared" si="193"/>
        <v>0</v>
      </c>
      <c r="BD137" s="30">
        <f t="shared" si="194"/>
        <v>0</v>
      </c>
      <c r="BE137" s="30">
        <v>0</v>
      </c>
      <c r="BF137" s="30">
        <f>137</f>
        <v>137</v>
      </c>
      <c r="BH137" s="30">
        <f t="shared" si="195"/>
        <v>0</v>
      </c>
      <c r="BI137" s="30">
        <f t="shared" si="196"/>
        <v>0</v>
      </c>
      <c r="BJ137" s="30">
        <f t="shared" si="197"/>
        <v>0</v>
      </c>
      <c r="BK137" s="30"/>
      <c r="BL137" s="30">
        <v>725</v>
      </c>
      <c r="BW137" s="30">
        <v>12</v>
      </c>
      <c r="BX137" s="4" t="s">
        <v>390</v>
      </c>
    </row>
    <row r="138" spans="1:76" x14ac:dyDescent="0.25">
      <c r="A138" s="32" t="s">
        <v>391</v>
      </c>
      <c r="B138" s="33" t="s">
        <v>392</v>
      </c>
      <c r="C138" s="141" t="s">
        <v>393</v>
      </c>
      <c r="D138" s="142"/>
      <c r="E138" s="33" t="s">
        <v>56</v>
      </c>
      <c r="F138" s="34">
        <v>2</v>
      </c>
      <c r="G138" s="35">
        <v>0</v>
      </c>
      <c r="H138" s="34">
        <f t="shared" si="176"/>
        <v>0</v>
      </c>
      <c r="I138" s="34">
        <f t="shared" si="177"/>
        <v>0</v>
      </c>
      <c r="J138" s="34">
        <f t="shared" si="178"/>
        <v>0</v>
      </c>
      <c r="K138" s="36" t="s">
        <v>57</v>
      </c>
      <c r="Z138" s="30">
        <f t="shared" si="179"/>
        <v>0</v>
      </c>
      <c r="AB138" s="30">
        <f t="shared" si="180"/>
        <v>0</v>
      </c>
      <c r="AC138" s="30">
        <f t="shared" si="181"/>
        <v>0</v>
      </c>
      <c r="AD138" s="30">
        <f t="shared" si="182"/>
        <v>0</v>
      </c>
      <c r="AE138" s="30">
        <f t="shared" si="183"/>
        <v>0</v>
      </c>
      <c r="AF138" s="30">
        <f t="shared" si="184"/>
        <v>0</v>
      </c>
      <c r="AG138" s="30">
        <f t="shared" si="185"/>
        <v>0</v>
      </c>
      <c r="AH138" s="30">
        <f t="shared" si="186"/>
        <v>0</v>
      </c>
      <c r="AI138" s="10" t="s">
        <v>50</v>
      </c>
      <c r="AJ138" s="30">
        <f t="shared" si="187"/>
        <v>0</v>
      </c>
      <c r="AK138" s="30">
        <f t="shared" si="188"/>
        <v>0</v>
      </c>
      <c r="AL138" s="30">
        <f t="shared" si="189"/>
        <v>0</v>
      </c>
      <c r="AN138" s="30">
        <v>12</v>
      </c>
      <c r="AO138" s="30">
        <f>G138*1</f>
        <v>0</v>
      </c>
      <c r="AP138" s="30">
        <f>G138*(1-1)</f>
        <v>0</v>
      </c>
      <c r="AQ138" s="31" t="s">
        <v>77</v>
      </c>
      <c r="AV138" s="30">
        <f t="shared" si="190"/>
        <v>0</v>
      </c>
      <c r="AW138" s="30">
        <f t="shared" si="191"/>
        <v>0</v>
      </c>
      <c r="AX138" s="30">
        <f t="shared" si="192"/>
        <v>0</v>
      </c>
      <c r="AY138" s="31" t="s">
        <v>356</v>
      </c>
      <c r="AZ138" s="31" t="s">
        <v>259</v>
      </c>
      <c r="BA138" s="10" t="s">
        <v>60</v>
      </c>
      <c r="BC138" s="30">
        <f t="shared" si="193"/>
        <v>0</v>
      </c>
      <c r="BD138" s="30">
        <f t="shared" si="194"/>
        <v>0</v>
      </c>
      <c r="BE138" s="30">
        <v>0</v>
      </c>
      <c r="BF138" s="30">
        <f>138</f>
        <v>138</v>
      </c>
      <c r="BH138" s="30">
        <f t="shared" si="195"/>
        <v>0</v>
      </c>
      <c r="BI138" s="30">
        <f t="shared" si="196"/>
        <v>0</v>
      </c>
      <c r="BJ138" s="30">
        <f t="shared" si="197"/>
        <v>0</v>
      </c>
      <c r="BK138" s="30"/>
      <c r="BL138" s="30">
        <v>725</v>
      </c>
      <c r="BW138" s="30">
        <v>12</v>
      </c>
      <c r="BX138" s="4" t="s">
        <v>393</v>
      </c>
    </row>
    <row r="139" spans="1:76" x14ac:dyDescent="0.25">
      <c r="A139" s="32" t="s">
        <v>394</v>
      </c>
      <c r="B139" s="33" t="s">
        <v>395</v>
      </c>
      <c r="C139" s="141" t="s">
        <v>396</v>
      </c>
      <c r="D139" s="142"/>
      <c r="E139" s="33" t="s">
        <v>56</v>
      </c>
      <c r="F139" s="34">
        <v>2</v>
      </c>
      <c r="G139" s="35">
        <v>0</v>
      </c>
      <c r="H139" s="34">
        <f t="shared" si="176"/>
        <v>0</v>
      </c>
      <c r="I139" s="34">
        <f t="shared" si="177"/>
        <v>0</v>
      </c>
      <c r="J139" s="34">
        <f t="shared" si="178"/>
        <v>0</v>
      </c>
      <c r="K139" s="36" t="s">
        <v>57</v>
      </c>
      <c r="Z139" s="30">
        <f t="shared" si="179"/>
        <v>0</v>
      </c>
      <c r="AB139" s="30">
        <f t="shared" si="180"/>
        <v>0</v>
      </c>
      <c r="AC139" s="30">
        <f t="shared" si="181"/>
        <v>0</v>
      </c>
      <c r="AD139" s="30">
        <f t="shared" si="182"/>
        <v>0</v>
      </c>
      <c r="AE139" s="30">
        <f t="shared" si="183"/>
        <v>0</v>
      </c>
      <c r="AF139" s="30">
        <f t="shared" si="184"/>
        <v>0</v>
      </c>
      <c r="AG139" s="30">
        <f t="shared" si="185"/>
        <v>0</v>
      </c>
      <c r="AH139" s="30">
        <f t="shared" si="186"/>
        <v>0</v>
      </c>
      <c r="AI139" s="10" t="s">
        <v>50</v>
      </c>
      <c r="AJ139" s="30">
        <f t="shared" si="187"/>
        <v>0</v>
      </c>
      <c r="AK139" s="30">
        <f t="shared" si="188"/>
        <v>0</v>
      </c>
      <c r="AL139" s="30">
        <f t="shared" si="189"/>
        <v>0</v>
      </c>
      <c r="AN139" s="30">
        <v>12</v>
      </c>
      <c r="AO139" s="30">
        <f>G139*0</f>
        <v>0</v>
      </c>
      <c r="AP139" s="30">
        <f>G139*(1-0)</f>
        <v>0</v>
      </c>
      <c r="AQ139" s="31" t="s">
        <v>77</v>
      </c>
      <c r="AV139" s="30">
        <f t="shared" si="190"/>
        <v>0</v>
      </c>
      <c r="AW139" s="30">
        <f t="shared" si="191"/>
        <v>0</v>
      </c>
      <c r="AX139" s="30">
        <f t="shared" si="192"/>
        <v>0</v>
      </c>
      <c r="AY139" s="31" t="s">
        <v>356</v>
      </c>
      <c r="AZ139" s="31" t="s">
        <v>259</v>
      </c>
      <c r="BA139" s="10" t="s">
        <v>60</v>
      </c>
      <c r="BC139" s="30">
        <f t="shared" si="193"/>
        <v>0</v>
      </c>
      <c r="BD139" s="30">
        <f t="shared" si="194"/>
        <v>0</v>
      </c>
      <c r="BE139" s="30">
        <v>0</v>
      </c>
      <c r="BF139" s="30">
        <f>139</f>
        <v>139</v>
      </c>
      <c r="BH139" s="30">
        <f t="shared" si="195"/>
        <v>0</v>
      </c>
      <c r="BI139" s="30">
        <f t="shared" si="196"/>
        <v>0</v>
      </c>
      <c r="BJ139" s="30">
        <f t="shared" si="197"/>
        <v>0</v>
      </c>
      <c r="BK139" s="30"/>
      <c r="BL139" s="30">
        <v>725</v>
      </c>
      <c r="BW139" s="30">
        <v>12</v>
      </c>
      <c r="BX139" s="4" t="s">
        <v>396</v>
      </c>
    </row>
    <row r="140" spans="1:76" x14ac:dyDescent="0.25">
      <c r="A140" s="32" t="s">
        <v>397</v>
      </c>
      <c r="B140" s="33" t="s">
        <v>398</v>
      </c>
      <c r="C140" s="141" t="s">
        <v>399</v>
      </c>
      <c r="D140" s="142"/>
      <c r="E140" s="33" t="s">
        <v>56</v>
      </c>
      <c r="F140" s="34">
        <v>1</v>
      </c>
      <c r="G140" s="35">
        <v>0</v>
      </c>
      <c r="H140" s="34">
        <f t="shared" si="176"/>
        <v>0</v>
      </c>
      <c r="I140" s="34">
        <f t="shared" si="177"/>
        <v>0</v>
      </c>
      <c r="J140" s="34">
        <f t="shared" si="178"/>
        <v>0</v>
      </c>
      <c r="K140" s="36" t="s">
        <v>116</v>
      </c>
      <c r="Z140" s="30">
        <f t="shared" si="179"/>
        <v>0</v>
      </c>
      <c r="AB140" s="30">
        <f t="shared" si="180"/>
        <v>0</v>
      </c>
      <c r="AC140" s="30">
        <f t="shared" si="181"/>
        <v>0</v>
      </c>
      <c r="AD140" s="30">
        <f t="shared" si="182"/>
        <v>0</v>
      </c>
      <c r="AE140" s="30">
        <f t="shared" si="183"/>
        <v>0</v>
      </c>
      <c r="AF140" s="30">
        <f t="shared" si="184"/>
        <v>0</v>
      </c>
      <c r="AG140" s="30">
        <f t="shared" si="185"/>
        <v>0</v>
      </c>
      <c r="AH140" s="30">
        <f t="shared" si="186"/>
        <v>0</v>
      </c>
      <c r="AI140" s="10" t="s">
        <v>50</v>
      </c>
      <c r="AJ140" s="30">
        <f t="shared" si="187"/>
        <v>0</v>
      </c>
      <c r="AK140" s="30">
        <f t="shared" si="188"/>
        <v>0</v>
      </c>
      <c r="AL140" s="30">
        <f t="shared" si="189"/>
        <v>0</v>
      </c>
      <c r="AN140" s="30">
        <v>12</v>
      </c>
      <c r="AO140" s="30">
        <f>G140*0.056911751</f>
        <v>0</v>
      </c>
      <c r="AP140" s="30">
        <f>G140*(1-0.056911751)</f>
        <v>0</v>
      </c>
      <c r="AQ140" s="31" t="s">
        <v>77</v>
      </c>
      <c r="AV140" s="30">
        <f t="shared" si="190"/>
        <v>0</v>
      </c>
      <c r="AW140" s="30">
        <f t="shared" si="191"/>
        <v>0</v>
      </c>
      <c r="AX140" s="30">
        <f t="shared" si="192"/>
        <v>0</v>
      </c>
      <c r="AY140" s="31" t="s">
        <v>356</v>
      </c>
      <c r="AZ140" s="31" t="s">
        <v>259</v>
      </c>
      <c r="BA140" s="10" t="s">
        <v>60</v>
      </c>
      <c r="BC140" s="30">
        <f t="shared" si="193"/>
        <v>0</v>
      </c>
      <c r="BD140" s="30">
        <f t="shared" si="194"/>
        <v>0</v>
      </c>
      <c r="BE140" s="30">
        <v>0</v>
      </c>
      <c r="BF140" s="30">
        <f>140</f>
        <v>140</v>
      </c>
      <c r="BH140" s="30">
        <f t="shared" si="195"/>
        <v>0</v>
      </c>
      <c r="BI140" s="30">
        <f t="shared" si="196"/>
        <v>0</v>
      </c>
      <c r="BJ140" s="30">
        <f t="shared" si="197"/>
        <v>0</v>
      </c>
      <c r="BK140" s="30"/>
      <c r="BL140" s="30">
        <v>725</v>
      </c>
      <c r="BW140" s="30">
        <v>12</v>
      </c>
      <c r="BX140" s="4" t="s">
        <v>399</v>
      </c>
    </row>
    <row r="141" spans="1:76" x14ac:dyDescent="0.25">
      <c r="A141" s="32" t="s">
        <v>400</v>
      </c>
      <c r="B141" s="33" t="s">
        <v>401</v>
      </c>
      <c r="C141" s="141" t="s">
        <v>402</v>
      </c>
      <c r="D141" s="142"/>
      <c r="E141" s="33" t="s">
        <v>56</v>
      </c>
      <c r="F141" s="34">
        <v>1</v>
      </c>
      <c r="G141" s="35">
        <v>0</v>
      </c>
      <c r="H141" s="34">
        <f t="shared" si="176"/>
        <v>0</v>
      </c>
      <c r="I141" s="34">
        <f t="shared" si="177"/>
        <v>0</v>
      </c>
      <c r="J141" s="34">
        <f t="shared" si="178"/>
        <v>0</v>
      </c>
      <c r="K141" s="36" t="s">
        <v>57</v>
      </c>
      <c r="Z141" s="30">
        <f t="shared" si="179"/>
        <v>0</v>
      </c>
      <c r="AB141" s="30">
        <f t="shared" si="180"/>
        <v>0</v>
      </c>
      <c r="AC141" s="30">
        <f t="shared" si="181"/>
        <v>0</v>
      </c>
      <c r="AD141" s="30">
        <f t="shared" si="182"/>
        <v>0</v>
      </c>
      <c r="AE141" s="30">
        <f t="shared" si="183"/>
        <v>0</v>
      </c>
      <c r="AF141" s="30">
        <f t="shared" si="184"/>
        <v>0</v>
      </c>
      <c r="AG141" s="30">
        <f t="shared" si="185"/>
        <v>0</v>
      </c>
      <c r="AH141" s="30">
        <f t="shared" si="186"/>
        <v>0</v>
      </c>
      <c r="AI141" s="10" t="s">
        <v>50</v>
      </c>
      <c r="AJ141" s="30">
        <f t="shared" si="187"/>
        <v>0</v>
      </c>
      <c r="AK141" s="30">
        <f t="shared" si="188"/>
        <v>0</v>
      </c>
      <c r="AL141" s="30">
        <f t="shared" si="189"/>
        <v>0</v>
      </c>
      <c r="AN141" s="30">
        <v>12</v>
      </c>
      <c r="AO141" s="30">
        <f>G141*1</f>
        <v>0</v>
      </c>
      <c r="AP141" s="30">
        <f>G141*(1-1)</f>
        <v>0</v>
      </c>
      <c r="AQ141" s="31" t="s">
        <v>77</v>
      </c>
      <c r="AV141" s="30">
        <f t="shared" si="190"/>
        <v>0</v>
      </c>
      <c r="AW141" s="30">
        <f t="shared" si="191"/>
        <v>0</v>
      </c>
      <c r="AX141" s="30">
        <f t="shared" si="192"/>
        <v>0</v>
      </c>
      <c r="AY141" s="31" t="s">
        <v>356</v>
      </c>
      <c r="AZ141" s="31" t="s">
        <v>259</v>
      </c>
      <c r="BA141" s="10" t="s">
        <v>60</v>
      </c>
      <c r="BC141" s="30">
        <f t="shared" si="193"/>
        <v>0</v>
      </c>
      <c r="BD141" s="30">
        <f t="shared" si="194"/>
        <v>0</v>
      </c>
      <c r="BE141" s="30">
        <v>0</v>
      </c>
      <c r="BF141" s="30">
        <f>141</f>
        <v>141</v>
      </c>
      <c r="BH141" s="30">
        <f t="shared" si="195"/>
        <v>0</v>
      </c>
      <c r="BI141" s="30">
        <f t="shared" si="196"/>
        <v>0</v>
      </c>
      <c r="BJ141" s="30">
        <f t="shared" si="197"/>
        <v>0</v>
      </c>
      <c r="BK141" s="30"/>
      <c r="BL141" s="30">
        <v>725</v>
      </c>
      <c r="BW141" s="30">
        <v>12</v>
      </c>
      <c r="BX141" s="4" t="s">
        <v>402</v>
      </c>
    </row>
    <row r="142" spans="1:76" x14ac:dyDescent="0.25">
      <c r="A142" s="32" t="s">
        <v>403</v>
      </c>
      <c r="B142" s="33" t="s">
        <v>404</v>
      </c>
      <c r="C142" s="141" t="s">
        <v>405</v>
      </c>
      <c r="D142" s="142"/>
      <c r="E142" s="33" t="s">
        <v>56</v>
      </c>
      <c r="F142" s="34">
        <v>1</v>
      </c>
      <c r="G142" s="35">
        <v>0</v>
      </c>
      <c r="H142" s="34">
        <f t="shared" si="176"/>
        <v>0</v>
      </c>
      <c r="I142" s="34">
        <f t="shared" si="177"/>
        <v>0</v>
      </c>
      <c r="J142" s="34">
        <f t="shared" si="178"/>
        <v>0</v>
      </c>
      <c r="K142" s="36" t="s">
        <v>116</v>
      </c>
      <c r="Z142" s="30">
        <f t="shared" si="179"/>
        <v>0</v>
      </c>
      <c r="AB142" s="30">
        <f t="shared" si="180"/>
        <v>0</v>
      </c>
      <c r="AC142" s="30">
        <f t="shared" si="181"/>
        <v>0</v>
      </c>
      <c r="AD142" s="30">
        <f t="shared" si="182"/>
        <v>0</v>
      </c>
      <c r="AE142" s="30">
        <f t="shared" si="183"/>
        <v>0</v>
      </c>
      <c r="AF142" s="30">
        <f t="shared" si="184"/>
        <v>0</v>
      </c>
      <c r="AG142" s="30">
        <f t="shared" si="185"/>
        <v>0</v>
      </c>
      <c r="AH142" s="30">
        <f t="shared" si="186"/>
        <v>0</v>
      </c>
      <c r="AI142" s="10" t="s">
        <v>50</v>
      </c>
      <c r="AJ142" s="30">
        <f t="shared" si="187"/>
        <v>0</v>
      </c>
      <c r="AK142" s="30">
        <f t="shared" si="188"/>
        <v>0</v>
      </c>
      <c r="AL142" s="30">
        <f t="shared" si="189"/>
        <v>0</v>
      </c>
      <c r="AN142" s="30">
        <v>12</v>
      </c>
      <c r="AO142" s="30">
        <f>G142*0.052032115</f>
        <v>0</v>
      </c>
      <c r="AP142" s="30">
        <f>G142*(1-0.052032115)</f>
        <v>0</v>
      </c>
      <c r="AQ142" s="31" t="s">
        <v>77</v>
      </c>
      <c r="AV142" s="30">
        <f t="shared" si="190"/>
        <v>0</v>
      </c>
      <c r="AW142" s="30">
        <f t="shared" si="191"/>
        <v>0</v>
      </c>
      <c r="AX142" s="30">
        <f t="shared" si="192"/>
        <v>0</v>
      </c>
      <c r="AY142" s="31" t="s">
        <v>356</v>
      </c>
      <c r="AZ142" s="31" t="s">
        <v>259</v>
      </c>
      <c r="BA142" s="10" t="s">
        <v>60</v>
      </c>
      <c r="BC142" s="30">
        <f t="shared" si="193"/>
        <v>0</v>
      </c>
      <c r="BD142" s="30">
        <f t="shared" si="194"/>
        <v>0</v>
      </c>
      <c r="BE142" s="30">
        <v>0</v>
      </c>
      <c r="BF142" s="30">
        <f>142</f>
        <v>142</v>
      </c>
      <c r="BH142" s="30">
        <f t="shared" si="195"/>
        <v>0</v>
      </c>
      <c r="BI142" s="30">
        <f t="shared" si="196"/>
        <v>0</v>
      </c>
      <c r="BJ142" s="30">
        <f t="shared" si="197"/>
        <v>0</v>
      </c>
      <c r="BK142" s="30"/>
      <c r="BL142" s="30">
        <v>725</v>
      </c>
      <c r="BW142" s="30">
        <v>12</v>
      </c>
      <c r="BX142" s="4" t="s">
        <v>405</v>
      </c>
    </row>
    <row r="143" spans="1:76" x14ac:dyDescent="0.25">
      <c r="A143" s="32" t="s">
        <v>406</v>
      </c>
      <c r="B143" s="33" t="s">
        <v>407</v>
      </c>
      <c r="C143" s="141" t="s">
        <v>408</v>
      </c>
      <c r="D143" s="142"/>
      <c r="E143" s="33" t="s">
        <v>56</v>
      </c>
      <c r="F143" s="34">
        <v>1</v>
      </c>
      <c r="G143" s="35">
        <v>0</v>
      </c>
      <c r="H143" s="34">
        <f t="shared" si="176"/>
        <v>0</v>
      </c>
      <c r="I143" s="34">
        <f t="shared" si="177"/>
        <v>0</v>
      </c>
      <c r="J143" s="34">
        <f t="shared" si="178"/>
        <v>0</v>
      </c>
      <c r="K143" s="36" t="s">
        <v>57</v>
      </c>
      <c r="Z143" s="30">
        <f t="shared" si="179"/>
        <v>0</v>
      </c>
      <c r="AB143" s="30">
        <f t="shared" si="180"/>
        <v>0</v>
      </c>
      <c r="AC143" s="30">
        <f t="shared" si="181"/>
        <v>0</v>
      </c>
      <c r="AD143" s="30">
        <f t="shared" si="182"/>
        <v>0</v>
      </c>
      <c r="AE143" s="30">
        <f t="shared" si="183"/>
        <v>0</v>
      </c>
      <c r="AF143" s="30">
        <f t="shared" si="184"/>
        <v>0</v>
      </c>
      <c r="AG143" s="30">
        <f t="shared" si="185"/>
        <v>0</v>
      </c>
      <c r="AH143" s="30">
        <f t="shared" si="186"/>
        <v>0</v>
      </c>
      <c r="AI143" s="10" t="s">
        <v>50</v>
      </c>
      <c r="AJ143" s="30">
        <f t="shared" si="187"/>
        <v>0</v>
      </c>
      <c r="AK143" s="30">
        <f t="shared" si="188"/>
        <v>0</v>
      </c>
      <c r="AL143" s="30">
        <f t="shared" si="189"/>
        <v>0</v>
      </c>
      <c r="AN143" s="30">
        <v>12</v>
      </c>
      <c r="AO143" s="30">
        <f>G143*1</f>
        <v>0</v>
      </c>
      <c r="AP143" s="30">
        <f>G143*(1-1)</f>
        <v>0</v>
      </c>
      <c r="AQ143" s="31" t="s">
        <v>77</v>
      </c>
      <c r="AV143" s="30">
        <f t="shared" si="190"/>
        <v>0</v>
      </c>
      <c r="AW143" s="30">
        <f t="shared" si="191"/>
        <v>0</v>
      </c>
      <c r="AX143" s="30">
        <f t="shared" si="192"/>
        <v>0</v>
      </c>
      <c r="AY143" s="31" t="s">
        <v>356</v>
      </c>
      <c r="AZ143" s="31" t="s">
        <v>259</v>
      </c>
      <c r="BA143" s="10" t="s">
        <v>60</v>
      </c>
      <c r="BC143" s="30">
        <f t="shared" si="193"/>
        <v>0</v>
      </c>
      <c r="BD143" s="30">
        <f t="shared" si="194"/>
        <v>0</v>
      </c>
      <c r="BE143" s="30">
        <v>0</v>
      </c>
      <c r="BF143" s="30">
        <f>143</f>
        <v>143</v>
      </c>
      <c r="BH143" s="30">
        <f t="shared" si="195"/>
        <v>0</v>
      </c>
      <c r="BI143" s="30">
        <f t="shared" si="196"/>
        <v>0</v>
      </c>
      <c r="BJ143" s="30">
        <f t="shared" si="197"/>
        <v>0</v>
      </c>
      <c r="BK143" s="30"/>
      <c r="BL143" s="30">
        <v>725</v>
      </c>
      <c r="BW143" s="30">
        <v>12</v>
      </c>
      <c r="BX143" s="4" t="s">
        <v>408</v>
      </c>
    </row>
    <row r="144" spans="1:76" x14ac:dyDescent="0.25">
      <c r="A144" s="32" t="s">
        <v>409</v>
      </c>
      <c r="B144" s="33" t="s">
        <v>410</v>
      </c>
      <c r="C144" s="141" t="s">
        <v>411</v>
      </c>
      <c r="D144" s="142"/>
      <c r="E144" s="33" t="s">
        <v>56</v>
      </c>
      <c r="F144" s="34">
        <v>2</v>
      </c>
      <c r="G144" s="35">
        <v>0</v>
      </c>
      <c r="H144" s="34">
        <f t="shared" si="176"/>
        <v>0</v>
      </c>
      <c r="I144" s="34">
        <f t="shared" si="177"/>
        <v>0</v>
      </c>
      <c r="J144" s="34">
        <f t="shared" si="178"/>
        <v>0</v>
      </c>
      <c r="K144" s="36" t="s">
        <v>57</v>
      </c>
      <c r="Z144" s="30">
        <f t="shared" si="179"/>
        <v>0</v>
      </c>
      <c r="AB144" s="30">
        <f t="shared" si="180"/>
        <v>0</v>
      </c>
      <c r="AC144" s="30">
        <f t="shared" si="181"/>
        <v>0</v>
      </c>
      <c r="AD144" s="30">
        <f t="shared" si="182"/>
        <v>0</v>
      </c>
      <c r="AE144" s="30">
        <f t="shared" si="183"/>
        <v>0</v>
      </c>
      <c r="AF144" s="30">
        <f t="shared" si="184"/>
        <v>0</v>
      </c>
      <c r="AG144" s="30">
        <f t="shared" si="185"/>
        <v>0</v>
      </c>
      <c r="AH144" s="30">
        <f t="shared" si="186"/>
        <v>0</v>
      </c>
      <c r="AI144" s="10" t="s">
        <v>50</v>
      </c>
      <c r="AJ144" s="30">
        <f t="shared" si="187"/>
        <v>0</v>
      </c>
      <c r="AK144" s="30">
        <f t="shared" si="188"/>
        <v>0</v>
      </c>
      <c r="AL144" s="30">
        <f t="shared" si="189"/>
        <v>0</v>
      </c>
      <c r="AN144" s="30">
        <v>12</v>
      </c>
      <c r="AO144" s="30">
        <f>G144*1</f>
        <v>0</v>
      </c>
      <c r="AP144" s="30">
        <f>G144*(1-1)</f>
        <v>0</v>
      </c>
      <c r="AQ144" s="31" t="s">
        <v>77</v>
      </c>
      <c r="AV144" s="30">
        <f t="shared" si="190"/>
        <v>0</v>
      </c>
      <c r="AW144" s="30">
        <f t="shared" si="191"/>
        <v>0</v>
      </c>
      <c r="AX144" s="30">
        <f t="shared" si="192"/>
        <v>0</v>
      </c>
      <c r="AY144" s="31" t="s">
        <v>356</v>
      </c>
      <c r="AZ144" s="31" t="s">
        <v>259</v>
      </c>
      <c r="BA144" s="10" t="s">
        <v>60</v>
      </c>
      <c r="BC144" s="30">
        <f t="shared" si="193"/>
        <v>0</v>
      </c>
      <c r="BD144" s="30">
        <f t="shared" si="194"/>
        <v>0</v>
      </c>
      <c r="BE144" s="30">
        <v>0</v>
      </c>
      <c r="BF144" s="30">
        <f>144</f>
        <v>144</v>
      </c>
      <c r="BH144" s="30">
        <f t="shared" si="195"/>
        <v>0</v>
      </c>
      <c r="BI144" s="30">
        <f t="shared" si="196"/>
        <v>0</v>
      </c>
      <c r="BJ144" s="30">
        <f t="shared" si="197"/>
        <v>0</v>
      </c>
      <c r="BK144" s="30"/>
      <c r="BL144" s="30">
        <v>725</v>
      </c>
      <c r="BW144" s="30">
        <v>12</v>
      </c>
      <c r="BX144" s="4" t="s">
        <v>411</v>
      </c>
    </row>
    <row r="145" spans="1:76" x14ac:dyDescent="0.25">
      <c r="A145" s="32" t="s">
        <v>412</v>
      </c>
      <c r="B145" s="33" t="s">
        <v>413</v>
      </c>
      <c r="C145" s="141" t="s">
        <v>414</v>
      </c>
      <c r="D145" s="142"/>
      <c r="E145" s="33" t="s">
        <v>56</v>
      </c>
      <c r="F145" s="34">
        <v>2</v>
      </c>
      <c r="G145" s="35">
        <v>0</v>
      </c>
      <c r="H145" s="34">
        <f t="shared" si="176"/>
        <v>0</v>
      </c>
      <c r="I145" s="34">
        <f t="shared" si="177"/>
        <v>0</v>
      </c>
      <c r="J145" s="34">
        <f t="shared" si="178"/>
        <v>0</v>
      </c>
      <c r="K145" s="36" t="s">
        <v>57</v>
      </c>
      <c r="Z145" s="30">
        <f t="shared" si="179"/>
        <v>0</v>
      </c>
      <c r="AB145" s="30">
        <f t="shared" si="180"/>
        <v>0</v>
      </c>
      <c r="AC145" s="30">
        <f t="shared" si="181"/>
        <v>0</v>
      </c>
      <c r="AD145" s="30">
        <f t="shared" si="182"/>
        <v>0</v>
      </c>
      <c r="AE145" s="30">
        <f t="shared" si="183"/>
        <v>0</v>
      </c>
      <c r="AF145" s="30">
        <f t="shared" si="184"/>
        <v>0</v>
      </c>
      <c r="AG145" s="30">
        <f t="shared" si="185"/>
        <v>0</v>
      </c>
      <c r="AH145" s="30">
        <f t="shared" si="186"/>
        <v>0</v>
      </c>
      <c r="AI145" s="10" t="s">
        <v>50</v>
      </c>
      <c r="AJ145" s="30">
        <f t="shared" si="187"/>
        <v>0</v>
      </c>
      <c r="AK145" s="30">
        <f t="shared" si="188"/>
        <v>0</v>
      </c>
      <c r="AL145" s="30">
        <f t="shared" si="189"/>
        <v>0</v>
      </c>
      <c r="AN145" s="30">
        <v>12</v>
      </c>
      <c r="AO145" s="30">
        <f>G145*0.249367089</f>
        <v>0</v>
      </c>
      <c r="AP145" s="30">
        <f>G145*(1-0.249367089)</f>
        <v>0</v>
      </c>
      <c r="AQ145" s="31" t="s">
        <v>77</v>
      </c>
      <c r="AV145" s="30">
        <f t="shared" si="190"/>
        <v>0</v>
      </c>
      <c r="AW145" s="30">
        <f t="shared" si="191"/>
        <v>0</v>
      </c>
      <c r="AX145" s="30">
        <f t="shared" si="192"/>
        <v>0</v>
      </c>
      <c r="AY145" s="31" t="s">
        <v>356</v>
      </c>
      <c r="AZ145" s="31" t="s">
        <v>259</v>
      </c>
      <c r="BA145" s="10" t="s">
        <v>60</v>
      </c>
      <c r="BC145" s="30">
        <f t="shared" si="193"/>
        <v>0</v>
      </c>
      <c r="BD145" s="30">
        <f t="shared" si="194"/>
        <v>0</v>
      </c>
      <c r="BE145" s="30">
        <v>0</v>
      </c>
      <c r="BF145" s="30">
        <f>145</f>
        <v>145</v>
      </c>
      <c r="BH145" s="30">
        <f t="shared" si="195"/>
        <v>0</v>
      </c>
      <c r="BI145" s="30">
        <f t="shared" si="196"/>
        <v>0</v>
      </c>
      <c r="BJ145" s="30">
        <f t="shared" si="197"/>
        <v>0</v>
      </c>
      <c r="BK145" s="30"/>
      <c r="BL145" s="30">
        <v>725</v>
      </c>
      <c r="BW145" s="30">
        <v>12</v>
      </c>
      <c r="BX145" s="4" t="s">
        <v>414</v>
      </c>
    </row>
    <row r="146" spans="1:76" x14ac:dyDescent="0.25">
      <c r="A146" s="32" t="s">
        <v>415</v>
      </c>
      <c r="B146" s="33" t="s">
        <v>416</v>
      </c>
      <c r="C146" s="141" t="s">
        <v>417</v>
      </c>
      <c r="D146" s="142"/>
      <c r="E146" s="33" t="s">
        <v>56</v>
      </c>
      <c r="F146" s="34">
        <v>1</v>
      </c>
      <c r="G146" s="35">
        <v>0</v>
      </c>
      <c r="H146" s="34">
        <f t="shared" si="176"/>
        <v>0</v>
      </c>
      <c r="I146" s="34">
        <f t="shared" si="177"/>
        <v>0</v>
      </c>
      <c r="J146" s="34">
        <f t="shared" si="178"/>
        <v>0</v>
      </c>
      <c r="K146" s="36" t="s">
        <v>57</v>
      </c>
      <c r="Z146" s="30">
        <f t="shared" si="179"/>
        <v>0</v>
      </c>
      <c r="AB146" s="30">
        <f t="shared" si="180"/>
        <v>0</v>
      </c>
      <c r="AC146" s="30">
        <f t="shared" si="181"/>
        <v>0</v>
      </c>
      <c r="AD146" s="30">
        <f t="shared" si="182"/>
        <v>0</v>
      </c>
      <c r="AE146" s="30">
        <f t="shared" si="183"/>
        <v>0</v>
      </c>
      <c r="AF146" s="30">
        <f t="shared" si="184"/>
        <v>0</v>
      </c>
      <c r="AG146" s="30">
        <f t="shared" si="185"/>
        <v>0</v>
      </c>
      <c r="AH146" s="30">
        <f t="shared" si="186"/>
        <v>0</v>
      </c>
      <c r="AI146" s="10" t="s">
        <v>50</v>
      </c>
      <c r="AJ146" s="30">
        <f t="shared" si="187"/>
        <v>0</v>
      </c>
      <c r="AK146" s="30">
        <f t="shared" si="188"/>
        <v>0</v>
      </c>
      <c r="AL146" s="30">
        <f t="shared" si="189"/>
        <v>0</v>
      </c>
      <c r="AN146" s="30">
        <v>12</v>
      </c>
      <c r="AO146" s="30">
        <f>G146*0.266676577</f>
        <v>0</v>
      </c>
      <c r="AP146" s="30">
        <f>G146*(1-0.266676577)</f>
        <v>0</v>
      </c>
      <c r="AQ146" s="31" t="s">
        <v>77</v>
      </c>
      <c r="AV146" s="30">
        <f t="shared" si="190"/>
        <v>0</v>
      </c>
      <c r="AW146" s="30">
        <f t="shared" si="191"/>
        <v>0</v>
      </c>
      <c r="AX146" s="30">
        <f t="shared" si="192"/>
        <v>0</v>
      </c>
      <c r="AY146" s="31" t="s">
        <v>356</v>
      </c>
      <c r="AZ146" s="31" t="s">
        <v>259</v>
      </c>
      <c r="BA146" s="10" t="s">
        <v>60</v>
      </c>
      <c r="BC146" s="30">
        <f t="shared" si="193"/>
        <v>0</v>
      </c>
      <c r="BD146" s="30">
        <f t="shared" si="194"/>
        <v>0</v>
      </c>
      <c r="BE146" s="30">
        <v>0</v>
      </c>
      <c r="BF146" s="30">
        <f>146</f>
        <v>146</v>
      </c>
      <c r="BH146" s="30">
        <f t="shared" si="195"/>
        <v>0</v>
      </c>
      <c r="BI146" s="30">
        <f t="shared" si="196"/>
        <v>0</v>
      </c>
      <c r="BJ146" s="30">
        <f t="shared" si="197"/>
        <v>0</v>
      </c>
      <c r="BK146" s="30"/>
      <c r="BL146" s="30">
        <v>725</v>
      </c>
      <c r="BW146" s="30">
        <v>12</v>
      </c>
      <c r="BX146" s="4" t="s">
        <v>417</v>
      </c>
    </row>
    <row r="147" spans="1:76" x14ac:dyDescent="0.25">
      <c r="A147" s="32" t="s">
        <v>418</v>
      </c>
      <c r="B147" s="33" t="s">
        <v>419</v>
      </c>
      <c r="C147" s="141" t="s">
        <v>420</v>
      </c>
      <c r="D147" s="142"/>
      <c r="E147" s="33" t="s">
        <v>56</v>
      </c>
      <c r="F147" s="34">
        <v>1</v>
      </c>
      <c r="G147" s="35">
        <v>0</v>
      </c>
      <c r="H147" s="34">
        <f t="shared" si="176"/>
        <v>0</v>
      </c>
      <c r="I147" s="34">
        <f t="shared" si="177"/>
        <v>0</v>
      </c>
      <c r="J147" s="34">
        <f t="shared" si="178"/>
        <v>0</v>
      </c>
      <c r="K147" s="36" t="s">
        <v>57</v>
      </c>
      <c r="Z147" s="30">
        <f t="shared" si="179"/>
        <v>0</v>
      </c>
      <c r="AB147" s="30">
        <f t="shared" si="180"/>
        <v>0</v>
      </c>
      <c r="AC147" s="30">
        <f t="shared" si="181"/>
        <v>0</v>
      </c>
      <c r="AD147" s="30">
        <f t="shared" si="182"/>
        <v>0</v>
      </c>
      <c r="AE147" s="30">
        <f t="shared" si="183"/>
        <v>0</v>
      </c>
      <c r="AF147" s="30">
        <f t="shared" si="184"/>
        <v>0</v>
      </c>
      <c r="AG147" s="30">
        <f t="shared" si="185"/>
        <v>0</v>
      </c>
      <c r="AH147" s="30">
        <f t="shared" si="186"/>
        <v>0</v>
      </c>
      <c r="AI147" s="10" t="s">
        <v>50</v>
      </c>
      <c r="AJ147" s="30">
        <f t="shared" si="187"/>
        <v>0</v>
      </c>
      <c r="AK147" s="30">
        <f t="shared" si="188"/>
        <v>0</v>
      </c>
      <c r="AL147" s="30">
        <f t="shared" si="189"/>
        <v>0</v>
      </c>
      <c r="AN147" s="30">
        <v>12</v>
      </c>
      <c r="AO147" s="30">
        <f>G147*0.643144348</f>
        <v>0</v>
      </c>
      <c r="AP147" s="30">
        <f>G147*(1-0.643144348)</f>
        <v>0</v>
      </c>
      <c r="AQ147" s="31" t="s">
        <v>77</v>
      </c>
      <c r="AV147" s="30">
        <f t="shared" si="190"/>
        <v>0</v>
      </c>
      <c r="AW147" s="30">
        <f t="shared" si="191"/>
        <v>0</v>
      </c>
      <c r="AX147" s="30">
        <f t="shared" si="192"/>
        <v>0</v>
      </c>
      <c r="AY147" s="31" t="s">
        <v>356</v>
      </c>
      <c r="AZ147" s="31" t="s">
        <v>259</v>
      </c>
      <c r="BA147" s="10" t="s">
        <v>60</v>
      </c>
      <c r="BC147" s="30">
        <f t="shared" si="193"/>
        <v>0</v>
      </c>
      <c r="BD147" s="30">
        <f t="shared" si="194"/>
        <v>0</v>
      </c>
      <c r="BE147" s="30">
        <v>0</v>
      </c>
      <c r="BF147" s="30">
        <f>147</f>
        <v>147</v>
      </c>
      <c r="BH147" s="30">
        <f t="shared" si="195"/>
        <v>0</v>
      </c>
      <c r="BI147" s="30">
        <f t="shared" si="196"/>
        <v>0</v>
      </c>
      <c r="BJ147" s="30">
        <f t="shared" si="197"/>
        <v>0</v>
      </c>
      <c r="BK147" s="30"/>
      <c r="BL147" s="30">
        <v>725</v>
      </c>
      <c r="BW147" s="30">
        <v>12</v>
      </c>
      <c r="BX147" s="4" t="s">
        <v>420</v>
      </c>
    </row>
    <row r="148" spans="1:76" x14ac:dyDescent="0.25">
      <c r="A148" s="32" t="s">
        <v>421</v>
      </c>
      <c r="B148" s="33" t="s">
        <v>422</v>
      </c>
      <c r="C148" s="141" t="s">
        <v>423</v>
      </c>
      <c r="D148" s="142"/>
      <c r="E148" s="33" t="s">
        <v>355</v>
      </c>
      <c r="F148" s="34">
        <v>1</v>
      </c>
      <c r="G148" s="35">
        <v>0</v>
      </c>
      <c r="H148" s="34">
        <f t="shared" si="176"/>
        <v>0</v>
      </c>
      <c r="I148" s="34">
        <f t="shared" si="177"/>
        <v>0</v>
      </c>
      <c r="J148" s="34">
        <f t="shared" si="178"/>
        <v>0</v>
      </c>
      <c r="K148" s="36" t="s">
        <v>57</v>
      </c>
      <c r="Z148" s="30">
        <f t="shared" si="179"/>
        <v>0</v>
      </c>
      <c r="AB148" s="30">
        <f t="shared" si="180"/>
        <v>0</v>
      </c>
      <c r="AC148" s="30">
        <f t="shared" si="181"/>
        <v>0</v>
      </c>
      <c r="AD148" s="30">
        <f t="shared" si="182"/>
        <v>0</v>
      </c>
      <c r="AE148" s="30">
        <f t="shared" si="183"/>
        <v>0</v>
      </c>
      <c r="AF148" s="30">
        <f t="shared" si="184"/>
        <v>0</v>
      </c>
      <c r="AG148" s="30">
        <f t="shared" si="185"/>
        <v>0</v>
      </c>
      <c r="AH148" s="30">
        <f t="shared" si="186"/>
        <v>0</v>
      </c>
      <c r="AI148" s="10" t="s">
        <v>50</v>
      </c>
      <c r="AJ148" s="30">
        <f t="shared" si="187"/>
        <v>0</v>
      </c>
      <c r="AK148" s="30">
        <f t="shared" si="188"/>
        <v>0</v>
      </c>
      <c r="AL148" s="30">
        <f t="shared" si="189"/>
        <v>0</v>
      </c>
      <c r="AN148" s="30">
        <v>12</v>
      </c>
      <c r="AO148" s="30">
        <f>G148*0.699327122</f>
        <v>0</v>
      </c>
      <c r="AP148" s="30">
        <f>G148*(1-0.699327122)</f>
        <v>0</v>
      </c>
      <c r="AQ148" s="31" t="s">
        <v>77</v>
      </c>
      <c r="AV148" s="30">
        <f t="shared" si="190"/>
        <v>0</v>
      </c>
      <c r="AW148" s="30">
        <f t="shared" si="191"/>
        <v>0</v>
      </c>
      <c r="AX148" s="30">
        <f t="shared" si="192"/>
        <v>0</v>
      </c>
      <c r="AY148" s="31" t="s">
        <v>356</v>
      </c>
      <c r="AZ148" s="31" t="s">
        <v>259</v>
      </c>
      <c r="BA148" s="10" t="s">
        <v>60</v>
      </c>
      <c r="BC148" s="30">
        <f t="shared" si="193"/>
        <v>0</v>
      </c>
      <c r="BD148" s="30">
        <f t="shared" si="194"/>
        <v>0</v>
      </c>
      <c r="BE148" s="30">
        <v>0</v>
      </c>
      <c r="BF148" s="30">
        <f>148</f>
        <v>148</v>
      </c>
      <c r="BH148" s="30">
        <f t="shared" si="195"/>
        <v>0</v>
      </c>
      <c r="BI148" s="30">
        <f t="shared" si="196"/>
        <v>0</v>
      </c>
      <c r="BJ148" s="30">
        <f t="shared" si="197"/>
        <v>0</v>
      </c>
      <c r="BK148" s="30"/>
      <c r="BL148" s="30">
        <v>725</v>
      </c>
      <c r="BW148" s="30">
        <v>12</v>
      </c>
      <c r="BX148" s="4" t="s">
        <v>423</v>
      </c>
    </row>
    <row r="149" spans="1:76" x14ac:dyDescent="0.25">
      <c r="A149" s="32" t="s">
        <v>424</v>
      </c>
      <c r="B149" s="33" t="s">
        <v>425</v>
      </c>
      <c r="C149" s="141" t="s">
        <v>426</v>
      </c>
      <c r="D149" s="142"/>
      <c r="E149" s="33" t="s">
        <v>56</v>
      </c>
      <c r="F149" s="34">
        <v>1</v>
      </c>
      <c r="G149" s="35">
        <v>0</v>
      </c>
      <c r="H149" s="34">
        <f t="shared" si="176"/>
        <v>0</v>
      </c>
      <c r="I149" s="34">
        <f t="shared" si="177"/>
        <v>0</v>
      </c>
      <c r="J149" s="34">
        <f t="shared" si="178"/>
        <v>0</v>
      </c>
      <c r="K149" s="36" t="s">
        <v>57</v>
      </c>
      <c r="Z149" s="30">
        <f t="shared" si="179"/>
        <v>0</v>
      </c>
      <c r="AB149" s="30">
        <f t="shared" si="180"/>
        <v>0</v>
      </c>
      <c r="AC149" s="30">
        <f t="shared" si="181"/>
        <v>0</v>
      </c>
      <c r="AD149" s="30">
        <f t="shared" si="182"/>
        <v>0</v>
      </c>
      <c r="AE149" s="30">
        <f t="shared" si="183"/>
        <v>0</v>
      </c>
      <c r="AF149" s="30">
        <f t="shared" si="184"/>
        <v>0</v>
      </c>
      <c r="AG149" s="30">
        <f t="shared" si="185"/>
        <v>0</v>
      </c>
      <c r="AH149" s="30">
        <f t="shared" si="186"/>
        <v>0</v>
      </c>
      <c r="AI149" s="10" t="s">
        <v>50</v>
      </c>
      <c r="AJ149" s="30">
        <f t="shared" si="187"/>
        <v>0</v>
      </c>
      <c r="AK149" s="30">
        <f t="shared" si="188"/>
        <v>0</v>
      </c>
      <c r="AL149" s="30">
        <f t="shared" si="189"/>
        <v>0</v>
      </c>
      <c r="AN149" s="30">
        <v>12</v>
      </c>
      <c r="AO149" s="30">
        <f>G149*0.751390845</f>
        <v>0</v>
      </c>
      <c r="AP149" s="30">
        <f>G149*(1-0.751390845)</f>
        <v>0</v>
      </c>
      <c r="AQ149" s="31" t="s">
        <v>77</v>
      </c>
      <c r="AV149" s="30">
        <f t="shared" si="190"/>
        <v>0</v>
      </c>
      <c r="AW149" s="30">
        <f t="shared" si="191"/>
        <v>0</v>
      </c>
      <c r="AX149" s="30">
        <f t="shared" si="192"/>
        <v>0</v>
      </c>
      <c r="AY149" s="31" t="s">
        <v>356</v>
      </c>
      <c r="AZ149" s="31" t="s">
        <v>259</v>
      </c>
      <c r="BA149" s="10" t="s">
        <v>60</v>
      </c>
      <c r="BC149" s="30">
        <f t="shared" si="193"/>
        <v>0</v>
      </c>
      <c r="BD149" s="30">
        <f t="shared" si="194"/>
        <v>0</v>
      </c>
      <c r="BE149" s="30">
        <v>0</v>
      </c>
      <c r="BF149" s="30">
        <f>149</f>
        <v>149</v>
      </c>
      <c r="BH149" s="30">
        <f t="shared" si="195"/>
        <v>0</v>
      </c>
      <c r="BI149" s="30">
        <f t="shared" si="196"/>
        <v>0</v>
      </c>
      <c r="BJ149" s="30">
        <f t="shared" si="197"/>
        <v>0</v>
      </c>
      <c r="BK149" s="30"/>
      <c r="BL149" s="30">
        <v>725</v>
      </c>
      <c r="BW149" s="30">
        <v>12</v>
      </c>
      <c r="BX149" s="4" t="s">
        <v>426</v>
      </c>
    </row>
    <row r="150" spans="1:76" x14ac:dyDescent="0.25">
      <c r="A150" s="32" t="s">
        <v>427</v>
      </c>
      <c r="B150" s="33" t="s">
        <v>428</v>
      </c>
      <c r="C150" s="141" t="s">
        <v>429</v>
      </c>
      <c r="D150" s="142"/>
      <c r="E150" s="33" t="s">
        <v>56</v>
      </c>
      <c r="F150" s="34">
        <v>1</v>
      </c>
      <c r="G150" s="35">
        <v>0</v>
      </c>
      <c r="H150" s="34">
        <f t="shared" si="176"/>
        <v>0</v>
      </c>
      <c r="I150" s="34">
        <f t="shared" si="177"/>
        <v>0</v>
      </c>
      <c r="J150" s="34">
        <f t="shared" si="178"/>
        <v>0</v>
      </c>
      <c r="K150" s="36" t="s">
        <v>57</v>
      </c>
      <c r="Z150" s="30">
        <f t="shared" si="179"/>
        <v>0</v>
      </c>
      <c r="AB150" s="30">
        <f t="shared" si="180"/>
        <v>0</v>
      </c>
      <c r="AC150" s="30">
        <f t="shared" si="181"/>
        <v>0</v>
      </c>
      <c r="AD150" s="30">
        <f t="shared" si="182"/>
        <v>0</v>
      </c>
      <c r="AE150" s="30">
        <f t="shared" si="183"/>
        <v>0</v>
      </c>
      <c r="AF150" s="30">
        <f t="shared" si="184"/>
        <v>0</v>
      </c>
      <c r="AG150" s="30">
        <f t="shared" si="185"/>
        <v>0</v>
      </c>
      <c r="AH150" s="30">
        <f t="shared" si="186"/>
        <v>0</v>
      </c>
      <c r="AI150" s="10" t="s">
        <v>50</v>
      </c>
      <c r="AJ150" s="30">
        <f t="shared" si="187"/>
        <v>0</v>
      </c>
      <c r="AK150" s="30">
        <f t="shared" si="188"/>
        <v>0</v>
      </c>
      <c r="AL150" s="30">
        <f t="shared" si="189"/>
        <v>0</v>
      </c>
      <c r="AN150" s="30">
        <v>12</v>
      </c>
      <c r="AO150" s="30">
        <f>G150*1</f>
        <v>0</v>
      </c>
      <c r="AP150" s="30">
        <f>G150*(1-1)</f>
        <v>0</v>
      </c>
      <c r="AQ150" s="31" t="s">
        <v>77</v>
      </c>
      <c r="AV150" s="30">
        <f t="shared" si="190"/>
        <v>0</v>
      </c>
      <c r="AW150" s="30">
        <f t="shared" si="191"/>
        <v>0</v>
      </c>
      <c r="AX150" s="30">
        <f t="shared" si="192"/>
        <v>0</v>
      </c>
      <c r="AY150" s="31" t="s">
        <v>356</v>
      </c>
      <c r="AZ150" s="31" t="s">
        <v>259</v>
      </c>
      <c r="BA150" s="10" t="s">
        <v>60</v>
      </c>
      <c r="BC150" s="30">
        <f t="shared" si="193"/>
        <v>0</v>
      </c>
      <c r="BD150" s="30">
        <f t="shared" si="194"/>
        <v>0</v>
      </c>
      <c r="BE150" s="30">
        <v>0</v>
      </c>
      <c r="BF150" s="30">
        <f>150</f>
        <v>150</v>
      </c>
      <c r="BH150" s="30">
        <f t="shared" si="195"/>
        <v>0</v>
      </c>
      <c r="BI150" s="30">
        <f t="shared" si="196"/>
        <v>0</v>
      </c>
      <c r="BJ150" s="30">
        <f t="shared" si="197"/>
        <v>0</v>
      </c>
      <c r="BK150" s="30"/>
      <c r="BL150" s="30">
        <v>725</v>
      </c>
      <c r="BW150" s="30">
        <v>12</v>
      </c>
      <c r="BX150" s="4" t="s">
        <v>429</v>
      </c>
    </row>
    <row r="151" spans="1:76" x14ac:dyDescent="0.25">
      <c r="A151" s="32" t="s">
        <v>430</v>
      </c>
      <c r="B151" s="33" t="s">
        <v>431</v>
      </c>
      <c r="C151" s="141" t="s">
        <v>432</v>
      </c>
      <c r="D151" s="142"/>
      <c r="E151" s="33" t="s">
        <v>355</v>
      </c>
      <c r="F151" s="34">
        <v>1</v>
      </c>
      <c r="G151" s="35">
        <v>0</v>
      </c>
      <c r="H151" s="34">
        <f t="shared" si="176"/>
        <v>0</v>
      </c>
      <c r="I151" s="34">
        <f t="shared" si="177"/>
        <v>0</v>
      </c>
      <c r="J151" s="34">
        <f t="shared" si="178"/>
        <v>0</v>
      </c>
      <c r="K151" s="36" t="s">
        <v>57</v>
      </c>
      <c r="Z151" s="30">
        <f t="shared" si="179"/>
        <v>0</v>
      </c>
      <c r="AB151" s="30">
        <f t="shared" si="180"/>
        <v>0</v>
      </c>
      <c r="AC151" s="30">
        <f t="shared" si="181"/>
        <v>0</v>
      </c>
      <c r="AD151" s="30">
        <f t="shared" si="182"/>
        <v>0</v>
      </c>
      <c r="AE151" s="30">
        <f t="shared" si="183"/>
        <v>0</v>
      </c>
      <c r="AF151" s="30">
        <f t="shared" si="184"/>
        <v>0</v>
      </c>
      <c r="AG151" s="30">
        <f t="shared" si="185"/>
        <v>0</v>
      </c>
      <c r="AH151" s="30">
        <f t="shared" si="186"/>
        <v>0</v>
      </c>
      <c r="AI151" s="10" t="s">
        <v>50</v>
      </c>
      <c r="AJ151" s="30">
        <f t="shared" si="187"/>
        <v>0</v>
      </c>
      <c r="AK151" s="30">
        <f t="shared" si="188"/>
        <v>0</v>
      </c>
      <c r="AL151" s="30">
        <f t="shared" si="189"/>
        <v>0</v>
      </c>
      <c r="AN151" s="30">
        <v>12</v>
      </c>
      <c r="AO151" s="30">
        <f>G151*0.658377356</f>
        <v>0</v>
      </c>
      <c r="AP151" s="30">
        <f>G151*(1-0.658377356)</f>
        <v>0</v>
      </c>
      <c r="AQ151" s="31" t="s">
        <v>77</v>
      </c>
      <c r="AV151" s="30">
        <f t="shared" si="190"/>
        <v>0</v>
      </c>
      <c r="AW151" s="30">
        <f t="shared" si="191"/>
        <v>0</v>
      </c>
      <c r="AX151" s="30">
        <f t="shared" si="192"/>
        <v>0</v>
      </c>
      <c r="AY151" s="31" t="s">
        <v>356</v>
      </c>
      <c r="AZ151" s="31" t="s">
        <v>259</v>
      </c>
      <c r="BA151" s="10" t="s">
        <v>60</v>
      </c>
      <c r="BC151" s="30">
        <f t="shared" si="193"/>
        <v>0</v>
      </c>
      <c r="BD151" s="30">
        <f t="shared" si="194"/>
        <v>0</v>
      </c>
      <c r="BE151" s="30">
        <v>0</v>
      </c>
      <c r="BF151" s="30">
        <f>151</f>
        <v>151</v>
      </c>
      <c r="BH151" s="30">
        <f t="shared" si="195"/>
        <v>0</v>
      </c>
      <c r="BI151" s="30">
        <f t="shared" si="196"/>
        <v>0</v>
      </c>
      <c r="BJ151" s="30">
        <f t="shared" si="197"/>
        <v>0</v>
      </c>
      <c r="BK151" s="30"/>
      <c r="BL151" s="30">
        <v>725</v>
      </c>
      <c r="BW151" s="30">
        <v>12</v>
      </c>
      <c r="BX151" s="4" t="s">
        <v>432</v>
      </c>
    </row>
    <row r="152" spans="1:76" x14ac:dyDescent="0.25">
      <c r="A152" s="32" t="s">
        <v>433</v>
      </c>
      <c r="B152" s="33" t="s">
        <v>434</v>
      </c>
      <c r="C152" s="141" t="s">
        <v>435</v>
      </c>
      <c r="D152" s="142"/>
      <c r="E152" s="33" t="s">
        <v>64</v>
      </c>
      <c r="F152" s="34">
        <v>1</v>
      </c>
      <c r="G152" s="35">
        <v>0</v>
      </c>
      <c r="H152" s="34">
        <f t="shared" si="176"/>
        <v>0</v>
      </c>
      <c r="I152" s="34">
        <f t="shared" si="177"/>
        <v>0</v>
      </c>
      <c r="J152" s="34">
        <f t="shared" si="178"/>
        <v>0</v>
      </c>
      <c r="K152" s="36" t="s">
        <v>57</v>
      </c>
      <c r="Z152" s="30">
        <f t="shared" si="179"/>
        <v>0</v>
      </c>
      <c r="AB152" s="30">
        <f t="shared" si="180"/>
        <v>0</v>
      </c>
      <c r="AC152" s="30">
        <f t="shared" si="181"/>
        <v>0</v>
      </c>
      <c r="AD152" s="30">
        <f t="shared" si="182"/>
        <v>0</v>
      </c>
      <c r="AE152" s="30">
        <f t="shared" si="183"/>
        <v>0</v>
      </c>
      <c r="AF152" s="30">
        <f t="shared" si="184"/>
        <v>0</v>
      </c>
      <c r="AG152" s="30">
        <f t="shared" si="185"/>
        <v>0</v>
      </c>
      <c r="AH152" s="30">
        <f t="shared" si="186"/>
        <v>0</v>
      </c>
      <c r="AI152" s="10" t="s">
        <v>50</v>
      </c>
      <c r="AJ152" s="30">
        <f t="shared" si="187"/>
        <v>0</v>
      </c>
      <c r="AK152" s="30">
        <f t="shared" si="188"/>
        <v>0</v>
      </c>
      <c r="AL152" s="30">
        <f t="shared" si="189"/>
        <v>0</v>
      </c>
      <c r="AN152" s="30">
        <v>12</v>
      </c>
      <c r="AO152" s="30">
        <f>G152*0.006680912</f>
        <v>0</v>
      </c>
      <c r="AP152" s="30">
        <f>G152*(1-0.006680912)</f>
        <v>0</v>
      </c>
      <c r="AQ152" s="31" t="s">
        <v>77</v>
      </c>
      <c r="AV152" s="30">
        <f t="shared" si="190"/>
        <v>0</v>
      </c>
      <c r="AW152" s="30">
        <f t="shared" si="191"/>
        <v>0</v>
      </c>
      <c r="AX152" s="30">
        <f t="shared" si="192"/>
        <v>0</v>
      </c>
      <c r="AY152" s="31" t="s">
        <v>356</v>
      </c>
      <c r="AZ152" s="31" t="s">
        <v>259</v>
      </c>
      <c r="BA152" s="10" t="s">
        <v>60</v>
      </c>
      <c r="BC152" s="30">
        <f t="shared" si="193"/>
        <v>0</v>
      </c>
      <c r="BD152" s="30">
        <f t="shared" si="194"/>
        <v>0</v>
      </c>
      <c r="BE152" s="30">
        <v>0</v>
      </c>
      <c r="BF152" s="30">
        <f>152</f>
        <v>152</v>
      </c>
      <c r="BH152" s="30">
        <f t="shared" si="195"/>
        <v>0</v>
      </c>
      <c r="BI152" s="30">
        <f t="shared" si="196"/>
        <v>0</v>
      </c>
      <c r="BJ152" s="30">
        <f t="shared" si="197"/>
        <v>0</v>
      </c>
      <c r="BK152" s="30"/>
      <c r="BL152" s="30">
        <v>725</v>
      </c>
      <c r="BW152" s="30">
        <v>12</v>
      </c>
      <c r="BX152" s="4" t="s">
        <v>435</v>
      </c>
    </row>
    <row r="153" spans="1:76" x14ac:dyDescent="0.25">
      <c r="A153" s="32" t="s">
        <v>436</v>
      </c>
      <c r="B153" s="33" t="s">
        <v>437</v>
      </c>
      <c r="C153" s="141" t="s">
        <v>438</v>
      </c>
      <c r="D153" s="142"/>
      <c r="E153" s="33" t="s">
        <v>56</v>
      </c>
      <c r="F153" s="34">
        <v>2</v>
      </c>
      <c r="G153" s="35">
        <v>0</v>
      </c>
      <c r="H153" s="34">
        <f t="shared" si="176"/>
        <v>0</v>
      </c>
      <c r="I153" s="34">
        <f t="shared" si="177"/>
        <v>0</v>
      </c>
      <c r="J153" s="34">
        <f t="shared" si="178"/>
        <v>0</v>
      </c>
      <c r="K153" s="36" t="s">
        <v>57</v>
      </c>
      <c r="Z153" s="30">
        <f t="shared" si="179"/>
        <v>0</v>
      </c>
      <c r="AB153" s="30">
        <f t="shared" si="180"/>
        <v>0</v>
      </c>
      <c r="AC153" s="30">
        <f t="shared" si="181"/>
        <v>0</v>
      </c>
      <c r="AD153" s="30">
        <f t="shared" si="182"/>
        <v>0</v>
      </c>
      <c r="AE153" s="30">
        <f t="shared" si="183"/>
        <v>0</v>
      </c>
      <c r="AF153" s="30">
        <f t="shared" si="184"/>
        <v>0</v>
      </c>
      <c r="AG153" s="30">
        <f t="shared" si="185"/>
        <v>0</v>
      </c>
      <c r="AH153" s="30">
        <f t="shared" si="186"/>
        <v>0</v>
      </c>
      <c r="AI153" s="10" t="s">
        <v>50</v>
      </c>
      <c r="AJ153" s="30">
        <f t="shared" si="187"/>
        <v>0</v>
      </c>
      <c r="AK153" s="30">
        <f t="shared" si="188"/>
        <v>0</v>
      </c>
      <c r="AL153" s="30">
        <f t="shared" si="189"/>
        <v>0</v>
      </c>
      <c r="AN153" s="30">
        <v>12</v>
      </c>
      <c r="AO153" s="30">
        <f>G153*0.018457576</f>
        <v>0</v>
      </c>
      <c r="AP153" s="30">
        <f>G153*(1-0.018457576)</f>
        <v>0</v>
      </c>
      <c r="AQ153" s="31" t="s">
        <v>77</v>
      </c>
      <c r="AV153" s="30">
        <f t="shared" si="190"/>
        <v>0</v>
      </c>
      <c r="AW153" s="30">
        <f t="shared" si="191"/>
        <v>0</v>
      </c>
      <c r="AX153" s="30">
        <f t="shared" si="192"/>
        <v>0</v>
      </c>
      <c r="AY153" s="31" t="s">
        <v>356</v>
      </c>
      <c r="AZ153" s="31" t="s">
        <v>259</v>
      </c>
      <c r="BA153" s="10" t="s">
        <v>60</v>
      </c>
      <c r="BC153" s="30">
        <f t="shared" si="193"/>
        <v>0</v>
      </c>
      <c r="BD153" s="30">
        <f t="shared" si="194"/>
        <v>0</v>
      </c>
      <c r="BE153" s="30">
        <v>0</v>
      </c>
      <c r="BF153" s="30">
        <f>153</f>
        <v>153</v>
      </c>
      <c r="BH153" s="30">
        <f t="shared" si="195"/>
        <v>0</v>
      </c>
      <c r="BI153" s="30">
        <f t="shared" si="196"/>
        <v>0</v>
      </c>
      <c r="BJ153" s="30">
        <f t="shared" si="197"/>
        <v>0</v>
      </c>
      <c r="BK153" s="30"/>
      <c r="BL153" s="30">
        <v>725</v>
      </c>
      <c r="BW153" s="30">
        <v>12</v>
      </c>
      <c r="BX153" s="4" t="s">
        <v>438</v>
      </c>
    </row>
    <row r="154" spans="1:76" x14ac:dyDescent="0.25">
      <c r="A154" s="32" t="s">
        <v>439</v>
      </c>
      <c r="B154" s="33" t="s">
        <v>440</v>
      </c>
      <c r="C154" s="141" t="s">
        <v>441</v>
      </c>
      <c r="D154" s="142"/>
      <c r="E154" s="33" t="s">
        <v>56</v>
      </c>
      <c r="F154" s="34">
        <v>1</v>
      </c>
      <c r="G154" s="35">
        <v>0</v>
      </c>
      <c r="H154" s="34">
        <f t="shared" si="176"/>
        <v>0</v>
      </c>
      <c r="I154" s="34">
        <f t="shared" si="177"/>
        <v>0</v>
      </c>
      <c r="J154" s="34">
        <f t="shared" si="178"/>
        <v>0</v>
      </c>
      <c r="K154" s="36" t="s">
        <v>57</v>
      </c>
      <c r="Z154" s="30">
        <f t="shared" si="179"/>
        <v>0</v>
      </c>
      <c r="AB154" s="30">
        <f t="shared" si="180"/>
        <v>0</v>
      </c>
      <c r="AC154" s="30">
        <f t="shared" si="181"/>
        <v>0</v>
      </c>
      <c r="AD154" s="30">
        <f t="shared" si="182"/>
        <v>0</v>
      </c>
      <c r="AE154" s="30">
        <f t="shared" si="183"/>
        <v>0</v>
      </c>
      <c r="AF154" s="30">
        <f t="shared" si="184"/>
        <v>0</v>
      </c>
      <c r="AG154" s="30">
        <f t="shared" si="185"/>
        <v>0</v>
      </c>
      <c r="AH154" s="30">
        <f t="shared" si="186"/>
        <v>0</v>
      </c>
      <c r="AI154" s="10" t="s">
        <v>50</v>
      </c>
      <c r="AJ154" s="30">
        <f t="shared" si="187"/>
        <v>0</v>
      </c>
      <c r="AK154" s="30">
        <f t="shared" si="188"/>
        <v>0</v>
      </c>
      <c r="AL154" s="30">
        <f t="shared" si="189"/>
        <v>0</v>
      </c>
      <c r="AN154" s="30">
        <v>12</v>
      </c>
      <c r="AO154" s="30">
        <f>G154*0.313376414</f>
        <v>0</v>
      </c>
      <c r="AP154" s="30">
        <f>G154*(1-0.313376414)</f>
        <v>0</v>
      </c>
      <c r="AQ154" s="31" t="s">
        <v>77</v>
      </c>
      <c r="AV154" s="30">
        <f t="shared" si="190"/>
        <v>0</v>
      </c>
      <c r="AW154" s="30">
        <f t="shared" si="191"/>
        <v>0</v>
      </c>
      <c r="AX154" s="30">
        <f t="shared" si="192"/>
        <v>0</v>
      </c>
      <c r="AY154" s="31" t="s">
        <v>356</v>
      </c>
      <c r="AZ154" s="31" t="s">
        <v>259</v>
      </c>
      <c r="BA154" s="10" t="s">
        <v>60</v>
      </c>
      <c r="BC154" s="30">
        <f t="shared" si="193"/>
        <v>0</v>
      </c>
      <c r="BD154" s="30">
        <f t="shared" si="194"/>
        <v>0</v>
      </c>
      <c r="BE154" s="30">
        <v>0</v>
      </c>
      <c r="BF154" s="30">
        <f>154</f>
        <v>154</v>
      </c>
      <c r="BH154" s="30">
        <f t="shared" si="195"/>
        <v>0</v>
      </c>
      <c r="BI154" s="30">
        <f t="shared" si="196"/>
        <v>0</v>
      </c>
      <c r="BJ154" s="30">
        <f t="shared" si="197"/>
        <v>0</v>
      </c>
      <c r="BK154" s="30"/>
      <c r="BL154" s="30">
        <v>725</v>
      </c>
      <c r="BW154" s="30">
        <v>12</v>
      </c>
      <c r="BX154" s="4" t="s">
        <v>441</v>
      </c>
    </row>
    <row r="155" spans="1:76" x14ac:dyDescent="0.25">
      <c r="A155" s="32" t="s">
        <v>442</v>
      </c>
      <c r="B155" s="33" t="s">
        <v>443</v>
      </c>
      <c r="C155" s="141" t="s">
        <v>444</v>
      </c>
      <c r="D155" s="142"/>
      <c r="E155" s="33" t="s">
        <v>56</v>
      </c>
      <c r="F155" s="34">
        <v>1</v>
      </c>
      <c r="G155" s="35">
        <v>0</v>
      </c>
      <c r="H155" s="34">
        <f t="shared" si="176"/>
        <v>0</v>
      </c>
      <c r="I155" s="34">
        <f t="shared" si="177"/>
        <v>0</v>
      </c>
      <c r="J155" s="34">
        <f t="shared" si="178"/>
        <v>0</v>
      </c>
      <c r="K155" s="36" t="s">
        <v>57</v>
      </c>
      <c r="Z155" s="30">
        <f t="shared" si="179"/>
        <v>0</v>
      </c>
      <c r="AB155" s="30">
        <f t="shared" si="180"/>
        <v>0</v>
      </c>
      <c r="AC155" s="30">
        <f t="shared" si="181"/>
        <v>0</v>
      </c>
      <c r="AD155" s="30">
        <f t="shared" si="182"/>
        <v>0</v>
      </c>
      <c r="AE155" s="30">
        <f t="shared" si="183"/>
        <v>0</v>
      </c>
      <c r="AF155" s="30">
        <f t="shared" si="184"/>
        <v>0</v>
      </c>
      <c r="AG155" s="30">
        <f t="shared" si="185"/>
        <v>0</v>
      </c>
      <c r="AH155" s="30">
        <f t="shared" si="186"/>
        <v>0</v>
      </c>
      <c r="AI155" s="10" t="s">
        <v>50</v>
      </c>
      <c r="AJ155" s="30">
        <f t="shared" si="187"/>
        <v>0</v>
      </c>
      <c r="AK155" s="30">
        <f t="shared" si="188"/>
        <v>0</v>
      </c>
      <c r="AL155" s="30">
        <f t="shared" si="189"/>
        <v>0</v>
      </c>
      <c r="AN155" s="30">
        <v>12</v>
      </c>
      <c r="AO155" s="30">
        <f>G155*0.340434783</f>
        <v>0</v>
      </c>
      <c r="AP155" s="30">
        <f>G155*(1-0.340434783)</f>
        <v>0</v>
      </c>
      <c r="AQ155" s="31" t="s">
        <v>77</v>
      </c>
      <c r="AV155" s="30">
        <f t="shared" si="190"/>
        <v>0</v>
      </c>
      <c r="AW155" s="30">
        <f t="shared" si="191"/>
        <v>0</v>
      </c>
      <c r="AX155" s="30">
        <f t="shared" si="192"/>
        <v>0</v>
      </c>
      <c r="AY155" s="31" t="s">
        <v>356</v>
      </c>
      <c r="AZ155" s="31" t="s">
        <v>259</v>
      </c>
      <c r="BA155" s="10" t="s">
        <v>60</v>
      </c>
      <c r="BC155" s="30">
        <f t="shared" si="193"/>
        <v>0</v>
      </c>
      <c r="BD155" s="30">
        <f t="shared" si="194"/>
        <v>0</v>
      </c>
      <c r="BE155" s="30">
        <v>0</v>
      </c>
      <c r="BF155" s="30">
        <f>155</f>
        <v>155</v>
      </c>
      <c r="BH155" s="30">
        <f t="shared" si="195"/>
        <v>0</v>
      </c>
      <c r="BI155" s="30">
        <f t="shared" si="196"/>
        <v>0</v>
      </c>
      <c r="BJ155" s="30">
        <f t="shared" si="197"/>
        <v>0</v>
      </c>
      <c r="BK155" s="30"/>
      <c r="BL155" s="30">
        <v>725</v>
      </c>
      <c r="BW155" s="30">
        <v>12</v>
      </c>
      <c r="BX155" s="4" t="s">
        <v>444</v>
      </c>
    </row>
    <row r="156" spans="1:76" x14ac:dyDescent="0.25">
      <c r="A156" s="32" t="s">
        <v>445</v>
      </c>
      <c r="B156" s="33" t="s">
        <v>446</v>
      </c>
      <c r="C156" s="141" t="s">
        <v>447</v>
      </c>
      <c r="D156" s="142"/>
      <c r="E156" s="33" t="s">
        <v>56</v>
      </c>
      <c r="F156" s="34">
        <v>1</v>
      </c>
      <c r="G156" s="35">
        <v>0</v>
      </c>
      <c r="H156" s="34">
        <f t="shared" si="176"/>
        <v>0</v>
      </c>
      <c r="I156" s="34">
        <f t="shared" si="177"/>
        <v>0</v>
      </c>
      <c r="J156" s="34">
        <f t="shared" si="178"/>
        <v>0</v>
      </c>
      <c r="K156" s="36" t="s">
        <v>57</v>
      </c>
      <c r="Z156" s="30">
        <f t="shared" si="179"/>
        <v>0</v>
      </c>
      <c r="AB156" s="30">
        <f t="shared" si="180"/>
        <v>0</v>
      </c>
      <c r="AC156" s="30">
        <f t="shared" si="181"/>
        <v>0</v>
      </c>
      <c r="AD156" s="30">
        <f t="shared" si="182"/>
        <v>0</v>
      </c>
      <c r="AE156" s="30">
        <f t="shared" si="183"/>
        <v>0</v>
      </c>
      <c r="AF156" s="30">
        <f t="shared" si="184"/>
        <v>0</v>
      </c>
      <c r="AG156" s="30">
        <f t="shared" si="185"/>
        <v>0</v>
      </c>
      <c r="AH156" s="30">
        <f t="shared" si="186"/>
        <v>0</v>
      </c>
      <c r="AI156" s="10" t="s">
        <v>50</v>
      </c>
      <c r="AJ156" s="30">
        <f t="shared" si="187"/>
        <v>0</v>
      </c>
      <c r="AK156" s="30">
        <f t="shared" si="188"/>
        <v>0</v>
      </c>
      <c r="AL156" s="30">
        <f t="shared" si="189"/>
        <v>0</v>
      </c>
      <c r="AN156" s="30">
        <v>12</v>
      </c>
      <c r="AO156" s="30">
        <f>G156*0.93900216</f>
        <v>0</v>
      </c>
      <c r="AP156" s="30">
        <f>G156*(1-0.93900216)</f>
        <v>0</v>
      </c>
      <c r="AQ156" s="31" t="s">
        <v>77</v>
      </c>
      <c r="AV156" s="30">
        <f t="shared" si="190"/>
        <v>0</v>
      </c>
      <c r="AW156" s="30">
        <f t="shared" si="191"/>
        <v>0</v>
      </c>
      <c r="AX156" s="30">
        <f t="shared" si="192"/>
        <v>0</v>
      </c>
      <c r="AY156" s="31" t="s">
        <v>356</v>
      </c>
      <c r="AZ156" s="31" t="s">
        <v>259</v>
      </c>
      <c r="BA156" s="10" t="s">
        <v>60</v>
      </c>
      <c r="BC156" s="30">
        <f t="shared" si="193"/>
        <v>0</v>
      </c>
      <c r="BD156" s="30">
        <f t="shared" si="194"/>
        <v>0</v>
      </c>
      <c r="BE156" s="30">
        <v>0</v>
      </c>
      <c r="BF156" s="30">
        <f>156</f>
        <v>156</v>
      </c>
      <c r="BH156" s="30">
        <f t="shared" si="195"/>
        <v>0</v>
      </c>
      <c r="BI156" s="30">
        <f t="shared" si="196"/>
        <v>0</v>
      </c>
      <c r="BJ156" s="30">
        <f t="shared" si="197"/>
        <v>0</v>
      </c>
      <c r="BK156" s="30"/>
      <c r="BL156" s="30">
        <v>725</v>
      </c>
      <c r="BW156" s="30">
        <v>12</v>
      </c>
      <c r="BX156" s="4" t="s">
        <v>447</v>
      </c>
    </row>
    <row r="157" spans="1:76" ht="13.5" customHeight="1" x14ac:dyDescent="0.25">
      <c r="A157" s="37"/>
      <c r="B157" s="38" t="s">
        <v>84</v>
      </c>
      <c r="C157" s="152" t="s">
        <v>448</v>
      </c>
      <c r="D157" s="153"/>
      <c r="E157" s="153"/>
      <c r="F157" s="153"/>
      <c r="G157" s="154"/>
      <c r="H157" s="153"/>
      <c r="I157" s="153"/>
      <c r="J157" s="153"/>
      <c r="K157" s="155"/>
    </row>
    <row r="158" spans="1:76" x14ac:dyDescent="0.25">
      <c r="A158" s="25" t="s">
        <v>449</v>
      </c>
      <c r="B158" s="26" t="s">
        <v>450</v>
      </c>
      <c r="C158" s="150" t="s">
        <v>451</v>
      </c>
      <c r="D158" s="151"/>
      <c r="E158" s="26" t="s">
        <v>56</v>
      </c>
      <c r="F158" s="27">
        <v>2</v>
      </c>
      <c r="G158" s="28">
        <v>0</v>
      </c>
      <c r="H158" s="27">
        <f>F158*AO158</f>
        <v>0</v>
      </c>
      <c r="I158" s="27">
        <f>F158*AP158</f>
        <v>0</v>
      </c>
      <c r="J158" s="27">
        <f>F158*G158</f>
        <v>0</v>
      </c>
      <c r="K158" s="29" t="s">
        <v>57</v>
      </c>
      <c r="Z158" s="30">
        <f>IF(AQ158="5",BJ158,0)</f>
        <v>0</v>
      </c>
      <c r="AB158" s="30">
        <f>IF(AQ158="1",BH158,0)</f>
        <v>0</v>
      </c>
      <c r="AC158" s="30">
        <f>IF(AQ158="1",BI158,0)</f>
        <v>0</v>
      </c>
      <c r="AD158" s="30">
        <f>IF(AQ158="7",BH158,0)</f>
        <v>0</v>
      </c>
      <c r="AE158" s="30">
        <f>IF(AQ158="7",BI158,0)</f>
        <v>0</v>
      </c>
      <c r="AF158" s="30">
        <f>IF(AQ158="2",BH158,0)</f>
        <v>0</v>
      </c>
      <c r="AG158" s="30">
        <f>IF(AQ158="2",BI158,0)</f>
        <v>0</v>
      </c>
      <c r="AH158" s="30">
        <f>IF(AQ158="0",BJ158,0)</f>
        <v>0</v>
      </c>
      <c r="AI158" s="10" t="s">
        <v>50</v>
      </c>
      <c r="AJ158" s="30">
        <f>IF(AN158=0,J158,0)</f>
        <v>0</v>
      </c>
      <c r="AK158" s="30">
        <f>IF(AN158=12,J158,0)</f>
        <v>0</v>
      </c>
      <c r="AL158" s="30">
        <f>IF(AN158=21,J158,0)</f>
        <v>0</v>
      </c>
      <c r="AN158" s="30">
        <v>12</v>
      </c>
      <c r="AO158" s="30">
        <f>G158*0.968896476</f>
        <v>0</v>
      </c>
      <c r="AP158" s="30">
        <f>G158*(1-0.968896476)</f>
        <v>0</v>
      </c>
      <c r="AQ158" s="31" t="s">
        <v>77</v>
      </c>
      <c r="AV158" s="30">
        <f>AW158+AX158</f>
        <v>0</v>
      </c>
      <c r="AW158" s="30">
        <f>F158*AO158</f>
        <v>0</v>
      </c>
      <c r="AX158" s="30">
        <f>F158*AP158</f>
        <v>0</v>
      </c>
      <c r="AY158" s="31" t="s">
        <v>356</v>
      </c>
      <c r="AZ158" s="31" t="s">
        <v>259</v>
      </c>
      <c r="BA158" s="10" t="s">
        <v>60</v>
      </c>
      <c r="BC158" s="30">
        <f>AW158+AX158</f>
        <v>0</v>
      </c>
      <c r="BD158" s="30">
        <f>G158/(100-BE158)*100</f>
        <v>0</v>
      </c>
      <c r="BE158" s="30">
        <v>0</v>
      </c>
      <c r="BF158" s="30">
        <f>158</f>
        <v>158</v>
      </c>
      <c r="BH158" s="30">
        <f>F158*AO158</f>
        <v>0</v>
      </c>
      <c r="BI158" s="30">
        <f>F158*AP158</f>
        <v>0</v>
      </c>
      <c r="BJ158" s="30">
        <f>F158*G158</f>
        <v>0</v>
      </c>
      <c r="BK158" s="30"/>
      <c r="BL158" s="30">
        <v>725</v>
      </c>
      <c r="BW158" s="30">
        <v>12</v>
      </c>
      <c r="BX158" s="4" t="s">
        <v>451</v>
      </c>
    </row>
    <row r="159" spans="1:76" x14ac:dyDescent="0.25">
      <c r="A159" s="32" t="s">
        <v>452</v>
      </c>
      <c r="B159" s="33" t="s">
        <v>453</v>
      </c>
      <c r="C159" s="141" t="s">
        <v>454</v>
      </c>
      <c r="D159" s="142"/>
      <c r="E159" s="33" t="s">
        <v>109</v>
      </c>
      <c r="F159" s="34">
        <v>0.63432999999999995</v>
      </c>
      <c r="G159" s="35">
        <v>0</v>
      </c>
      <c r="H159" s="34">
        <f>F159*AO159</f>
        <v>0</v>
      </c>
      <c r="I159" s="34">
        <f>F159*AP159</f>
        <v>0</v>
      </c>
      <c r="J159" s="34">
        <f>F159*G159</f>
        <v>0</v>
      </c>
      <c r="K159" s="36" t="s">
        <v>57</v>
      </c>
      <c r="Z159" s="30">
        <f>IF(AQ159="5",BJ159,0)</f>
        <v>0</v>
      </c>
      <c r="AB159" s="30">
        <f>IF(AQ159="1",BH159,0)</f>
        <v>0</v>
      </c>
      <c r="AC159" s="30">
        <f>IF(AQ159="1",BI159,0)</f>
        <v>0</v>
      </c>
      <c r="AD159" s="30">
        <f>IF(AQ159="7",BH159,0)</f>
        <v>0</v>
      </c>
      <c r="AE159" s="30">
        <f>IF(AQ159="7",BI159,0)</f>
        <v>0</v>
      </c>
      <c r="AF159" s="30">
        <f>IF(AQ159="2",BH159,0)</f>
        <v>0</v>
      </c>
      <c r="AG159" s="30">
        <f>IF(AQ159="2",BI159,0)</f>
        <v>0</v>
      </c>
      <c r="AH159" s="30">
        <f>IF(AQ159="0",BJ159,0)</f>
        <v>0</v>
      </c>
      <c r="AI159" s="10" t="s">
        <v>50</v>
      </c>
      <c r="AJ159" s="30">
        <f>IF(AN159=0,J159,0)</f>
        <v>0</v>
      </c>
      <c r="AK159" s="30">
        <f>IF(AN159=12,J159,0)</f>
        <v>0</v>
      </c>
      <c r="AL159" s="30">
        <f>IF(AN159=21,J159,0)</f>
        <v>0</v>
      </c>
      <c r="AN159" s="30">
        <v>12</v>
      </c>
      <c r="AO159" s="30">
        <f>G159*0</f>
        <v>0</v>
      </c>
      <c r="AP159" s="30">
        <f>G159*(1-0)</f>
        <v>0</v>
      </c>
      <c r="AQ159" s="31" t="s">
        <v>71</v>
      </c>
      <c r="AV159" s="30">
        <f>AW159+AX159</f>
        <v>0</v>
      </c>
      <c r="AW159" s="30">
        <f>F159*AO159</f>
        <v>0</v>
      </c>
      <c r="AX159" s="30">
        <f>F159*AP159</f>
        <v>0</v>
      </c>
      <c r="AY159" s="31" t="s">
        <v>356</v>
      </c>
      <c r="AZ159" s="31" t="s">
        <v>259</v>
      </c>
      <c r="BA159" s="10" t="s">
        <v>60</v>
      </c>
      <c r="BC159" s="30">
        <f>AW159+AX159</f>
        <v>0</v>
      </c>
      <c r="BD159" s="30">
        <f>G159/(100-BE159)*100</f>
        <v>0</v>
      </c>
      <c r="BE159" s="30">
        <v>0</v>
      </c>
      <c r="BF159" s="30">
        <f>159</f>
        <v>159</v>
      </c>
      <c r="BH159" s="30">
        <f>F159*AO159</f>
        <v>0</v>
      </c>
      <c r="BI159" s="30">
        <f>F159*AP159</f>
        <v>0</v>
      </c>
      <c r="BJ159" s="30">
        <f>F159*G159</f>
        <v>0</v>
      </c>
      <c r="BK159" s="30"/>
      <c r="BL159" s="30">
        <v>725</v>
      </c>
      <c r="BW159" s="30">
        <v>12</v>
      </c>
      <c r="BX159" s="4" t="s">
        <v>454</v>
      </c>
    </row>
    <row r="160" spans="1:76" x14ac:dyDescent="0.25">
      <c r="A160" s="39" t="s">
        <v>50</v>
      </c>
      <c r="B160" s="40" t="s">
        <v>455</v>
      </c>
      <c r="C160" s="156" t="s">
        <v>456</v>
      </c>
      <c r="D160" s="157"/>
      <c r="E160" s="41" t="s">
        <v>4</v>
      </c>
      <c r="F160" s="41" t="s">
        <v>4</v>
      </c>
      <c r="G160" s="42" t="s">
        <v>4</v>
      </c>
      <c r="H160" s="43">
        <f>SUM(H161:H171)</f>
        <v>0</v>
      </c>
      <c r="I160" s="43">
        <f>SUM(I161:I171)</f>
        <v>0</v>
      </c>
      <c r="J160" s="43">
        <f>SUM(J161:J171)</f>
        <v>0</v>
      </c>
      <c r="K160" s="44" t="s">
        <v>50</v>
      </c>
      <c r="AI160" s="10" t="s">
        <v>50</v>
      </c>
      <c r="AS160" s="1">
        <f>SUM(AJ161:AJ171)</f>
        <v>0</v>
      </c>
      <c r="AT160" s="1">
        <f>SUM(AK161:AK171)</f>
        <v>0</v>
      </c>
      <c r="AU160" s="1">
        <f>SUM(AL161:AL171)</f>
        <v>0</v>
      </c>
    </row>
    <row r="161" spans="1:76" x14ac:dyDescent="0.25">
      <c r="A161" s="25" t="s">
        <v>457</v>
      </c>
      <c r="B161" s="26" t="s">
        <v>458</v>
      </c>
      <c r="C161" s="150" t="s">
        <v>459</v>
      </c>
      <c r="D161" s="151"/>
      <c r="E161" s="26" t="s">
        <v>56</v>
      </c>
      <c r="F161" s="27">
        <v>1</v>
      </c>
      <c r="G161" s="28">
        <v>0</v>
      </c>
      <c r="H161" s="27">
        <f t="shared" ref="H161:H171" si="198">F161*AO161</f>
        <v>0</v>
      </c>
      <c r="I161" s="27">
        <f t="shared" ref="I161:I171" si="199">F161*AP161</f>
        <v>0</v>
      </c>
      <c r="J161" s="27">
        <f t="shared" ref="J161:J171" si="200">F161*G161</f>
        <v>0</v>
      </c>
      <c r="K161" s="29" t="s">
        <v>57</v>
      </c>
      <c r="Z161" s="30">
        <f t="shared" ref="Z161:Z171" si="201">IF(AQ161="5",BJ161,0)</f>
        <v>0</v>
      </c>
      <c r="AB161" s="30">
        <f t="shared" ref="AB161:AB171" si="202">IF(AQ161="1",BH161,0)</f>
        <v>0</v>
      </c>
      <c r="AC161" s="30">
        <f t="shared" ref="AC161:AC171" si="203">IF(AQ161="1",BI161,0)</f>
        <v>0</v>
      </c>
      <c r="AD161" s="30">
        <f t="shared" ref="AD161:AD171" si="204">IF(AQ161="7",BH161,0)</f>
        <v>0</v>
      </c>
      <c r="AE161" s="30">
        <f t="shared" ref="AE161:AE171" si="205">IF(AQ161="7",BI161,0)</f>
        <v>0</v>
      </c>
      <c r="AF161" s="30">
        <f t="shared" ref="AF161:AF171" si="206">IF(AQ161="2",BH161,0)</f>
        <v>0</v>
      </c>
      <c r="AG161" s="30">
        <f t="shared" ref="AG161:AG171" si="207">IF(AQ161="2",BI161,0)</f>
        <v>0</v>
      </c>
      <c r="AH161" s="30">
        <f t="shared" ref="AH161:AH171" si="208">IF(AQ161="0",BJ161,0)</f>
        <v>0</v>
      </c>
      <c r="AI161" s="10" t="s">
        <v>50</v>
      </c>
      <c r="AJ161" s="30">
        <f t="shared" ref="AJ161:AJ171" si="209">IF(AN161=0,J161,0)</f>
        <v>0</v>
      </c>
      <c r="AK161" s="30">
        <f t="shared" ref="AK161:AK171" si="210">IF(AN161=12,J161,0)</f>
        <v>0</v>
      </c>
      <c r="AL161" s="30">
        <f t="shared" ref="AL161:AL171" si="211">IF(AN161=21,J161,0)</f>
        <v>0</v>
      </c>
      <c r="AN161" s="30">
        <v>12</v>
      </c>
      <c r="AO161" s="30">
        <f>G161*0</f>
        <v>0</v>
      </c>
      <c r="AP161" s="30">
        <f>G161*(1-0)</f>
        <v>0</v>
      </c>
      <c r="AQ161" s="31" t="s">
        <v>77</v>
      </c>
      <c r="AV161" s="30">
        <f t="shared" ref="AV161:AV171" si="212">AW161+AX161</f>
        <v>0</v>
      </c>
      <c r="AW161" s="30">
        <f t="shared" ref="AW161:AW171" si="213">F161*AO161</f>
        <v>0</v>
      </c>
      <c r="AX161" s="30">
        <f t="shared" ref="AX161:AX171" si="214">F161*AP161</f>
        <v>0</v>
      </c>
      <c r="AY161" s="31" t="s">
        <v>460</v>
      </c>
      <c r="AZ161" s="31" t="s">
        <v>259</v>
      </c>
      <c r="BA161" s="10" t="s">
        <v>60</v>
      </c>
      <c r="BC161" s="30">
        <f t="shared" ref="BC161:BC171" si="215">AW161+AX161</f>
        <v>0</v>
      </c>
      <c r="BD161" s="30">
        <f t="shared" ref="BD161:BD171" si="216">G161/(100-BE161)*100</f>
        <v>0</v>
      </c>
      <c r="BE161" s="30">
        <v>0</v>
      </c>
      <c r="BF161" s="30">
        <f>161</f>
        <v>161</v>
      </c>
      <c r="BH161" s="30">
        <f t="shared" ref="BH161:BH171" si="217">F161*AO161</f>
        <v>0</v>
      </c>
      <c r="BI161" s="30">
        <f t="shared" ref="BI161:BI171" si="218">F161*AP161</f>
        <v>0</v>
      </c>
      <c r="BJ161" s="30">
        <f t="shared" ref="BJ161:BJ171" si="219">F161*G161</f>
        <v>0</v>
      </c>
      <c r="BK161" s="30"/>
      <c r="BL161" s="30">
        <v>728</v>
      </c>
      <c r="BW161" s="30">
        <v>12</v>
      </c>
      <c r="BX161" s="4" t="s">
        <v>459</v>
      </c>
    </row>
    <row r="162" spans="1:76" x14ac:dyDescent="0.25">
      <c r="A162" s="32" t="s">
        <v>461</v>
      </c>
      <c r="B162" s="33" t="s">
        <v>260</v>
      </c>
      <c r="C162" s="141" t="s">
        <v>462</v>
      </c>
      <c r="D162" s="142"/>
      <c r="E162" s="33" t="s">
        <v>99</v>
      </c>
      <c r="F162" s="34">
        <v>9.1999999999999993</v>
      </c>
      <c r="G162" s="35">
        <v>0</v>
      </c>
      <c r="H162" s="34">
        <f t="shared" si="198"/>
        <v>0</v>
      </c>
      <c r="I162" s="34">
        <f t="shared" si="199"/>
        <v>0</v>
      </c>
      <c r="J162" s="34">
        <f t="shared" si="200"/>
        <v>0</v>
      </c>
      <c r="K162" s="36" t="s">
        <v>57</v>
      </c>
      <c r="Z162" s="30">
        <f t="shared" si="201"/>
        <v>0</v>
      </c>
      <c r="AB162" s="30">
        <f t="shared" si="202"/>
        <v>0</v>
      </c>
      <c r="AC162" s="30">
        <f t="shared" si="203"/>
        <v>0</v>
      </c>
      <c r="AD162" s="30">
        <f t="shared" si="204"/>
        <v>0</v>
      </c>
      <c r="AE162" s="30">
        <f t="shared" si="205"/>
        <v>0</v>
      </c>
      <c r="AF162" s="30">
        <f t="shared" si="206"/>
        <v>0</v>
      </c>
      <c r="AG162" s="30">
        <f t="shared" si="207"/>
        <v>0</v>
      </c>
      <c r="AH162" s="30">
        <f t="shared" si="208"/>
        <v>0</v>
      </c>
      <c r="AI162" s="10" t="s">
        <v>50</v>
      </c>
      <c r="AJ162" s="30">
        <f t="shared" si="209"/>
        <v>0</v>
      </c>
      <c r="AK162" s="30">
        <f t="shared" si="210"/>
        <v>0</v>
      </c>
      <c r="AL162" s="30">
        <f t="shared" si="211"/>
        <v>0</v>
      </c>
      <c r="AN162" s="30">
        <v>12</v>
      </c>
      <c r="AO162" s="30">
        <f>G162*0.317436677</f>
        <v>0</v>
      </c>
      <c r="AP162" s="30">
        <f>G162*(1-0.317436677)</f>
        <v>0</v>
      </c>
      <c r="AQ162" s="31" t="s">
        <v>77</v>
      </c>
      <c r="AV162" s="30">
        <f t="shared" si="212"/>
        <v>0</v>
      </c>
      <c r="AW162" s="30">
        <f t="shared" si="213"/>
        <v>0</v>
      </c>
      <c r="AX162" s="30">
        <f t="shared" si="214"/>
        <v>0</v>
      </c>
      <c r="AY162" s="31" t="s">
        <v>460</v>
      </c>
      <c r="AZ162" s="31" t="s">
        <v>259</v>
      </c>
      <c r="BA162" s="10" t="s">
        <v>60</v>
      </c>
      <c r="BC162" s="30">
        <f t="shared" si="215"/>
        <v>0</v>
      </c>
      <c r="BD162" s="30">
        <f t="shared" si="216"/>
        <v>0</v>
      </c>
      <c r="BE162" s="30">
        <v>0</v>
      </c>
      <c r="BF162" s="30">
        <f>162</f>
        <v>162</v>
      </c>
      <c r="BH162" s="30">
        <f t="shared" si="217"/>
        <v>0</v>
      </c>
      <c r="BI162" s="30">
        <f t="shared" si="218"/>
        <v>0</v>
      </c>
      <c r="BJ162" s="30">
        <f t="shared" si="219"/>
        <v>0</v>
      </c>
      <c r="BK162" s="30"/>
      <c r="BL162" s="30">
        <v>728</v>
      </c>
      <c r="BW162" s="30">
        <v>12</v>
      </c>
      <c r="BX162" s="4" t="s">
        <v>462</v>
      </c>
    </row>
    <row r="163" spans="1:76" x14ac:dyDescent="0.25">
      <c r="A163" s="32" t="s">
        <v>463</v>
      </c>
      <c r="B163" s="33" t="s">
        <v>464</v>
      </c>
      <c r="C163" s="141" t="s">
        <v>465</v>
      </c>
      <c r="D163" s="142"/>
      <c r="E163" s="33" t="s">
        <v>99</v>
      </c>
      <c r="F163" s="34">
        <v>1.75</v>
      </c>
      <c r="G163" s="35">
        <v>0</v>
      </c>
      <c r="H163" s="34">
        <f t="shared" si="198"/>
        <v>0</v>
      </c>
      <c r="I163" s="34">
        <f t="shared" si="199"/>
        <v>0</v>
      </c>
      <c r="J163" s="34">
        <f t="shared" si="200"/>
        <v>0</v>
      </c>
      <c r="K163" s="36" t="s">
        <v>57</v>
      </c>
      <c r="Z163" s="30">
        <f t="shared" si="201"/>
        <v>0</v>
      </c>
      <c r="AB163" s="30">
        <f t="shared" si="202"/>
        <v>0</v>
      </c>
      <c r="AC163" s="30">
        <f t="shared" si="203"/>
        <v>0</v>
      </c>
      <c r="AD163" s="30">
        <f t="shared" si="204"/>
        <v>0</v>
      </c>
      <c r="AE163" s="30">
        <f t="shared" si="205"/>
        <v>0</v>
      </c>
      <c r="AF163" s="30">
        <f t="shared" si="206"/>
        <v>0</v>
      </c>
      <c r="AG163" s="30">
        <f t="shared" si="207"/>
        <v>0</v>
      </c>
      <c r="AH163" s="30">
        <f t="shared" si="208"/>
        <v>0</v>
      </c>
      <c r="AI163" s="10" t="s">
        <v>50</v>
      </c>
      <c r="AJ163" s="30">
        <f t="shared" si="209"/>
        <v>0</v>
      </c>
      <c r="AK163" s="30">
        <f t="shared" si="210"/>
        <v>0</v>
      </c>
      <c r="AL163" s="30">
        <f t="shared" si="211"/>
        <v>0</v>
      </c>
      <c r="AN163" s="30">
        <v>12</v>
      </c>
      <c r="AO163" s="30">
        <f>G163*0.389767442</f>
        <v>0</v>
      </c>
      <c r="AP163" s="30">
        <f>G163*(1-0.389767442)</f>
        <v>0</v>
      </c>
      <c r="AQ163" s="31" t="s">
        <v>77</v>
      </c>
      <c r="AV163" s="30">
        <f t="shared" si="212"/>
        <v>0</v>
      </c>
      <c r="AW163" s="30">
        <f t="shared" si="213"/>
        <v>0</v>
      </c>
      <c r="AX163" s="30">
        <f t="shared" si="214"/>
        <v>0</v>
      </c>
      <c r="AY163" s="31" t="s">
        <v>460</v>
      </c>
      <c r="AZ163" s="31" t="s">
        <v>259</v>
      </c>
      <c r="BA163" s="10" t="s">
        <v>60</v>
      </c>
      <c r="BC163" s="30">
        <f t="shared" si="215"/>
        <v>0</v>
      </c>
      <c r="BD163" s="30">
        <f t="shared" si="216"/>
        <v>0</v>
      </c>
      <c r="BE163" s="30">
        <v>0</v>
      </c>
      <c r="BF163" s="30">
        <f>163</f>
        <v>163</v>
      </c>
      <c r="BH163" s="30">
        <f t="shared" si="217"/>
        <v>0</v>
      </c>
      <c r="BI163" s="30">
        <f t="shared" si="218"/>
        <v>0</v>
      </c>
      <c r="BJ163" s="30">
        <f t="shared" si="219"/>
        <v>0</v>
      </c>
      <c r="BK163" s="30"/>
      <c r="BL163" s="30">
        <v>728</v>
      </c>
      <c r="BW163" s="30">
        <v>12</v>
      </c>
      <c r="BX163" s="4" t="s">
        <v>465</v>
      </c>
    </row>
    <row r="164" spans="1:76" ht="25.5" x14ac:dyDescent="0.25">
      <c r="A164" s="32" t="s">
        <v>466</v>
      </c>
      <c r="B164" s="33" t="s">
        <v>271</v>
      </c>
      <c r="C164" s="141" t="s">
        <v>272</v>
      </c>
      <c r="D164" s="142"/>
      <c r="E164" s="33" t="s">
        <v>56</v>
      </c>
      <c r="F164" s="34">
        <v>2</v>
      </c>
      <c r="G164" s="35">
        <v>0</v>
      </c>
      <c r="H164" s="34">
        <f t="shared" si="198"/>
        <v>0</v>
      </c>
      <c r="I164" s="34">
        <f t="shared" si="199"/>
        <v>0</v>
      </c>
      <c r="J164" s="34">
        <f t="shared" si="200"/>
        <v>0</v>
      </c>
      <c r="K164" s="36" t="s">
        <v>57</v>
      </c>
      <c r="Z164" s="30">
        <f t="shared" si="201"/>
        <v>0</v>
      </c>
      <c r="AB164" s="30">
        <f t="shared" si="202"/>
        <v>0</v>
      </c>
      <c r="AC164" s="30">
        <f t="shared" si="203"/>
        <v>0</v>
      </c>
      <c r="AD164" s="30">
        <f t="shared" si="204"/>
        <v>0</v>
      </c>
      <c r="AE164" s="30">
        <f t="shared" si="205"/>
        <v>0</v>
      </c>
      <c r="AF164" s="30">
        <f t="shared" si="206"/>
        <v>0</v>
      </c>
      <c r="AG164" s="30">
        <f t="shared" si="207"/>
        <v>0</v>
      </c>
      <c r="AH164" s="30">
        <f t="shared" si="208"/>
        <v>0</v>
      </c>
      <c r="AI164" s="10" t="s">
        <v>50</v>
      </c>
      <c r="AJ164" s="30">
        <f t="shared" si="209"/>
        <v>0</v>
      </c>
      <c r="AK164" s="30">
        <f t="shared" si="210"/>
        <v>0</v>
      </c>
      <c r="AL164" s="30">
        <f t="shared" si="211"/>
        <v>0</v>
      </c>
      <c r="AN164" s="30">
        <v>12</v>
      </c>
      <c r="AO164" s="30">
        <f>G164*0.281444992</f>
        <v>0</v>
      </c>
      <c r="AP164" s="30">
        <f>G164*(1-0.281444992)</f>
        <v>0</v>
      </c>
      <c r="AQ164" s="31" t="s">
        <v>77</v>
      </c>
      <c r="AV164" s="30">
        <f t="shared" si="212"/>
        <v>0</v>
      </c>
      <c r="AW164" s="30">
        <f t="shared" si="213"/>
        <v>0</v>
      </c>
      <c r="AX164" s="30">
        <f t="shared" si="214"/>
        <v>0</v>
      </c>
      <c r="AY164" s="31" t="s">
        <v>460</v>
      </c>
      <c r="AZ164" s="31" t="s">
        <v>259</v>
      </c>
      <c r="BA164" s="10" t="s">
        <v>60</v>
      </c>
      <c r="BC164" s="30">
        <f t="shared" si="215"/>
        <v>0</v>
      </c>
      <c r="BD164" s="30">
        <f t="shared" si="216"/>
        <v>0</v>
      </c>
      <c r="BE164" s="30">
        <v>0</v>
      </c>
      <c r="BF164" s="30">
        <f>164</f>
        <v>164</v>
      </c>
      <c r="BH164" s="30">
        <f t="shared" si="217"/>
        <v>0</v>
      </c>
      <c r="BI164" s="30">
        <f t="shared" si="218"/>
        <v>0</v>
      </c>
      <c r="BJ164" s="30">
        <f t="shared" si="219"/>
        <v>0</v>
      </c>
      <c r="BK164" s="30"/>
      <c r="BL164" s="30">
        <v>728</v>
      </c>
      <c r="BW164" s="30">
        <v>12</v>
      </c>
      <c r="BX164" s="4" t="s">
        <v>272</v>
      </c>
    </row>
    <row r="165" spans="1:76" x14ac:dyDescent="0.25">
      <c r="A165" s="32" t="s">
        <v>467</v>
      </c>
      <c r="B165" s="33" t="s">
        <v>468</v>
      </c>
      <c r="C165" s="141" t="s">
        <v>469</v>
      </c>
      <c r="D165" s="142"/>
      <c r="E165" s="33" t="s">
        <v>56</v>
      </c>
      <c r="F165" s="34">
        <v>2</v>
      </c>
      <c r="G165" s="35">
        <v>0</v>
      </c>
      <c r="H165" s="34">
        <f t="shared" si="198"/>
        <v>0</v>
      </c>
      <c r="I165" s="34">
        <f t="shared" si="199"/>
        <v>0</v>
      </c>
      <c r="J165" s="34">
        <f t="shared" si="200"/>
        <v>0</v>
      </c>
      <c r="K165" s="36" t="s">
        <v>57</v>
      </c>
      <c r="Z165" s="30">
        <f t="shared" si="201"/>
        <v>0</v>
      </c>
      <c r="AB165" s="30">
        <f t="shared" si="202"/>
        <v>0</v>
      </c>
      <c r="AC165" s="30">
        <f t="shared" si="203"/>
        <v>0</v>
      </c>
      <c r="AD165" s="30">
        <f t="shared" si="204"/>
        <v>0</v>
      </c>
      <c r="AE165" s="30">
        <f t="shared" si="205"/>
        <v>0</v>
      </c>
      <c r="AF165" s="30">
        <f t="shared" si="206"/>
        <v>0</v>
      </c>
      <c r="AG165" s="30">
        <f t="shared" si="207"/>
        <v>0</v>
      </c>
      <c r="AH165" s="30">
        <f t="shared" si="208"/>
        <v>0</v>
      </c>
      <c r="AI165" s="10" t="s">
        <v>50</v>
      </c>
      <c r="AJ165" s="30">
        <f t="shared" si="209"/>
        <v>0</v>
      </c>
      <c r="AK165" s="30">
        <f t="shared" si="210"/>
        <v>0</v>
      </c>
      <c r="AL165" s="30">
        <f t="shared" si="211"/>
        <v>0</v>
      </c>
      <c r="AN165" s="30">
        <v>12</v>
      </c>
      <c r="AO165" s="30">
        <f>G165*0</f>
        <v>0</v>
      </c>
      <c r="AP165" s="30">
        <f>G165*(1-0)</f>
        <v>0</v>
      </c>
      <c r="AQ165" s="31" t="s">
        <v>77</v>
      </c>
      <c r="AV165" s="30">
        <f t="shared" si="212"/>
        <v>0</v>
      </c>
      <c r="AW165" s="30">
        <f t="shared" si="213"/>
        <v>0</v>
      </c>
      <c r="AX165" s="30">
        <f t="shared" si="214"/>
        <v>0</v>
      </c>
      <c r="AY165" s="31" t="s">
        <v>460</v>
      </c>
      <c r="AZ165" s="31" t="s">
        <v>259</v>
      </c>
      <c r="BA165" s="10" t="s">
        <v>60</v>
      </c>
      <c r="BC165" s="30">
        <f t="shared" si="215"/>
        <v>0</v>
      </c>
      <c r="BD165" s="30">
        <f t="shared" si="216"/>
        <v>0</v>
      </c>
      <c r="BE165" s="30">
        <v>0</v>
      </c>
      <c r="BF165" s="30">
        <f>165</f>
        <v>165</v>
      </c>
      <c r="BH165" s="30">
        <f t="shared" si="217"/>
        <v>0</v>
      </c>
      <c r="BI165" s="30">
        <f t="shared" si="218"/>
        <v>0</v>
      </c>
      <c r="BJ165" s="30">
        <f t="shared" si="219"/>
        <v>0</v>
      </c>
      <c r="BK165" s="30"/>
      <c r="BL165" s="30">
        <v>728</v>
      </c>
      <c r="BW165" s="30">
        <v>12</v>
      </c>
      <c r="BX165" s="4" t="s">
        <v>469</v>
      </c>
    </row>
    <row r="166" spans="1:76" x14ac:dyDescent="0.25">
      <c r="A166" s="32" t="s">
        <v>470</v>
      </c>
      <c r="B166" s="33" t="s">
        <v>471</v>
      </c>
      <c r="C166" s="141" t="s">
        <v>472</v>
      </c>
      <c r="D166" s="142"/>
      <c r="E166" s="33" t="s">
        <v>56</v>
      </c>
      <c r="F166" s="34">
        <v>2</v>
      </c>
      <c r="G166" s="35">
        <v>0</v>
      </c>
      <c r="H166" s="34">
        <f t="shared" si="198"/>
        <v>0</v>
      </c>
      <c r="I166" s="34">
        <f t="shared" si="199"/>
        <v>0</v>
      </c>
      <c r="J166" s="34">
        <f t="shared" si="200"/>
        <v>0</v>
      </c>
      <c r="K166" s="36" t="s">
        <v>57</v>
      </c>
      <c r="Z166" s="30">
        <f t="shared" si="201"/>
        <v>0</v>
      </c>
      <c r="AB166" s="30">
        <f t="shared" si="202"/>
        <v>0</v>
      </c>
      <c r="AC166" s="30">
        <f t="shared" si="203"/>
        <v>0</v>
      </c>
      <c r="AD166" s="30">
        <f t="shared" si="204"/>
        <v>0</v>
      </c>
      <c r="AE166" s="30">
        <f t="shared" si="205"/>
        <v>0</v>
      </c>
      <c r="AF166" s="30">
        <f t="shared" si="206"/>
        <v>0</v>
      </c>
      <c r="AG166" s="30">
        <f t="shared" si="207"/>
        <v>0</v>
      </c>
      <c r="AH166" s="30">
        <f t="shared" si="208"/>
        <v>0</v>
      </c>
      <c r="AI166" s="10" t="s">
        <v>50</v>
      </c>
      <c r="AJ166" s="30">
        <f t="shared" si="209"/>
        <v>0</v>
      </c>
      <c r="AK166" s="30">
        <f t="shared" si="210"/>
        <v>0</v>
      </c>
      <c r="AL166" s="30">
        <f t="shared" si="211"/>
        <v>0</v>
      </c>
      <c r="AN166" s="30">
        <v>12</v>
      </c>
      <c r="AO166" s="30">
        <f>G166*1</f>
        <v>0</v>
      </c>
      <c r="AP166" s="30">
        <f>G166*(1-1)</f>
        <v>0</v>
      </c>
      <c r="AQ166" s="31" t="s">
        <v>77</v>
      </c>
      <c r="AV166" s="30">
        <f t="shared" si="212"/>
        <v>0</v>
      </c>
      <c r="AW166" s="30">
        <f t="shared" si="213"/>
        <v>0</v>
      </c>
      <c r="AX166" s="30">
        <f t="shared" si="214"/>
        <v>0</v>
      </c>
      <c r="AY166" s="31" t="s">
        <v>460</v>
      </c>
      <c r="AZ166" s="31" t="s">
        <v>259</v>
      </c>
      <c r="BA166" s="10" t="s">
        <v>60</v>
      </c>
      <c r="BC166" s="30">
        <f t="shared" si="215"/>
        <v>0</v>
      </c>
      <c r="BD166" s="30">
        <f t="shared" si="216"/>
        <v>0</v>
      </c>
      <c r="BE166" s="30">
        <v>0</v>
      </c>
      <c r="BF166" s="30">
        <f>166</f>
        <v>166</v>
      </c>
      <c r="BH166" s="30">
        <f t="shared" si="217"/>
        <v>0</v>
      </c>
      <c r="BI166" s="30">
        <f t="shared" si="218"/>
        <v>0</v>
      </c>
      <c r="BJ166" s="30">
        <f t="shared" si="219"/>
        <v>0</v>
      </c>
      <c r="BK166" s="30"/>
      <c r="BL166" s="30">
        <v>728</v>
      </c>
      <c r="BW166" s="30">
        <v>12</v>
      </c>
      <c r="BX166" s="4" t="s">
        <v>472</v>
      </c>
    </row>
    <row r="167" spans="1:76" x14ac:dyDescent="0.25">
      <c r="A167" s="32" t="s">
        <v>473</v>
      </c>
      <c r="B167" s="33" t="s">
        <v>474</v>
      </c>
      <c r="C167" s="141" t="s">
        <v>475</v>
      </c>
      <c r="D167" s="142"/>
      <c r="E167" s="33" t="s">
        <v>56</v>
      </c>
      <c r="F167" s="34">
        <v>2</v>
      </c>
      <c r="G167" s="35">
        <v>0</v>
      </c>
      <c r="H167" s="34">
        <f t="shared" si="198"/>
        <v>0</v>
      </c>
      <c r="I167" s="34">
        <f t="shared" si="199"/>
        <v>0</v>
      </c>
      <c r="J167" s="34">
        <f t="shared" si="200"/>
        <v>0</v>
      </c>
      <c r="K167" s="36" t="s">
        <v>57</v>
      </c>
      <c r="Z167" s="30">
        <f t="shared" si="201"/>
        <v>0</v>
      </c>
      <c r="AB167" s="30">
        <f t="shared" si="202"/>
        <v>0</v>
      </c>
      <c r="AC167" s="30">
        <f t="shared" si="203"/>
        <v>0</v>
      </c>
      <c r="AD167" s="30">
        <f t="shared" si="204"/>
        <v>0</v>
      </c>
      <c r="AE167" s="30">
        <f t="shared" si="205"/>
        <v>0</v>
      </c>
      <c r="AF167" s="30">
        <f t="shared" si="206"/>
        <v>0</v>
      </c>
      <c r="AG167" s="30">
        <f t="shared" si="207"/>
        <v>0</v>
      </c>
      <c r="AH167" s="30">
        <f t="shared" si="208"/>
        <v>0</v>
      </c>
      <c r="AI167" s="10" t="s">
        <v>50</v>
      </c>
      <c r="AJ167" s="30">
        <f t="shared" si="209"/>
        <v>0</v>
      </c>
      <c r="AK167" s="30">
        <f t="shared" si="210"/>
        <v>0</v>
      </c>
      <c r="AL167" s="30">
        <f t="shared" si="211"/>
        <v>0</v>
      </c>
      <c r="AN167" s="30">
        <v>12</v>
      </c>
      <c r="AO167" s="30">
        <f>G167*0</f>
        <v>0</v>
      </c>
      <c r="AP167" s="30">
        <f>G167*(1-0)</f>
        <v>0</v>
      </c>
      <c r="AQ167" s="31" t="s">
        <v>77</v>
      </c>
      <c r="AV167" s="30">
        <f t="shared" si="212"/>
        <v>0</v>
      </c>
      <c r="AW167" s="30">
        <f t="shared" si="213"/>
        <v>0</v>
      </c>
      <c r="AX167" s="30">
        <f t="shared" si="214"/>
        <v>0</v>
      </c>
      <c r="AY167" s="31" t="s">
        <v>460</v>
      </c>
      <c r="AZ167" s="31" t="s">
        <v>259</v>
      </c>
      <c r="BA167" s="10" t="s">
        <v>60</v>
      </c>
      <c r="BC167" s="30">
        <f t="shared" si="215"/>
        <v>0</v>
      </c>
      <c r="BD167" s="30">
        <f t="shared" si="216"/>
        <v>0</v>
      </c>
      <c r="BE167" s="30">
        <v>0</v>
      </c>
      <c r="BF167" s="30">
        <f>167</f>
        <v>167</v>
      </c>
      <c r="BH167" s="30">
        <f t="shared" si="217"/>
        <v>0</v>
      </c>
      <c r="BI167" s="30">
        <f t="shared" si="218"/>
        <v>0</v>
      </c>
      <c r="BJ167" s="30">
        <f t="shared" si="219"/>
        <v>0</v>
      </c>
      <c r="BK167" s="30"/>
      <c r="BL167" s="30">
        <v>728</v>
      </c>
      <c r="BW167" s="30">
        <v>12</v>
      </c>
      <c r="BX167" s="4" t="s">
        <v>475</v>
      </c>
    </row>
    <row r="168" spans="1:76" x14ac:dyDescent="0.25">
      <c r="A168" s="32" t="s">
        <v>476</v>
      </c>
      <c r="B168" s="33" t="s">
        <v>477</v>
      </c>
      <c r="C168" s="141" t="s">
        <v>478</v>
      </c>
      <c r="D168" s="142"/>
      <c r="E168" s="33" t="s">
        <v>56</v>
      </c>
      <c r="F168" s="34">
        <v>2</v>
      </c>
      <c r="G168" s="35">
        <v>0</v>
      </c>
      <c r="H168" s="34">
        <f t="shared" si="198"/>
        <v>0</v>
      </c>
      <c r="I168" s="34">
        <f t="shared" si="199"/>
        <v>0</v>
      </c>
      <c r="J168" s="34">
        <f t="shared" si="200"/>
        <v>0</v>
      </c>
      <c r="K168" s="36" t="s">
        <v>57</v>
      </c>
      <c r="Z168" s="30">
        <f t="shared" si="201"/>
        <v>0</v>
      </c>
      <c r="AB168" s="30">
        <f t="shared" si="202"/>
        <v>0</v>
      </c>
      <c r="AC168" s="30">
        <f t="shared" si="203"/>
        <v>0</v>
      </c>
      <c r="AD168" s="30">
        <f t="shared" si="204"/>
        <v>0</v>
      </c>
      <c r="AE168" s="30">
        <f t="shared" si="205"/>
        <v>0</v>
      </c>
      <c r="AF168" s="30">
        <f t="shared" si="206"/>
        <v>0</v>
      </c>
      <c r="AG168" s="30">
        <f t="shared" si="207"/>
        <v>0</v>
      </c>
      <c r="AH168" s="30">
        <f t="shared" si="208"/>
        <v>0</v>
      </c>
      <c r="AI168" s="10" t="s">
        <v>50</v>
      </c>
      <c r="AJ168" s="30">
        <f t="shared" si="209"/>
        <v>0</v>
      </c>
      <c r="AK168" s="30">
        <f t="shared" si="210"/>
        <v>0</v>
      </c>
      <c r="AL168" s="30">
        <f t="shared" si="211"/>
        <v>0</v>
      </c>
      <c r="AN168" s="30">
        <v>12</v>
      </c>
      <c r="AO168" s="30">
        <f>G168*1</f>
        <v>0</v>
      </c>
      <c r="AP168" s="30">
        <f>G168*(1-1)</f>
        <v>0</v>
      </c>
      <c r="AQ168" s="31" t="s">
        <v>77</v>
      </c>
      <c r="AV168" s="30">
        <f t="shared" si="212"/>
        <v>0</v>
      </c>
      <c r="AW168" s="30">
        <f t="shared" si="213"/>
        <v>0</v>
      </c>
      <c r="AX168" s="30">
        <f t="shared" si="214"/>
        <v>0</v>
      </c>
      <c r="AY168" s="31" t="s">
        <v>460</v>
      </c>
      <c r="AZ168" s="31" t="s">
        <v>259</v>
      </c>
      <c r="BA168" s="10" t="s">
        <v>60</v>
      </c>
      <c r="BC168" s="30">
        <f t="shared" si="215"/>
        <v>0</v>
      </c>
      <c r="BD168" s="30">
        <f t="shared" si="216"/>
        <v>0</v>
      </c>
      <c r="BE168" s="30">
        <v>0</v>
      </c>
      <c r="BF168" s="30">
        <f>168</f>
        <v>168</v>
      </c>
      <c r="BH168" s="30">
        <f t="shared" si="217"/>
        <v>0</v>
      </c>
      <c r="BI168" s="30">
        <f t="shared" si="218"/>
        <v>0</v>
      </c>
      <c r="BJ168" s="30">
        <f t="shared" si="219"/>
        <v>0</v>
      </c>
      <c r="BK168" s="30"/>
      <c r="BL168" s="30">
        <v>728</v>
      </c>
      <c r="BW168" s="30">
        <v>12</v>
      </c>
      <c r="BX168" s="4" t="s">
        <v>478</v>
      </c>
    </row>
    <row r="169" spans="1:76" x14ac:dyDescent="0.25">
      <c r="A169" s="32" t="s">
        <v>479</v>
      </c>
      <c r="B169" s="33" t="s">
        <v>480</v>
      </c>
      <c r="C169" s="141" t="s">
        <v>481</v>
      </c>
      <c r="D169" s="142"/>
      <c r="E169" s="33" t="s">
        <v>56</v>
      </c>
      <c r="F169" s="34">
        <v>2</v>
      </c>
      <c r="G169" s="35">
        <v>0</v>
      </c>
      <c r="H169" s="34">
        <f t="shared" si="198"/>
        <v>0</v>
      </c>
      <c r="I169" s="34">
        <f t="shared" si="199"/>
        <v>0</v>
      </c>
      <c r="J169" s="34">
        <f t="shared" si="200"/>
        <v>0</v>
      </c>
      <c r="K169" s="36" t="s">
        <v>57</v>
      </c>
      <c r="Z169" s="30">
        <f t="shared" si="201"/>
        <v>0</v>
      </c>
      <c r="AB169" s="30">
        <f t="shared" si="202"/>
        <v>0</v>
      </c>
      <c r="AC169" s="30">
        <f t="shared" si="203"/>
        <v>0</v>
      </c>
      <c r="AD169" s="30">
        <f t="shared" si="204"/>
        <v>0</v>
      </c>
      <c r="AE169" s="30">
        <f t="shared" si="205"/>
        <v>0</v>
      </c>
      <c r="AF169" s="30">
        <f t="shared" si="206"/>
        <v>0</v>
      </c>
      <c r="AG169" s="30">
        <f t="shared" si="207"/>
        <v>0</v>
      </c>
      <c r="AH169" s="30">
        <f t="shared" si="208"/>
        <v>0</v>
      </c>
      <c r="AI169" s="10" t="s">
        <v>50</v>
      </c>
      <c r="AJ169" s="30">
        <f t="shared" si="209"/>
        <v>0</v>
      </c>
      <c r="AK169" s="30">
        <f t="shared" si="210"/>
        <v>0</v>
      </c>
      <c r="AL169" s="30">
        <f t="shared" si="211"/>
        <v>0</v>
      </c>
      <c r="AN169" s="30">
        <v>12</v>
      </c>
      <c r="AO169" s="30">
        <f>G169*0</f>
        <v>0</v>
      </c>
      <c r="AP169" s="30">
        <f>G169*(1-0)</f>
        <v>0</v>
      </c>
      <c r="AQ169" s="31" t="s">
        <v>77</v>
      </c>
      <c r="AV169" s="30">
        <f t="shared" si="212"/>
        <v>0</v>
      </c>
      <c r="AW169" s="30">
        <f t="shared" si="213"/>
        <v>0</v>
      </c>
      <c r="AX169" s="30">
        <f t="shared" si="214"/>
        <v>0</v>
      </c>
      <c r="AY169" s="31" t="s">
        <v>460</v>
      </c>
      <c r="AZ169" s="31" t="s">
        <v>259</v>
      </c>
      <c r="BA169" s="10" t="s">
        <v>60</v>
      </c>
      <c r="BC169" s="30">
        <f t="shared" si="215"/>
        <v>0</v>
      </c>
      <c r="BD169" s="30">
        <f t="shared" si="216"/>
        <v>0</v>
      </c>
      <c r="BE169" s="30">
        <v>0</v>
      </c>
      <c r="BF169" s="30">
        <f>169</f>
        <v>169</v>
      </c>
      <c r="BH169" s="30">
        <f t="shared" si="217"/>
        <v>0</v>
      </c>
      <c r="BI169" s="30">
        <f t="shared" si="218"/>
        <v>0</v>
      </c>
      <c r="BJ169" s="30">
        <f t="shared" si="219"/>
        <v>0</v>
      </c>
      <c r="BK169" s="30"/>
      <c r="BL169" s="30">
        <v>728</v>
      </c>
      <c r="BW169" s="30">
        <v>12</v>
      </c>
      <c r="BX169" s="4" t="s">
        <v>481</v>
      </c>
    </row>
    <row r="170" spans="1:76" x14ac:dyDescent="0.25">
      <c r="A170" s="32" t="s">
        <v>482</v>
      </c>
      <c r="B170" s="33" t="s">
        <v>483</v>
      </c>
      <c r="C170" s="141" t="s">
        <v>484</v>
      </c>
      <c r="D170" s="142"/>
      <c r="E170" s="33" t="s">
        <v>56</v>
      </c>
      <c r="F170" s="34">
        <v>2</v>
      </c>
      <c r="G170" s="35">
        <v>0</v>
      </c>
      <c r="H170" s="34">
        <f t="shared" si="198"/>
        <v>0</v>
      </c>
      <c r="I170" s="34">
        <f t="shared" si="199"/>
        <v>0</v>
      </c>
      <c r="J170" s="34">
        <f t="shared" si="200"/>
        <v>0</v>
      </c>
      <c r="K170" s="36" t="s">
        <v>57</v>
      </c>
      <c r="Z170" s="30">
        <f t="shared" si="201"/>
        <v>0</v>
      </c>
      <c r="AB170" s="30">
        <f t="shared" si="202"/>
        <v>0</v>
      </c>
      <c r="AC170" s="30">
        <f t="shared" si="203"/>
        <v>0</v>
      </c>
      <c r="AD170" s="30">
        <f t="shared" si="204"/>
        <v>0</v>
      </c>
      <c r="AE170" s="30">
        <f t="shared" si="205"/>
        <v>0</v>
      </c>
      <c r="AF170" s="30">
        <f t="shared" si="206"/>
        <v>0</v>
      </c>
      <c r="AG170" s="30">
        <f t="shared" si="207"/>
        <v>0</v>
      </c>
      <c r="AH170" s="30">
        <f t="shared" si="208"/>
        <v>0</v>
      </c>
      <c r="AI170" s="10" t="s">
        <v>50</v>
      </c>
      <c r="AJ170" s="30">
        <f t="shared" si="209"/>
        <v>0</v>
      </c>
      <c r="AK170" s="30">
        <f t="shared" si="210"/>
        <v>0</v>
      </c>
      <c r="AL170" s="30">
        <f t="shared" si="211"/>
        <v>0</v>
      </c>
      <c r="AN170" s="30">
        <v>12</v>
      </c>
      <c r="AO170" s="30">
        <f>G170*1</f>
        <v>0</v>
      </c>
      <c r="AP170" s="30">
        <f>G170*(1-1)</f>
        <v>0</v>
      </c>
      <c r="AQ170" s="31" t="s">
        <v>77</v>
      </c>
      <c r="AV170" s="30">
        <f t="shared" si="212"/>
        <v>0</v>
      </c>
      <c r="AW170" s="30">
        <f t="shared" si="213"/>
        <v>0</v>
      </c>
      <c r="AX170" s="30">
        <f t="shared" si="214"/>
        <v>0</v>
      </c>
      <c r="AY170" s="31" t="s">
        <v>460</v>
      </c>
      <c r="AZ170" s="31" t="s">
        <v>259</v>
      </c>
      <c r="BA170" s="10" t="s">
        <v>60</v>
      </c>
      <c r="BC170" s="30">
        <f t="shared" si="215"/>
        <v>0</v>
      </c>
      <c r="BD170" s="30">
        <f t="shared" si="216"/>
        <v>0</v>
      </c>
      <c r="BE170" s="30">
        <v>0</v>
      </c>
      <c r="BF170" s="30">
        <f>170</f>
        <v>170</v>
      </c>
      <c r="BH170" s="30">
        <f t="shared" si="217"/>
        <v>0</v>
      </c>
      <c r="BI170" s="30">
        <f t="shared" si="218"/>
        <v>0</v>
      </c>
      <c r="BJ170" s="30">
        <f t="shared" si="219"/>
        <v>0</v>
      </c>
      <c r="BK170" s="30"/>
      <c r="BL170" s="30">
        <v>728</v>
      </c>
      <c r="BW170" s="30">
        <v>12</v>
      </c>
      <c r="BX170" s="4" t="s">
        <v>484</v>
      </c>
    </row>
    <row r="171" spans="1:76" x14ac:dyDescent="0.25">
      <c r="A171" s="32" t="s">
        <v>485</v>
      </c>
      <c r="B171" s="33" t="s">
        <v>486</v>
      </c>
      <c r="C171" s="141" t="s">
        <v>487</v>
      </c>
      <c r="D171" s="142"/>
      <c r="E171" s="33" t="s">
        <v>109</v>
      </c>
      <c r="F171" s="34">
        <v>1.7979999999999999E-2</v>
      </c>
      <c r="G171" s="35">
        <v>0</v>
      </c>
      <c r="H171" s="34">
        <f t="shared" si="198"/>
        <v>0</v>
      </c>
      <c r="I171" s="34">
        <f t="shared" si="199"/>
        <v>0</v>
      </c>
      <c r="J171" s="34">
        <f t="shared" si="200"/>
        <v>0</v>
      </c>
      <c r="K171" s="36" t="s">
        <v>57</v>
      </c>
      <c r="Z171" s="30">
        <f t="shared" si="201"/>
        <v>0</v>
      </c>
      <c r="AB171" s="30">
        <f t="shared" si="202"/>
        <v>0</v>
      </c>
      <c r="AC171" s="30">
        <f t="shared" si="203"/>
        <v>0</v>
      </c>
      <c r="AD171" s="30">
        <f t="shared" si="204"/>
        <v>0</v>
      </c>
      <c r="AE171" s="30">
        <f t="shared" si="205"/>
        <v>0</v>
      </c>
      <c r="AF171" s="30">
        <f t="shared" si="206"/>
        <v>0</v>
      </c>
      <c r="AG171" s="30">
        <f t="shared" si="207"/>
        <v>0</v>
      </c>
      <c r="AH171" s="30">
        <f t="shared" si="208"/>
        <v>0</v>
      </c>
      <c r="AI171" s="10" t="s">
        <v>50</v>
      </c>
      <c r="AJ171" s="30">
        <f t="shared" si="209"/>
        <v>0</v>
      </c>
      <c r="AK171" s="30">
        <f t="shared" si="210"/>
        <v>0</v>
      </c>
      <c r="AL171" s="30">
        <f t="shared" si="211"/>
        <v>0</v>
      </c>
      <c r="AN171" s="30">
        <v>12</v>
      </c>
      <c r="AO171" s="30">
        <f>G171*0</f>
        <v>0</v>
      </c>
      <c r="AP171" s="30">
        <f>G171*(1-0)</f>
        <v>0</v>
      </c>
      <c r="AQ171" s="31" t="s">
        <v>71</v>
      </c>
      <c r="AV171" s="30">
        <f t="shared" si="212"/>
        <v>0</v>
      </c>
      <c r="AW171" s="30">
        <f t="shared" si="213"/>
        <v>0</v>
      </c>
      <c r="AX171" s="30">
        <f t="shared" si="214"/>
        <v>0</v>
      </c>
      <c r="AY171" s="31" t="s">
        <v>460</v>
      </c>
      <c r="AZ171" s="31" t="s">
        <v>259</v>
      </c>
      <c r="BA171" s="10" t="s">
        <v>60</v>
      </c>
      <c r="BC171" s="30">
        <f t="shared" si="215"/>
        <v>0</v>
      </c>
      <c r="BD171" s="30">
        <f t="shared" si="216"/>
        <v>0</v>
      </c>
      <c r="BE171" s="30">
        <v>0</v>
      </c>
      <c r="BF171" s="30">
        <f>171</f>
        <v>171</v>
      </c>
      <c r="BH171" s="30">
        <f t="shared" si="217"/>
        <v>0</v>
      </c>
      <c r="BI171" s="30">
        <f t="shared" si="218"/>
        <v>0</v>
      </c>
      <c r="BJ171" s="30">
        <f t="shared" si="219"/>
        <v>0</v>
      </c>
      <c r="BK171" s="30"/>
      <c r="BL171" s="30">
        <v>728</v>
      </c>
      <c r="BW171" s="30">
        <v>12</v>
      </c>
      <c r="BX171" s="4" t="s">
        <v>487</v>
      </c>
    </row>
    <row r="172" spans="1:76" x14ac:dyDescent="0.25">
      <c r="A172" s="39" t="s">
        <v>50</v>
      </c>
      <c r="B172" s="40" t="s">
        <v>488</v>
      </c>
      <c r="C172" s="156" t="s">
        <v>489</v>
      </c>
      <c r="D172" s="157"/>
      <c r="E172" s="41" t="s">
        <v>4</v>
      </c>
      <c r="F172" s="41" t="s">
        <v>4</v>
      </c>
      <c r="G172" s="42" t="s">
        <v>4</v>
      </c>
      <c r="H172" s="43">
        <f>SUM(H173:H180)</f>
        <v>0</v>
      </c>
      <c r="I172" s="43">
        <f>SUM(I173:I180)</f>
        <v>0</v>
      </c>
      <c r="J172" s="43">
        <f>SUM(J173:J180)</f>
        <v>0</v>
      </c>
      <c r="K172" s="44" t="s">
        <v>50</v>
      </c>
      <c r="AI172" s="10" t="s">
        <v>50</v>
      </c>
      <c r="AS172" s="1">
        <f>SUM(AJ173:AJ180)</f>
        <v>0</v>
      </c>
      <c r="AT172" s="1">
        <f>SUM(AK173:AK180)</f>
        <v>0</v>
      </c>
      <c r="AU172" s="1">
        <f>SUM(AL173:AL180)</f>
        <v>0</v>
      </c>
    </row>
    <row r="173" spans="1:76" x14ac:dyDescent="0.25">
      <c r="A173" s="25" t="s">
        <v>490</v>
      </c>
      <c r="B173" s="26" t="s">
        <v>491</v>
      </c>
      <c r="C173" s="150" t="s">
        <v>492</v>
      </c>
      <c r="D173" s="151"/>
      <c r="E173" s="26" t="s">
        <v>355</v>
      </c>
      <c r="F173" s="27">
        <v>1</v>
      </c>
      <c r="G173" s="28">
        <v>0</v>
      </c>
      <c r="H173" s="27">
        <f t="shared" ref="H173:H180" si="220">F173*AO173</f>
        <v>0</v>
      </c>
      <c r="I173" s="27">
        <f t="shared" ref="I173:I180" si="221">F173*AP173</f>
        <v>0</v>
      </c>
      <c r="J173" s="27">
        <f t="shared" ref="J173:J180" si="222">F173*G173</f>
        <v>0</v>
      </c>
      <c r="K173" s="29" t="s">
        <v>57</v>
      </c>
      <c r="Z173" s="30">
        <f t="shared" ref="Z173:Z180" si="223">IF(AQ173="5",BJ173,0)</f>
        <v>0</v>
      </c>
      <c r="AB173" s="30">
        <f t="shared" ref="AB173:AB180" si="224">IF(AQ173="1",BH173,0)</f>
        <v>0</v>
      </c>
      <c r="AC173" s="30">
        <f t="shared" ref="AC173:AC180" si="225">IF(AQ173="1",BI173,0)</f>
        <v>0</v>
      </c>
      <c r="AD173" s="30">
        <f t="shared" ref="AD173:AD180" si="226">IF(AQ173="7",BH173,0)</f>
        <v>0</v>
      </c>
      <c r="AE173" s="30">
        <f t="shared" ref="AE173:AE180" si="227">IF(AQ173="7",BI173,0)</f>
        <v>0</v>
      </c>
      <c r="AF173" s="30">
        <f t="shared" ref="AF173:AF180" si="228">IF(AQ173="2",BH173,0)</f>
        <v>0</v>
      </c>
      <c r="AG173" s="30">
        <f t="shared" ref="AG173:AG180" si="229">IF(AQ173="2",BI173,0)</f>
        <v>0</v>
      </c>
      <c r="AH173" s="30">
        <f t="shared" ref="AH173:AH180" si="230">IF(AQ173="0",BJ173,0)</f>
        <v>0</v>
      </c>
      <c r="AI173" s="10" t="s">
        <v>50</v>
      </c>
      <c r="AJ173" s="30">
        <f t="shared" ref="AJ173:AJ180" si="231">IF(AN173=0,J173,0)</f>
        <v>0</v>
      </c>
      <c r="AK173" s="30">
        <f t="shared" ref="AK173:AK180" si="232">IF(AN173=12,J173,0)</f>
        <v>0</v>
      </c>
      <c r="AL173" s="30">
        <f t="shared" ref="AL173:AL180" si="233">IF(AN173=21,J173,0)</f>
        <v>0</v>
      </c>
      <c r="AN173" s="30">
        <v>12</v>
      </c>
      <c r="AO173" s="30">
        <f>G173*0.052733837</f>
        <v>0</v>
      </c>
      <c r="AP173" s="30">
        <f>G173*(1-0.052733837)</f>
        <v>0</v>
      </c>
      <c r="AQ173" s="31" t="s">
        <v>77</v>
      </c>
      <c r="AV173" s="30">
        <f t="shared" ref="AV173:AV180" si="234">AW173+AX173</f>
        <v>0</v>
      </c>
      <c r="AW173" s="30">
        <f t="shared" ref="AW173:AW180" si="235">F173*AO173</f>
        <v>0</v>
      </c>
      <c r="AX173" s="30">
        <f t="shared" ref="AX173:AX180" si="236">F173*AP173</f>
        <v>0</v>
      </c>
      <c r="AY173" s="31" t="s">
        <v>493</v>
      </c>
      <c r="AZ173" s="31" t="s">
        <v>494</v>
      </c>
      <c r="BA173" s="10" t="s">
        <v>60</v>
      </c>
      <c r="BC173" s="30">
        <f t="shared" ref="BC173:BC180" si="237">AW173+AX173</f>
        <v>0</v>
      </c>
      <c r="BD173" s="30">
        <f t="shared" ref="BD173:BD180" si="238">G173/(100-BE173)*100</f>
        <v>0</v>
      </c>
      <c r="BE173" s="30">
        <v>0</v>
      </c>
      <c r="BF173" s="30">
        <f>173</f>
        <v>173</v>
      </c>
      <c r="BH173" s="30">
        <f t="shared" ref="BH173:BH180" si="239">F173*AO173</f>
        <v>0</v>
      </c>
      <c r="BI173" s="30">
        <f t="shared" ref="BI173:BI180" si="240">F173*AP173</f>
        <v>0</v>
      </c>
      <c r="BJ173" s="30">
        <f t="shared" ref="BJ173:BJ180" si="241">F173*G173</f>
        <v>0</v>
      </c>
      <c r="BK173" s="30"/>
      <c r="BL173" s="30">
        <v>731</v>
      </c>
      <c r="BW173" s="30">
        <v>12</v>
      </c>
      <c r="BX173" s="4" t="s">
        <v>492</v>
      </c>
    </row>
    <row r="174" spans="1:76" x14ac:dyDescent="0.25">
      <c r="A174" s="32" t="s">
        <v>495</v>
      </c>
      <c r="B174" s="33" t="s">
        <v>496</v>
      </c>
      <c r="C174" s="141" t="s">
        <v>497</v>
      </c>
      <c r="D174" s="142"/>
      <c r="E174" s="33" t="s">
        <v>56</v>
      </c>
      <c r="F174" s="34">
        <v>1</v>
      </c>
      <c r="G174" s="35">
        <v>0</v>
      </c>
      <c r="H174" s="34">
        <f t="shared" si="220"/>
        <v>0</v>
      </c>
      <c r="I174" s="34">
        <f t="shared" si="221"/>
        <v>0</v>
      </c>
      <c r="J174" s="34">
        <f t="shared" si="222"/>
        <v>0</v>
      </c>
      <c r="K174" s="36" t="s">
        <v>57</v>
      </c>
      <c r="Z174" s="30">
        <f t="shared" si="223"/>
        <v>0</v>
      </c>
      <c r="AB174" s="30">
        <f t="shared" si="224"/>
        <v>0</v>
      </c>
      <c r="AC174" s="30">
        <f t="shared" si="225"/>
        <v>0</v>
      </c>
      <c r="AD174" s="30">
        <f t="shared" si="226"/>
        <v>0</v>
      </c>
      <c r="AE174" s="30">
        <f t="shared" si="227"/>
        <v>0</v>
      </c>
      <c r="AF174" s="30">
        <f t="shared" si="228"/>
        <v>0</v>
      </c>
      <c r="AG174" s="30">
        <f t="shared" si="229"/>
        <v>0</v>
      </c>
      <c r="AH174" s="30">
        <f t="shared" si="230"/>
        <v>0</v>
      </c>
      <c r="AI174" s="10" t="s">
        <v>50</v>
      </c>
      <c r="AJ174" s="30">
        <f t="shared" si="231"/>
        <v>0</v>
      </c>
      <c r="AK174" s="30">
        <f t="shared" si="232"/>
        <v>0</v>
      </c>
      <c r="AL174" s="30">
        <f t="shared" si="233"/>
        <v>0</v>
      </c>
      <c r="AN174" s="30">
        <v>12</v>
      </c>
      <c r="AO174" s="30">
        <f>G174*1</f>
        <v>0</v>
      </c>
      <c r="AP174" s="30">
        <f>G174*(1-1)</f>
        <v>0</v>
      </c>
      <c r="AQ174" s="31" t="s">
        <v>77</v>
      </c>
      <c r="AV174" s="30">
        <f t="shared" si="234"/>
        <v>0</v>
      </c>
      <c r="AW174" s="30">
        <f t="shared" si="235"/>
        <v>0</v>
      </c>
      <c r="AX174" s="30">
        <f t="shared" si="236"/>
        <v>0</v>
      </c>
      <c r="AY174" s="31" t="s">
        <v>493</v>
      </c>
      <c r="AZ174" s="31" t="s">
        <v>494</v>
      </c>
      <c r="BA174" s="10" t="s">
        <v>60</v>
      </c>
      <c r="BC174" s="30">
        <f t="shared" si="237"/>
        <v>0</v>
      </c>
      <c r="BD174" s="30">
        <f t="shared" si="238"/>
        <v>0</v>
      </c>
      <c r="BE174" s="30">
        <v>0</v>
      </c>
      <c r="BF174" s="30">
        <f>174</f>
        <v>174</v>
      </c>
      <c r="BH174" s="30">
        <f t="shared" si="239"/>
        <v>0</v>
      </c>
      <c r="BI174" s="30">
        <f t="shared" si="240"/>
        <v>0</v>
      </c>
      <c r="BJ174" s="30">
        <f t="shared" si="241"/>
        <v>0</v>
      </c>
      <c r="BK174" s="30"/>
      <c r="BL174" s="30">
        <v>731</v>
      </c>
      <c r="BW174" s="30">
        <v>12</v>
      </c>
      <c r="BX174" s="4" t="s">
        <v>497</v>
      </c>
    </row>
    <row r="175" spans="1:76" x14ac:dyDescent="0.25">
      <c r="A175" s="32" t="s">
        <v>498</v>
      </c>
      <c r="B175" s="33" t="s">
        <v>499</v>
      </c>
      <c r="C175" s="141" t="s">
        <v>500</v>
      </c>
      <c r="D175" s="142"/>
      <c r="E175" s="33" t="s">
        <v>56</v>
      </c>
      <c r="F175" s="34">
        <v>1</v>
      </c>
      <c r="G175" s="35">
        <v>0</v>
      </c>
      <c r="H175" s="34">
        <f t="shared" si="220"/>
        <v>0</v>
      </c>
      <c r="I175" s="34">
        <f t="shared" si="221"/>
        <v>0</v>
      </c>
      <c r="J175" s="34">
        <f t="shared" si="222"/>
        <v>0</v>
      </c>
      <c r="K175" s="36" t="s">
        <v>57</v>
      </c>
      <c r="Z175" s="30">
        <f t="shared" si="223"/>
        <v>0</v>
      </c>
      <c r="AB175" s="30">
        <f t="shared" si="224"/>
        <v>0</v>
      </c>
      <c r="AC175" s="30">
        <f t="shared" si="225"/>
        <v>0</v>
      </c>
      <c r="AD175" s="30">
        <f t="shared" si="226"/>
        <v>0</v>
      </c>
      <c r="AE175" s="30">
        <f t="shared" si="227"/>
        <v>0</v>
      </c>
      <c r="AF175" s="30">
        <f t="shared" si="228"/>
        <v>0</v>
      </c>
      <c r="AG175" s="30">
        <f t="shared" si="229"/>
        <v>0</v>
      </c>
      <c r="AH175" s="30">
        <f t="shared" si="230"/>
        <v>0</v>
      </c>
      <c r="AI175" s="10" t="s">
        <v>50</v>
      </c>
      <c r="AJ175" s="30">
        <f t="shared" si="231"/>
        <v>0</v>
      </c>
      <c r="AK175" s="30">
        <f t="shared" si="232"/>
        <v>0</v>
      </c>
      <c r="AL175" s="30">
        <f t="shared" si="233"/>
        <v>0</v>
      </c>
      <c r="AN175" s="30">
        <v>12</v>
      </c>
      <c r="AO175" s="30">
        <f>G175*0.867370498</f>
        <v>0</v>
      </c>
      <c r="AP175" s="30">
        <f>G175*(1-0.867370498)</f>
        <v>0</v>
      </c>
      <c r="AQ175" s="31" t="s">
        <v>77</v>
      </c>
      <c r="AV175" s="30">
        <f t="shared" si="234"/>
        <v>0</v>
      </c>
      <c r="AW175" s="30">
        <f t="shared" si="235"/>
        <v>0</v>
      </c>
      <c r="AX175" s="30">
        <f t="shared" si="236"/>
        <v>0</v>
      </c>
      <c r="AY175" s="31" t="s">
        <v>493</v>
      </c>
      <c r="AZ175" s="31" t="s">
        <v>494</v>
      </c>
      <c r="BA175" s="10" t="s">
        <v>60</v>
      </c>
      <c r="BC175" s="30">
        <f t="shared" si="237"/>
        <v>0</v>
      </c>
      <c r="BD175" s="30">
        <f t="shared" si="238"/>
        <v>0</v>
      </c>
      <c r="BE175" s="30">
        <v>0</v>
      </c>
      <c r="BF175" s="30">
        <f>175</f>
        <v>175</v>
      </c>
      <c r="BH175" s="30">
        <f t="shared" si="239"/>
        <v>0</v>
      </c>
      <c r="BI175" s="30">
        <f t="shared" si="240"/>
        <v>0</v>
      </c>
      <c r="BJ175" s="30">
        <f t="shared" si="241"/>
        <v>0</v>
      </c>
      <c r="BK175" s="30"/>
      <c r="BL175" s="30">
        <v>731</v>
      </c>
      <c r="BW175" s="30">
        <v>12</v>
      </c>
      <c r="BX175" s="4" t="s">
        <v>500</v>
      </c>
    </row>
    <row r="176" spans="1:76" x14ac:dyDescent="0.25">
      <c r="A176" s="32" t="s">
        <v>501</v>
      </c>
      <c r="B176" s="33" t="s">
        <v>502</v>
      </c>
      <c r="C176" s="141" t="s">
        <v>503</v>
      </c>
      <c r="D176" s="142"/>
      <c r="E176" s="33" t="s">
        <v>56</v>
      </c>
      <c r="F176" s="34">
        <v>1</v>
      </c>
      <c r="G176" s="35">
        <v>0</v>
      </c>
      <c r="H176" s="34">
        <f t="shared" si="220"/>
        <v>0</v>
      </c>
      <c r="I176" s="34">
        <f t="shared" si="221"/>
        <v>0</v>
      </c>
      <c r="J176" s="34">
        <f t="shared" si="222"/>
        <v>0</v>
      </c>
      <c r="K176" s="36" t="s">
        <v>57</v>
      </c>
      <c r="Z176" s="30">
        <f t="shared" si="223"/>
        <v>0</v>
      </c>
      <c r="AB176" s="30">
        <f t="shared" si="224"/>
        <v>0</v>
      </c>
      <c r="AC176" s="30">
        <f t="shared" si="225"/>
        <v>0</v>
      </c>
      <c r="AD176" s="30">
        <f t="shared" si="226"/>
        <v>0</v>
      </c>
      <c r="AE176" s="30">
        <f t="shared" si="227"/>
        <v>0</v>
      </c>
      <c r="AF176" s="30">
        <f t="shared" si="228"/>
        <v>0</v>
      </c>
      <c r="AG176" s="30">
        <f t="shared" si="229"/>
        <v>0</v>
      </c>
      <c r="AH176" s="30">
        <f t="shared" si="230"/>
        <v>0</v>
      </c>
      <c r="AI176" s="10" t="s">
        <v>50</v>
      </c>
      <c r="AJ176" s="30">
        <f t="shared" si="231"/>
        <v>0</v>
      </c>
      <c r="AK176" s="30">
        <f t="shared" si="232"/>
        <v>0</v>
      </c>
      <c r="AL176" s="30">
        <f t="shared" si="233"/>
        <v>0</v>
      </c>
      <c r="AN176" s="30">
        <v>12</v>
      </c>
      <c r="AO176" s="30">
        <f>G176*0.923240863</f>
        <v>0</v>
      </c>
      <c r="AP176" s="30">
        <f>G176*(1-0.923240863)</f>
        <v>0</v>
      </c>
      <c r="AQ176" s="31" t="s">
        <v>77</v>
      </c>
      <c r="AV176" s="30">
        <f t="shared" si="234"/>
        <v>0</v>
      </c>
      <c r="AW176" s="30">
        <f t="shared" si="235"/>
        <v>0</v>
      </c>
      <c r="AX176" s="30">
        <f t="shared" si="236"/>
        <v>0</v>
      </c>
      <c r="AY176" s="31" t="s">
        <v>493</v>
      </c>
      <c r="AZ176" s="31" t="s">
        <v>494</v>
      </c>
      <c r="BA176" s="10" t="s">
        <v>60</v>
      </c>
      <c r="BC176" s="30">
        <f t="shared" si="237"/>
        <v>0</v>
      </c>
      <c r="BD176" s="30">
        <f t="shared" si="238"/>
        <v>0</v>
      </c>
      <c r="BE176" s="30">
        <v>0</v>
      </c>
      <c r="BF176" s="30">
        <f>176</f>
        <v>176</v>
      </c>
      <c r="BH176" s="30">
        <f t="shared" si="239"/>
        <v>0</v>
      </c>
      <c r="BI176" s="30">
        <f t="shared" si="240"/>
        <v>0</v>
      </c>
      <c r="BJ176" s="30">
        <f t="shared" si="241"/>
        <v>0</v>
      </c>
      <c r="BK176" s="30"/>
      <c r="BL176" s="30">
        <v>731</v>
      </c>
      <c r="BW176" s="30">
        <v>12</v>
      </c>
      <c r="BX176" s="4" t="s">
        <v>503</v>
      </c>
    </row>
    <row r="177" spans="1:76" x14ac:dyDescent="0.25">
      <c r="A177" s="32" t="s">
        <v>504</v>
      </c>
      <c r="B177" s="33" t="s">
        <v>505</v>
      </c>
      <c r="C177" s="141" t="s">
        <v>506</v>
      </c>
      <c r="D177" s="142"/>
      <c r="E177" s="33" t="s">
        <v>507</v>
      </c>
      <c r="F177" s="34">
        <v>1</v>
      </c>
      <c r="G177" s="35">
        <v>0</v>
      </c>
      <c r="H177" s="34">
        <f t="shared" si="220"/>
        <v>0</v>
      </c>
      <c r="I177" s="34">
        <f t="shared" si="221"/>
        <v>0</v>
      </c>
      <c r="J177" s="34">
        <f t="shared" si="222"/>
        <v>0</v>
      </c>
      <c r="K177" s="36" t="s">
        <v>57</v>
      </c>
      <c r="Z177" s="30">
        <f t="shared" si="223"/>
        <v>0</v>
      </c>
      <c r="AB177" s="30">
        <f t="shared" si="224"/>
        <v>0</v>
      </c>
      <c r="AC177" s="30">
        <f t="shared" si="225"/>
        <v>0</v>
      </c>
      <c r="AD177" s="30">
        <f t="shared" si="226"/>
        <v>0</v>
      </c>
      <c r="AE177" s="30">
        <f t="shared" si="227"/>
        <v>0</v>
      </c>
      <c r="AF177" s="30">
        <f t="shared" si="228"/>
        <v>0</v>
      </c>
      <c r="AG177" s="30">
        <f t="shared" si="229"/>
        <v>0</v>
      </c>
      <c r="AH177" s="30">
        <f t="shared" si="230"/>
        <v>0</v>
      </c>
      <c r="AI177" s="10" t="s">
        <v>50</v>
      </c>
      <c r="AJ177" s="30">
        <f t="shared" si="231"/>
        <v>0</v>
      </c>
      <c r="AK177" s="30">
        <f t="shared" si="232"/>
        <v>0</v>
      </c>
      <c r="AL177" s="30">
        <f t="shared" si="233"/>
        <v>0</v>
      </c>
      <c r="AN177" s="30">
        <v>12</v>
      </c>
      <c r="AO177" s="30">
        <f>G177*0.941523915</f>
        <v>0</v>
      </c>
      <c r="AP177" s="30">
        <f>G177*(1-0.941523915)</f>
        <v>0</v>
      </c>
      <c r="AQ177" s="31" t="s">
        <v>77</v>
      </c>
      <c r="AV177" s="30">
        <f t="shared" si="234"/>
        <v>0</v>
      </c>
      <c r="AW177" s="30">
        <f t="shared" si="235"/>
        <v>0</v>
      </c>
      <c r="AX177" s="30">
        <f t="shared" si="236"/>
        <v>0</v>
      </c>
      <c r="AY177" s="31" t="s">
        <v>493</v>
      </c>
      <c r="AZ177" s="31" t="s">
        <v>494</v>
      </c>
      <c r="BA177" s="10" t="s">
        <v>60</v>
      </c>
      <c r="BC177" s="30">
        <f t="shared" si="237"/>
        <v>0</v>
      </c>
      <c r="BD177" s="30">
        <f t="shared" si="238"/>
        <v>0</v>
      </c>
      <c r="BE177" s="30">
        <v>0</v>
      </c>
      <c r="BF177" s="30">
        <f>177</f>
        <v>177</v>
      </c>
      <c r="BH177" s="30">
        <f t="shared" si="239"/>
        <v>0</v>
      </c>
      <c r="BI177" s="30">
        <f t="shared" si="240"/>
        <v>0</v>
      </c>
      <c r="BJ177" s="30">
        <f t="shared" si="241"/>
        <v>0</v>
      </c>
      <c r="BK177" s="30"/>
      <c r="BL177" s="30">
        <v>731</v>
      </c>
      <c r="BW177" s="30">
        <v>12</v>
      </c>
      <c r="BX177" s="4" t="s">
        <v>506</v>
      </c>
    </row>
    <row r="178" spans="1:76" x14ac:dyDescent="0.25">
      <c r="A178" s="32" t="s">
        <v>508</v>
      </c>
      <c r="B178" s="33" t="s">
        <v>509</v>
      </c>
      <c r="C178" s="141" t="s">
        <v>510</v>
      </c>
      <c r="D178" s="142"/>
      <c r="E178" s="33" t="s">
        <v>507</v>
      </c>
      <c r="F178" s="34">
        <v>1</v>
      </c>
      <c r="G178" s="35">
        <v>0</v>
      </c>
      <c r="H178" s="34">
        <f t="shared" si="220"/>
        <v>0</v>
      </c>
      <c r="I178" s="34">
        <f t="shared" si="221"/>
        <v>0</v>
      </c>
      <c r="J178" s="34">
        <f t="shared" si="222"/>
        <v>0</v>
      </c>
      <c r="K178" s="36" t="s">
        <v>57</v>
      </c>
      <c r="Z178" s="30">
        <f t="shared" si="223"/>
        <v>0</v>
      </c>
      <c r="AB178" s="30">
        <f t="shared" si="224"/>
        <v>0</v>
      </c>
      <c r="AC178" s="30">
        <f t="shared" si="225"/>
        <v>0</v>
      </c>
      <c r="AD178" s="30">
        <f t="shared" si="226"/>
        <v>0</v>
      </c>
      <c r="AE178" s="30">
        <f t="shared" si="227"/>
        <v>0</v>
      </c>
      <c r="AF178" s="30">
        <f t="shared" si="228"/>
        <v>0</v>
      </c>
      <c r="AG178" s="30">
        <f t="shared" si="229"/>
        <v>0</v>
      </c>
      <c r="AH178" s="30">
        <f t="shared" si="230"/>
        <v>0</v>
      </c>
      <c r="AI178" s="10" t="s">
        <v>50</v>
      </c>
      <c r="AJ178" s="30">
        <f t="shared" si="231"/>
        <v>0</v>
      </c>
      <c r="AK178" s="30">
        <f t="shared" si="232"/>
        <v>0</v>
      </c>
      <c r="AL178" s="30">
        <f t="shared" si="233"/>
        <v>0</v>
      </c>
      <c r="AN178" s="30">
        <v>12</v>
      </c>
      <c r="AO178" s="30">
        <f>G178*0.896311637</f>
        <v>0</v>
      </c>
      <c r="AP178" s="30">
        <f>G178*(1-0.896311637)</f>
        <v>0</v>
      </c>
      <c r="AQ178" s="31" t="s">
        <v>77</v>
      </c>
      <c r="AV178" s="30">
        <f t="shared" si="234"/>
        <v>0</v>
      </c>
      <c r="AW178" s="30">
        <f t="shared" si="235"/>
        <v>0</v>
      </c>
      <c r="AX178" s="30">
        <f t="shared" si="236"/>
        <v>0</v>
      </c>
      <c r="AY178" s="31" t="s">
        <v>493</v>
      </c>
      <c r="AZ178" s="31" t="s">
        <v>494</v>
      </c>
      <c r="BA178" s="10" t="s">
        <v>60</v>
      </c>
      <c r="BC178" s="30">
        <f t="shared" si="237"/>
        <v>0</v>
      </c>
      <c r="BD178" s="30">
        <f t="shared" si="238"/>
        <v>0</v>
      </c>
      <c r="BE178" s="30">
        <v>0</v>
      </c>
      <c r="BF178" s="30">
        <f>178</f>
        <v>178</v>
      </c>
      <c r="BH178" s="30">
        <f t="shared" si="239"/>
        <v>0</v>
      </c>
      <c r="BI178" s="30">
        <f t="shared" si="240"/>
        <v>0</v>
      </c>
      <c r="BJ178" s="30">
        <f t="shared" si="241"/>
        <v>0</v>
      </c>
      <c r="BK178" s="30"/>
      <c r="BL178" s="30">
        <v>731</v>
      </c>
      <c r="BW178" s="30">
        <v>12</v>
      </c>
      <c r="BX178" s="4" t="s">
        <v>510</v>
      </c>
    </row>
    <row r="179" spans="1:76" x14ac:dyDescent="0.25">
      <c r="A179" s="32" t="s">
        <v>511</v>
      </c>
      <c r="B179" s="33" t="s">
        <v>512</v>
      </c>
      <c r="C179" s="141" t="s">
        <v>513</v>
      </c>
      <c r="D179" s="142"/>
      <c r="E179" s="33" t="s">
        <v>56</v>
      </c>
      <c r="F179" s="34">
        <v>5</v>
      </c>
      <c r="G179" s="35">
        <v>0</v>
      </c>
      <c r="H179" s="34">
        <f t="shared" si="220"/>
        <v>0</v>
      </c>
      <c r="I179" s="34">
        <f t="shared" si="221"/>
        <v>0</v>
      </c>
      <c r="J179" s="34">
        <f t="shared" si="222"/>
        <v>0</v>
      </c>
      <c r="K179" s="36" t="s">
        <v>57</v>
      </c>
      <c r="Z179" s="30">
        <f t="shared" si="223"/>
        <v>0</v>
      </c>
      <c r="AB179" s="30">
        <f t="shared" si="224"/>
        <v>0</v>
      </c>
      <c r="AC179" s="30">
        <f t="shared" si="225"/>
        <v>0</v>
      </c>
      <c r="AD179" s="30">
        <f t="shared" si="226"/>
        <v>0</v>
      </c>
      <c r="AE179" s="30">
        <f t="shared" si="227"/>
        <v>0</v>
      </c>
      <c r="AF179" s="30">
        <f t="shared" si="228"/>
        <v>0</v>
      </c>
      <c r="AG179" s="30">
        <f t="shared" si="229"/>
        <v>0</v>
      </c>
      <c r="AH179" s="30">
        <f t="shared" si="230"/>
        <v>0</v>
      </c>
      <c r="AI179" s="10" t="s">
        <v>50</v>
      </c>
      <c r="AJ179" s="30">
        <f t="shared" si="231"/>
        <v>0</v>
      </c>
      <c r="AK179" s="30">
        <f t="shared" si="232"/>
        <v>0</v>
      </c>
      <c r="AL179" s="30">
        <f t="shared" si="233"/>
        <v>0</v>
      </c>
      <c r="AN179" s="30">
        <v>12</v>
      </c>
      <c r="AO179" s="30">
        <f>G179*0.944840391</f>
        <v>0</v>
      </c>
      <c r="AP179" s="30">
        <f>G179*(1-0.944840391)</f>
        <v>0</v>
      </c>
      <c r="AQ179" s="31" t="s">
        <v>77</v>
      </c>
      <c r="AV179" s="30">
        <f t="shared" si="234"/>
        <v>0</v>
      </c>
      <c r="AW179" s="30">
        <f t="shared" si="235"/>
        <v>0</v>
      </c>
      <c r="AX179" s="30">
        <f t="shared" si="236"/>
        <v>0</v>
      </c>
      <c r="AY179" s="31" t="s">
        <v>493</v>
      </c>
      <c r="AZ179" s="31" t="s">
        <v>494</v>
      </c>
      <c r="BA179" s="10" t="s">
        <v>60</v>
      </c>
      <c r="BC179" s="30">
        <f t="shared" si="237"/>
        <v>0</v>
      </c>
      <c r="BD179" s="30">
        <f t="shared" si="238"/>
        <v>0</v>
      </c>
      <c r="BE179" s="30">
        <v>0</v>
      </c>
      <c r="BF179" s="30">
        <f>179</f>
        <v>179</v>
      </c>
      <c r="BH179" s="30">
        <f t="shared" si="239"/>
        <v>0</v>
      </c>
      <c r="BI179" s="30">
        <f t="shared" si="240"/>
        <v>0</v>
      </c>
      <c r="BJ179" s="30">
        <f t="shared" si="241"/>
        <v>0</v>
      </c>
      <c r="BK179" s="30"/>
      <c r="BL179" s="30">
        <v>731</v>
      </c>
      <c r="BW179" s="30">
        <v>12</v>
      </c>
      <c r="BX179" s="4" t="s">
        <v>513</v>
      </c>
    </row>
    <row r="180" spans="1:76" x14ac:dyDescent="0.25">
      <c r="A180" s="32" t="s">
        <v>514</v>
      </c>
      <c r="B180" s="33" t="s">
        <v>515</v>
      </c>
      <c r="C180" s="141" t="s">
        <v>516</v>
      </c>
      <c r="D180" s="142"/>
      <c r="E180" s="33" t="s">
        <v>109</v>
      </c>
      <c r="F180" s="34">
        <v>6.5740000000000007E-2</v>
      </c>
      <c r="G180" s="35">
        <v>0</v>
      </c>
      <c r="H180" s="34">
        <f t="shared" si="220"/>
        <v>0</v>
      </c>
      <c r="I180" s="34">
        <f t="shared" si="221"/>
        <v>0</v>
      </c>
      <c r="J180" s="34">
        <f t="shared" si="222"/>
        <v>0</v>
      </c>
      <c r="K180" s="36" t="s">
        <v>57</v>
      </c>
      <c r="Z180" s="30">
        <f t="shared" si="223"/>
        <v>0</v>
      </c>
      <c r="AB180" s="30">
        <f t="shared" si="224"/>
        <v>0</v>
      </c>
      <c r="AC180" s="30">
        <f t="shared" si="225"/>
        <v>0</v>
      </c>
      <c r="AD180" s="30">
        <f t="shared" si="226"/>
        <v>0</v>
      </c>
      <c r="AE180" s="30">
        <f t="shared" si="227"/>
        <v>0</v>
      </c>
      <c r="AF180" s="30">
        <f t="shared" si="228"/>
        <v>0</v>
      </c>
      <c r="AG180" s="30">
        <f t="shared" si="229"/>
        <v>0</v>
      </c>
      <c r="AH180" s="30">
        <f t="shared" si="230"/>
        <v>0</v>
      </c>
      <c r="AI180" s="10" t="s">
        <v>50</v>
      </c>
      <c r="AJ180" s="30">
        <f t="shared" si="231"/>
        <v>0</v>
      </c>
      <c r="AK180" s="30">
        <f t="shared" si="232"/>
        <v>0</v>
      </c>
      <c r="AL180" s="30">
        <f t="shared" si="233"/>
        <v>0</v>
      </c>
      <c r="AN180" s="30">
        <v>12</v>
      </c>
      <c r="AO180" s="30">
        <f>G180*0</f>
        <v>0</v>
      </c>
      <c r="AP180" s="30">
        <f>G180*(1-0)</f>
        <v>0</v>
      </c>
      <c r="AQ180" s="31" t="s">
        <v>71</v>
      </c>
      <c r="AV180" s="30">
        <f t="shared" si="234"/>
        <v>0</v>
      </c>
      <c r="AW180" s="30">
        <f t="shared" si="235"/>
        <v>0</v>
      </c>
      <c r="AX180" s="30">
        <f t="shared" si="236"/>
        <v>0</v>
      </c>
      <c r="AY180" s="31" t="s">
        <v>493</v>
      </c>
      <c r="AZ180" s="31" t="s">
        <v>494</v>
      </c>
      <c r="BA180" s="10" t="s">
        <v>60</v>
      </c>
      <c r="BC180" s="30">
        <f t="shared" si="237"/>
        <v>0</v>
      </c>
      <c r="BD180" s="30">
        <f t="shared" si="238"/>
        <v>0</v>
      </c>
      <c r="BE180" s="30">
        <v>0</v>
      </c>
      <c r="BF180" s="30">
        <f>180</f>
        <v>180</v>
      </c>
      <c r="BH180" s="30">
        <f t="shared" si="239"/>
        <v>0</v>
      </c>
      <c r="BI180" s="30">
        <f t="shared" si="240"/>
        <v>0</v>
      </c>
      <c r="BJ180" s="30">
        <f t="shared" si="241"/>
        <v>0</v>
      </c>
      <c r="BK180" s="30"/>
      <c r="BL180" s="30">
        <v>731</v>
      </c>
      <c r="BW180" s="30">
        <v>12</v>
      </c>
      <c r="BX180" s="4" t="s">
        <v>516</v>
      </c>
    </row>
    <row r="181" spans="1:76" x14ac:dyDescent="0.25">
      <c r="A181" s="39" t="s">
        <v>50</v>
      </c>
      <c r="B181" s="40" t="s">
        <v>517</v>
      </c>
      <c r="C181" s="156" t="s">
        <v>518</v>
      </c>
      <c r="D181" s="157"/>
      <c r="E181" s="41" t="s">
        <v>4</v>
      </c>
      <c r="F181" s="41" t="s">
        <v>4</v>
      </c>
      <c r="G181" s="42" t="s">
        <v>4</v>
      </c>
      <c r="H181" s="43">
        <f>SUM(H182:H182)</f>
        <v>0</v>
      </c>
      <c r="I181" s="43">
        <f>SUM(I182:I182)</f>
        <v>0</v>
      </c>
      <c r="J181" s="43">
        <f>SUM(J182:J182)</f>
        <v>0</v>
      </c>
      <c r="K181" s="44" t="s">
        <v>50</v>
      </c>
      <c r="AI181" s="10" t="s">
        <v>50</v>
      </c>
      <c r="AS181" s="1">
        <f>SUM(AJ182:AJ182)</f>
        <v>0</v>
      </c>
      <c r="AT181" s="1">
        <f>SUM(AK182:AK182)</f>
        <v>0</v>
      </c>
      <c r="AU181" s="1">
        <f>SUM(AL182:AL182)</f>
        <v>0</v>
      </c>
    </row>
    <row r="182" spans="1:76" x14ac:dyDescent="0.25">
      <c r="A182" s="25" t="s">
        <v>519</v>
      </c>
      <c r="B182" s="26" t="s">
        <v>520</v>
      </c>
      <c r="C182" s="150" t="s">
        <v>521</v>
      </c>
      <c r="D182" s="151"/>
      <c r="E182" s="26" t="s">
        <v>355</v>
      </c>
      <c r="F182" s="27">
        <v>1</v>
      </c>
      <c r="G182" s="28">
        <v>0</v>
      </c>
      <c r="H182" s="27">
        <f>F182*AO182</f>
        <v>0</v>
      </c>
      <c r="I182" s="27">
        <f>F182*AP182</f>
        <v>0</v>
      </c>
      <c r="J182" s="27">
        <f>F182*G182</f>
        <v>0</v>
      </c>
      <c r="K182" s="29" t="s">
        <v>57</v>
      </c>
      <c r="Z182" s="30">
        <f>IF(AQ182="5",BJ182,0)</f>
        <v>0</v>
      </c>
      <c r="AB182" s="30">
        <f>IF(AQ182="1",BH182,0)</f>
        <v>0</v>
      </c>
      <c r="AC182" s="30">
        <f>IF(AQ182="1",BI182,0)</f>
        <v>0</v>
      </c>
      <c r="AD182" s="30">
        <f>IF(AQ182="7",BH182,0)</f>
        <v>0</v>
      </c>
      <c r="AE182" s="30">
        <f>IF(AQ182="7",BI182,0)</f>
        <v>0</v>
      </c>
      <c r="AF182" s="30">
        <f>IF(AQ182="2",BH182,0)</f>
        <v>0</v>
      </c>
      <c r="AG182" s="30">
        <f>IF(AQ182="2",BI182,0)</f>
        <v>0</v>
      </c>
      <c r="AH182" s="30">
        <f>IF(AQ182="0",BJ182,0)</f>
        <v>0</v>
      </c>
      <c r="AI182" s="10" t="s">
        <v>50</v>
      </c>
      <c r="AJ182" s="30">
        <f>IF(AN182=0,J182,0)</f>
        <v>0</v>
      </c>
      <c r="AK182" s="30">
        <f>IF(AN182=12,J182,0)</f>
        <v>0</v>
      </c>
      <c r="AL182" s="30">
        <f>IF(AN182=21,J182,0)</f>
        <v>0</v>
      </c>
      <c r="AN182" s="30">
        <v>12</v>
      </c>
      <c r="AO182" s="30">
        <f>G182*0.902083527</f>
        <v>0</v>
      </c>
      <c r="AP182" s="30">
        <f>G182*(1-0.902083527)</f>
        <v>0</v>
      </c>
      <c r="AQ182" s="31" t="s">
        <v>77</v>
      </c>
      <c r="AV182" s="30">
        <f>AW182+AX182</f>
        <v>0</v>
      </c>
      <c r="AW182" s="30">
        <f>F182*AO182</f>
        <v>0</v>
      </c>
      <c r="AX182" s="30">
        <f>F182*AP182</f>
        <v>0</v>
      </c>
      <c r="AY182" s="31" t="s">
        <v>522</v>
      </c>
      <c r="AZ182" s="31" t="s">
        <v>494</v>
      </c>
      <c r="BA182" s="10" t="s">
        <v>60</v>
      </c>
      <c r="BC182" s="30">
        <f>AW182+AX182</f>
        <v>0</v>
      </c>
      <c r="BD182" s="30">
        <f>G182/(100-BE182)*100</f>
        <v>0</v>
      </c>
      <c r="BE182" s="30">
        <v>0</v>
      </c>
      <c r="BF182" s="30">
        <f>182</f>
        <v>182</v>
      </c>
      <c r="BH182" s="30">
        <f>F182*AO182</f>
        <v>0</v>
      </c>
      <c r="BI182" s="30">
        <f>F182*AP182</f>
        <v>0</v>
      </c>
      <c r="BJ182" s="30">
        <f>F182*G182</f>
        <v>0</v>
      </c>
      <c r="BK182" s="30"/>
      <c r="BL182" s="30">
        <v>732</v>
      </c>
      <c r="BW182" s="30">
        <v>12</v>
      </c>
      <c r="BX182" s="4" t="s">
        <v>521</v>
      </c>
    </row>
    <row r="183" spans="1:76" x14ac:dyDescent="0.25">
      <c r="A183" s="39" t="s">
        <v>50</v>
      </c>
      <c r="B183" s="40" t="s">
        <v>523</v>
      </c>
      <c r="C183" s="156" t="s">
        <v>524</v>
      </c>
      <c r="D183" s="157"/>
      <c r="E183" s="41" t="s">
        <v>4</v>
      </c>
      <c r="F183" s="41" t="s">
        <v>4</v>
      </c>
      <c r="G183" s="42" t="s">
        <v>4</v>
      </c>
      <c r="H183" s="43">
        <f>SUM(H184:H188)</f>
        <v>0</v>
      </c>
      <c r="I183" s="43">
        <f>SUM(I184:I188)</f>
        <v>0</v>
      </c>
      <c r="J183" s="43">
        <f>SUM(J184:J188)</f>
        <v>0</v>
      </c>
      <c r="K183" s="44" t="s">
        <v>50</v>
      </c>
      <c r="AI183" s="10" t="s">
        <v>50</v>
      </c>
      <c r="AS183" s="1">
        <f>SUM(AJ184:AJ188)</f>
        <v>0</v>
      </c>
      <c r="AT183" s="1">
        <f>SUM(AK184:AK188)</f>
        <v>0</v>
      </c>
      <c r="AU183" s="1">
        <f>SUM(AL184:AL188)</f>
        <v>0</v>
      </c>
    </row>
    <row r="184" spans="1:76" x14ac:dyDescent="0.25">
      <c r="A184" s="25" t="s">
        <v>525</v>
      </c>
      <c r="B184" s="26" t="s">
        <v>526</v>
      </c>
      <c r="C184" s="150" t="s">
        <v>527</v>
      </c>
      <c r="D184" s="151"/>
      <c r="E184" s="26" t="s">
        <v>99</v>
      </c>
      <c r="F184" s="27">
        <v>78.3</v>
      </c>
      <c r="G184" s="28">
        <v>0</v>
      </c>
      <c r="H184" s="27">
        <f>F184*AO184</f>
        <v>0</v>
      </c>
      <c r="I184" s="27">
        <f>F184*AP184</f>
        <v>0</v>
      </c>
      <c r="J184" s="27">
        <f>F184*G184</f>
        <v>0</v>
      </c>
      <c r="K184" s="29" t="s">
        <v>57</v>
      </c>
      <c r="Z184" s="30">
        <f>IF(AQ184="5",BJ184,0)</f>
        <v>0</v>
      </c>
      <c r="AB184" s="30">
        <f>IF(AQ184="1",BH184,0)</f>
        <v>0</v>
      </c>
      <c r="AC184" s="30">
        <f>IF(AQ184="1",BI184,0)</f>
        <v>0</v>
      </c>
      <c r="AD184" s="30">
        <f>IF(AQ184="7",BH184,0)</f>
        <v>0</v>
      </c>
      <c r="AE184" s="30">
        <f>IF(AQ184="7",BI184,0)</f>
        <v>0</v>
      </c>
      <c r="AF184" s="30">
        <f>IF(AQ184="2",BH184,0)</f>
        <v>0</v>
      </c>
      <c r="AG184" s="30">
        <f>IF(AQ184="2",BI184,0)</f>
        <v>0</v>
      </c>
      <c r="AH184" s="30">
        <f>IF(AQ184="0",BJ184,0)</f>
        <v>0</v>
      </c>
      <c r="AI184" s="10" t="s">
        <v>50</v>
      </c>
      <c r="AJ184" s="30">
        <f>IF(AN184=0,J184,0)</f>
        <v>0</v>
      </c>
      <c r="AK184" s="30">
        <f>IF(AN184=12,J184,0)</f>
        <v>0</v>
      </c>
      <c r="AL184" s="30">
        <f>IF(AN184=21,J184,0)</f>
        <v>0</v>
      </c>
      <c r="AN184" s="30">
        <v>12</v>
      </c>
      <c r="AO184" s="30">
        <f>G184*0.642337238</f>
        <v>0</v>
      </c>
      <c r="AP184" s="30">
        <f>G184*(1-0.642337238)</f>
        <v>0</v>
      </c>
      <c r="AQ184" s="31" t="s">
        <v>77</v>
      </c>
      <c r="AV184" s="30">
        <f>AW184+AX184</f>
        <v>0</v>
      </c>
      <c r="AW184" s="30">
        <f>F184*AO184</f>
        <v>0</v>
      </c>
      <c r="AX184" s="30">
        <f>F184*AP184</f>
        <v>0</v>
      </c>
      <c r="AY184" s="31" t="s">
        <v>528</v>
      </c>
      <c r="AZ184" s="31" t="s">
        <v>494</v>
      </c>
      <c r="BA184" s="10" t="s">
        <v>60</v>
      </c>
      <c r="BC184" s="30">
        <f>AW184+AX184</f>
        <v>0</v>
      </c>
      <c r="BD184" s="30">
        <f>G184/(100-BE184)*100</f>
        <v>0</v>
      </c>
      <c r="BE184" s="30">
        <v>0</v>
      </c>
      <c r="BF184" s="30">
        <f>184</f>
        <v>184</v>
      </c>
      <c r="BH184" s="30">
        <f>F184*AO184</f>
        <v>0</v>
      </c>
      <c r="BI184" s="30">
        <f>F184*AP184</f>
        <v>0</v>
      </c>
      <c r="BJ184" s="30">
        <f>F184*G184</f>
        <v>0</v>
      </c>
      <c r="BK184" s="30"/>
      <c r="BL184" s="30">
        <v>733</v>
      </c>
      <c r="BW184" s="30">
        <v>12</v>
      </c>
      <c r="BX184" s="4" t="s">
        <v>527</v>
      </c>
    </row>
    <row r="185" spans="1:76" x14ac:dyDescent="0.25">
      <c r="A185" s="32" t="s">
        <v>529</v>
      </c>
      <c r="B185" s="33" t="s">
        <v>530</v>
      </c>
      <c r="C185" s="141" t="s">
        <v>531</v>
      </c>
      <c r="D185" s="142"/>
      <c r="E185" s="33" t="s">
        <v>99</v>
      </c>
      <c r="F185" s="34">
        <v>78.3</v>
      </c>
      <c r="G185" s="35">
        <v>0</v>
      </c>
      <c r="H185" s="34">
        <f>F185*AO185</f>
        <v>0</v>
      </c>
      <c r="I185" s="34">
        <f>F185*AP185</f>
        <v>0</v>
      </c>
      <c r="J185" s="34">
        <f>F185*G185</f>
        <v>0</v>
      </c>
      <c r="K185" s="36" t="s">
        <v>57</v>
      </c>
      <c r="Z185" s="30">
        <f>IF(AQ185="5",BJ185,0)</f>
        <v>0</v>
      </c>
      <c r="AB185" s="30">
        <f>IF(AQ185="1",BH185,0)</f>
        <v>0</v>
      </c>
      <c r="AC185" s="30">
        <f>IF(AQ185="1",BI185,0)</f>
        <v>0</v>
      </c>
      <c r="AD185" s="30">
        <f>IF(AQ185="7",BH185,0)</f>
        <v>0</v>
      </c>
      <c r="AE185" s="30">
        <f>IF(AQ185="7",BI185,0)</f>
        <v>0</v>
      </c>
      <c r="AF185" s="30">
        <f>IF(AQ185="2",BH185,0)</f>
        <v>0</v>
      </c>
      <c r="AG185" s="30">
        <f>IF(AQ185="2",BI185,0)</f>
        <v>0</v>
      </c>
      <c r="AH185" s="30">
        <f>IF(AQ185="0",BJ185,0)</f>
        <v>0</v>
      </c>
      <c r="AI185" s="10" t="s">
        <v>50</v>
      </c>
      <c r="AJ185" s="30">
        <f>IF(AN185=0,J185,0)</f>
        <v>0</v>
      </c>
      <c r="AK185" s="30">
        <f>IF(AN185=12,J185,0)</f>
        <v>0</v>
      </c>
      <c r="AL185" s="30">
        <f>IF(AN185=21,J185,0)</f>
        <v>0</v>
      </c>
      <c r="AN185" s="30">
        <v>12</v>
      </c>
      <c r="AO185" s="30">
        <f>G185*0.221444874</f>
        <v>0</v>
      </c>
      <c r="AP185" s="30">
        <f>G185*(1-0.221444874)</f>
        <v>0</v>
      </c>
      <c r="AQ185" s="31" t="s">
        <v>77</v>
      </c>
      <c r="AV185" s="30">
        <f>AW185+AX185</f>
        <v>0</v>
      </c>
      <c r="AW185" s="30">
        <f>F185*AO185</f>
        <v>0</v>
      </c>
      <c r="AX185" s="30">
        <f>F185*AP185</f>
        <v>0</v>
      </c>
      <c r="AY185" s="31" t="s">
        <v>528</v>
      </c>
      <c r="AZ185" s="31" t="s">
        <v>494</v>
      </c>
      <c r="BA185" s="10" t="s">
        <v>60</v>
      </c>
      <c r="BC185" s="30">
        <f>AW185+AX185</f>
        <v>0</v>
      </c>
      <c r="BD185" s="30">
        <f>G185/(100-BE185)*100</f>
        <v>0</v>
      </c>
      <c r="BE185" s="30">
        <v>0</v>
      </c>
      <c r="BF185" s="30">
        <f>185</f>
        <v>185</v>
      </c>
      <c r="BH185" s="30">
        <f>F185*AO185</f>
        <v>0</v>
      </c>
      <c r="BI185" s="30">
        <f>F185*AP185</f>
        <v>0</v>
      </c>
      <c r="BJ185" s="30">
        <f>F185*G185</f>
        <v>0</v>
      </c>
      <c r="BK185" s="30"/>
      <c r="BL185" s="30">
        <v>733</v>
      </c>
      <c r="BW185" s="30">
        <v>12</v>
      </c>
      <c r="BX185" s="4" t="s">
        <v>531</v>
      </c>
    </row>
    <row r="186" spans="1:76" ht="13.5" customHeight="1" x14ac:dyDescent="0.25">
      <c r="A186" s="37"/>
      <c r="B186" s="38" t="s">
        <v>84</v>
      </c>
      <c r="C186" s="152" t="s">
        <v>532</v>
      </c>
      <c r="D186" s="153"/>
      <c r="E186" s="153"/>
      <c r="F186" s="153"/>
      <c r="G186" s="154"/>
      <c r="H186" s="153"/>
      <c r="I186" s="153"/>
      <c r="J186" s="153"/>
      <c r="K186" s="155"/>
    </row>
    <row r="187" spans="1:76" x14ac:dyDescent="0.25">
      <c r="A187" s="25" t="s">
        <v>533</v>
      </c>
      <c r="B187" s="26" t="s">
        <v>534</v>
      </c>
      <c r="C187" s="150" t="s">
        <v>535</v>
      </c>
      <c r="D187" s="151"/>
      <c r="E187" s="26" t="s">
        <v>99</v>
      </c>
      <c r="F187" s="27">
        <v>78.3</v>
      </c>
      <c r="G187" s="28">
        <v>0</v>
      </c>
      <c r="H187" s="27">
        <f>F187*AO187</f>
        <v>0</v>
      </c>
      <c r="I187" s="27">
        <f>F187*AP187</f>
        <v>0</v>
      </c>
      <c r="J187" s="27">
        <f>F187*G187</f>
        <v>0</v>
      </c>
      <c r="K187" s="29" t="s">
        <v>57</v>
      </c>
      <c r="Z187" s="30">
        <f>IF(AQ187="5",BJ187,0)</f>
        <v>0</v>
      </c>
      <c r="AB187" s="30">
        <f>IF(AQ187="1",BH187,0)</f>
        <v>0</v>
      </c>
      <c r="AC187" s="30">
        <f>IF(AQ187="1",BI187,0)</f>
        <v>0</v>
      </c>
      <c r="AD187" s="30">
        <f>IF(AQ187="7",BH187,0)</f>
        <v>0</v>
      </c>
      <c r="AE187" s="30">
        <f>IF(AQ187="7",BI187,0)</f>
        <v>0</v>
      </c>
      <c r="AF187" s="30">
        <f>IF(AQ187="2",BH187,0)</f>
        <v>0</v>
      </c>
      <c r="AG187" s="30">
        <f>IF(AQ187="2",BI187,0)</f>
        <v>0</v>
      </c>
      <c r="AH187" s="30">
        <f>IF(AQ187="0",BJ187,0)</f>
        <v>0</v>
      </c>
      <c r="AI187" s="10" t="s">
        <v>50</v>
      </c>
      <c r="AJ187" s="30">
        <f>IF(AN187=0,J187,0)</f>
        <v>0</v>
      </c>
      <c r="AK187" s="30">
        <f>IF(AN187=12,J187,0)</f>
        <v>0</v>
      </c>
      <c r="AL187" s="30">
        <f>IF(AN187=21,J187,0)</f>
        <v>0</v>
      </c>
      <c r="AN187" s="30">
        <v>12</v>
      </c>
      <c r="AO187" s="30">
        <f>G187*0.024528302</f>
        <v>0</v>
      </c>
      <c r="AP187" s="30">
        <f>G187*(1-0.024528302)</f>
        <v>0</v>
      </c>
      <c r="AQ187" s="31" t="s">
        <v>77</v>
      </c>
      <c r="AV187" s="30">
        <f>AW187+AX187</f>
        <v>0</v>
      </c>
      <c r="AW187" s="30">
        <f>F187*AO187</f>
        <v>0</v>
      </c>
      <c r="AX187" s="30">
        <f>F187*AP187</f>
        <v>0</v>
      </c>
      <c r="AY187" s="31" t="s">
        <v>528</v>
      </c>
      <c r="AZ187" s="31" t="s">
        <v>494</v>
      </c>
      <c r="BA187" s="10" t="s">
        <v>60</v>
      </c>
      <c r="BC187" s="30">
        <f>AW187+AX187</f>
        <v>0</v>
      </c>
      <c r="BD187" s="30">
        <f>G187/(100-BE187)*100</f>
        <v>0</v>
      </c>
      <c r="BE187" s="30">
        <v>0</v>
      </c>
      <c r="BF187" s="30">
        <f>187</f>
        <v>187</v>
      </c>
      <c r="BH187" s="30">
        <f>F187*AO187</f>
        <v>0</v>
      </c>
      <c r="BI187" s="30">
        <f>F187*AP187</f>
        <v>0</v>
      </c>
      <c r="BJ187" s="30">
        <f>F187*G187</f>
        <v>0</v>
      </c>
      <c r="BK187" s="30"/>
      <c r="BL187" s="30">
        <v>733</v>
      </c>
      <c r="BW187" s="30">
        <v>12</v>
      </c>
      <c r="BX187" s="4" t="s">
        <v>535</v>
      </c>
    </row>
    <row r="188" spans="1:76" x14ac:dyDescent="0.25">
      <c r="A188" s="32" t="s">
        <v>536</v>
      </c>
      <c r="B188" s="33" t="s">
        <v>537</v>
      </c>
      <c r="C188" s="141" t="s">
        <v>538</v>
      </c>
      <c r="D188" s="142"/>
      <c r="E188" s="33" t="s">
        <v>109</v>
      </c>
      <c r="F188" s="34">
        <v>7.0470000000000005E-2</v>
      </c>
      <c r="G188" s="35">
        <v>0</v>
      </c>
      <c r="H188" s="34">
        <f>F188*AO188</f>
        <v>0</v>
      </c>
      <c r="I188" s="34">
        <f>F188*AP188</f>
        <v>0</v>
      </c>
      <c r="J188" s="34">
        <f>F188*G188</f>
        <v>0</v>
      </c>
      <c r="K188" s="36" t="s">
        <v>57</v>
      </c>
      <c r="Z188" s="30">
        <f>IF(AQ188="5",BJ188,0)</f>
        <v>0</v>
      </c>
      <c r="AB188" s="30">
        <f>IF(AQ188="1",BH188,0)</f>
        <v>0</v>
      </c>
      <c r="AC188" s="30">
        <f>IF(AQ188="1",BI188,0)</f>
        <v>0</v>
      </c>
      <c r="AD188" s="30">
        <f>IF(AQ188="7",BH188,0)</f>
        <v>0</v>
      </c>
      <c r="AE188" s="30">
        <f>IF(AQ188="7",BI188,0)</f>
        <v>0</v>
      </c>
      <c r="AF188" s="30">
        <f>IF(AQ188="2",BH188,0)</f>
        <v>0</v>
      </c>
      <c r="AG188" s="30">
        <f>IF(AQ188="2",BI188,0)</f>
        <v>0</v>
      </c>
      <c r="AH188" s="30">
        <f>IF(AQ188="0",BJ188,0)</f>
        <v>0</v>
      </c>
      <c r="AI188" s="10" t="s">
        <v>50</v>
      </c>
      <c r="AJ188" s="30">
        <f>IF(AN188=0,J188,0)</f>
        <v>0</v>
      </c>
      <c r="AK188" s="30">
        <f>IF(AN188=12,J188,0)</f>
        <v>0</v>
      </c>
      <c r="AL188" s="30">
        <f>IF(AN188=21,J188,0)</f>
        <v>0</v>
      </c>
      <c r="AN188" s="30">
        <v>12</v>
      </c>
      <c r="AO188" s="30">
        <f>G188*0</f>
        <v>0</v>
      </c>
      <c r="AP188" s="30">
        <f>G188*(1-0)</f>
        <v>0</v>
      </c>
      <c r="AQ188" s="31" t="s">
        <v>71</v>
      </c>
      <c r="AV188" s="30">
        <f>AW188+AX188</f>
        <v>0</v>
      </c>
      <c r="AW188" s="30">
        <f>F188*AO188</f>
        <v>0</v>
      </c>
      <c r="AX188" s="30">
        <f>F188*AP188</f>
        <v>0</v>
      </c>
      <c r="AY188" s="31" t="s">
        <v>528</v>
      </c>
      <c r="AZ188" s="31" t="s">
        <v>494</v>
      </c>
      <c r="BA188" s="10" t="s">
        <v>60</v>
      </c>
      <c r="BC188" s="30">
        <f>AW188+AX188</f>
        <v>0</v>
      </c>
      <c r="BD188" s="30">
        <f>G188/(100-BE188)*100</f>
        <v>0</v>
      </c>
      <c r="BE188" s="30">
        <v>0</v>
      </c>
      <c r="BF188" s="30">
        <f>188</f>
        <v>188</v>
      </c>
      <c r="BH188" s="30">
        <f>F188*AO188</f>
        <v>0</v>
      </c>
      <c r="BI188" s="30">
        <f>F188*AP188</f>
        <v>0</v>
      </c>
      <c r="BJ188" s="30">
        <f>F188*G188</f>
        <v>0</v>
      </c>
      <c r="BK188" s="30"/>
      <c r="BL188" s="30">
        <v>733</v>
      </c>
      <c r="BW188" s="30">
        <v>12</v>
      </c>
      <c r="BX188" s="4" t="s">
        <v>538</v>
      </c>
    </row>
    <row r="189" spans="1:76" x14ac:dyDescent="0.25">
      <c r="A189" s="39" t="s">
        <v>50</v>
      </c>
      <c r="B189" s="40" t="s">
        <v>539</v>
      </c>
      <c r="C189" s="156" t="s">
        <v>540</v>
      </c>
      <c r="D189" s="157"/>
      <c r="E189" s="41" t="s">
        <v>4</v>
      </c>
      <c r="F189" s="41" t="s">
        <v>4</v>
      </c>
      <c r="G189" s="42" t="s">
        <v>4</v>
      </c>
      <c r="H189" s="43">
        <f>SUM(H190:H198)</f>
        <v>0</v>
      </c>
      <c r="I189" s="43">
        <f>SUM(I190:I198)</f>
        <v>0</v>
      </c>
      <c r="J189" s="43">
        <f>SUM(J190:J198)</f>
        <v>0</v>
      </c>
      <c r="K189" s="44" t="s">
        <v>50</v>
      </c>
      <c r="AI189" s="10" t="s">
        <v>50</v>
      </c>
      <c r="AS189" s="1">
        <f>SUM(AJ190:AJ198)</f>
        <v>0</v>
      </c>
      <c r="AT189" s="1">
        <f>SUM(AK190:AK198)</f>
        <v>0</v>
      </c>
      <c r="AU189" s="1">
        <f>SUM(AL190:AL198)</f>
        <v>0</v>
      </c>
    </row>
    <row r="190" spans="1:76" x14ac:dyDescent="0.25">
      <c r="A190" s="25" t="s">
        <v>541</v>
      </c>
      <c r="B190" s="26" t="s">
        <v>542</v>
      </c>
      <c r="C190" s="150" t="s">
        <v>543</v>
      </c>
      <c r="D190" s="151"/>
      <c r="E190" s="26" t="s">
        <v>56</v>
      </c>
      <c r="F190" s="27">
        <v>7</v>
      </c>
      <c r="G190" s="28">
        <v>0</v>
      </c>
      <c r="H190" s="27">
        <f>F190*AO190</f>
        <v>0</v>
      </c>
      <c r="I190" s="27">
        <f>F190*AP190</f>
        <v>0</v>
      </c>
      <c r="J190" s="27">
        <f>F190*G190</f>
        <v>0</v>
      </c>
      <c r="K190" s="29" t="s">
        <v>57</v>
      </c>
      <c r="Z190" s="30">
        <f>IF(AQ190="5",BJ190,0)</f>
        <v>0</v>
      </c>
      <c r="AB190" s="30">
        <f>IF(AQ190="1",BH190,0)</f>
        <v>0</v>
      </c>
      <c r="AC190" s="30">
        <f>IF(AQ190="1",BI190,0)</f>
        <v>0</v>
      </c>
      <c r="AD190" s="30">
        <f>IF(AQ190="7",BH190,0)</f>
        <v>0</v>
      </c>
      <c r="AE190" s="30">
        <f>IF(AQ190="7",BI190,0)</f>
        <v>0</v>
      </c>
      <c r="AF190" s="30">
        <f>IF(AQ190="2",BH190,0)</f>
        <v>0</v>
      </c>
      <c r="AG190" s="30">
        <f>IF(AQ190="2",BI190,0)</f>
        <v>0</v>
      </c>
      <c r="AH190" s="30">
        <f>IF(AQ190="0",BJ190,0)</f>
        <v>0</v>
      </c>
      <c r="AI190" s="10" t="s">
        <v>50</v>
      </c>
      <c r="AJ190" s="30">
        <f>IF(AN190=0,J190,0)</f>
        <v>0</v>
      </c>
      <c r="AK190" s="30">
        <f>IF(AN190=12,J190,0)</f>
        <v>0</v>
      </c>
      <c r="AL190" s="30">
        <f>IF(AN190=21,J190,0)</f>
        <v>0</v>
      </c>
      <c r="AN190" s="30">
        <v>12</v>
      </c>
      <c r="AO190" s="30">
        <f>G190*0.785112299</f>
        <v>0</v>
      </c>
      <c r="AP190" s="30">
        <f>G190*(1-0.785112299)</f>
        <v>0</v>
      </c>
      <c r="AQ190" s="31" t="s">
        <v>77</v>
      </c>
      <c r="AV190" s="30">
        <f>AW190+AX190</f>
        <v>0</v>
      </c>
      <c r="AW190" s="30">
        <f>F190*AO190</f>
        <v>0</v>
      </c>
      <c r="AX190" s="30">
        <f>F190*AP190</f>
        <v>0</v>
      </c>
      <c r="AY190" s="31" t="s">
        <v>544</v>
      </c>
      <c r="AZ190" s="31" t="s">
        <v>494</v>
      </c>
      <c r="BA190" s="10" t="s">
        <v>60</v>
      </c>
      <c r="BC190" s="30">
        <f>AW190+AX190</f>
        <v>0</v>
      </c>
      <c r="BD190" s="30">
        <f>G190/(100-BE190)*100</f>
        <v>0</v>
      </c>
      <c r="BE190" s="30">
        <v>0</v>
      </c>
      <c r="BF190" s="30">
        <f>190</f>
        <v>190</v>
      </c>
      <c r="BH190" s="30">
        <f>F190*AO190</f>
        <v>0</v>
      </c>
      <c r="BI190" s="30">
        <f>F190*AP190</f>
        <v>0</v>
      </c>
      <c r="BJ190" s="30">
        <f>F190*G190</f>
        <v>0</v>
      </c>
      <c r="BK190" s="30"/>
      <c r="BL190" s="30">
        <v>734</v>
      </c>
      <c r="BW190" s="30">
        <v>12</v>
      </c>
      <c r="BX190" s="4" t="s">
        <v>543</v>
      </c>
    </row>
    <row r="191" spans="1:76" ht="13.5" customHeight="1" x14ac:dyDescent="0.25">
      <c r="A191" s="37"/>
      <c r="B191" s="38" t="s">
        <v>84</v>
      </c>
      <c r="C191" s="152" t="s">
        <v>545</v>
      </c>
      <c r="D191" s="153"/>
      <c r="E191" s="153"/>
      <c r="F191" s="153"/>
      <c r="G191" s="154"/>
      <c r="H191" s="153"/>
      <c r="I191" s="153"/>
      <c r="J191" s="153"/>
      <c r="K191" s="155"/>
    </row>
    <row r="192" spans="1:76" x14ac:dyDescent="0.25">
      <c r="A192" s="25" t="s">
        <v>546</v>
      </c>
      <c r="B192" s="26" t="s">
        <v>547</v>
      </c>
      <c r="C192" s="150" t="s">
        <v>548</v>
      </c>
      <c r="D192" s="151"/>
      <c r="E192" s="26" t="s">
        <v>56</v>
      </c>
      <c r="F192" s="27">
        <v>7</v>
      </c>
      <c r="G192" s="28">
        <v>0</v>
      </c>
      <c r="H192" s="27">
        <f t="shared" ref="H192:H198" si="242">F192*AO192</f>
        <v>0</v>
      </c>
      <c r="I192" s="27">
        <f t="shared" ref="I192:I198" si="243">F192*AP192</f>
        <v>0</v>
      </c>
      <c r="J192" s="27">
        <f t="shared" ref="J192:J198" si="244">F192*G192</f>
        <v>0</v>
      </c>
      <c r="K192" s="29" t="s">
        <v>57</v>
      </c>
      <c r="Z192" s="30">
        <f t="shared" ref="Z192:Z198" si="245">IF(AQ192="5",BJ192,0)</f>
        <v>0</v>
      </c>
      <c r="AB192" s="30">
        <f t="shared" ref="AB192:AB198" si="246">IF(AQ192="1",BH192,0)</f>
        <v>0</v>
      </c>
      <c r="AC192" s="30">
        <f t="shared" ref="AC192:AC198" si="247">IF(AQ192="1",BI192,0)</f>
        <v>0</v>
      </c>
      <c r="AD192" s="30">
        <f t="shared" ref="AD192:AD198" si="248">IF(AQ192="7",BH192,0)</f>
        <v>0</v>
      </c>
      <c r="AE192" s="30">
        <f t="shared" ref="AE192:AE198" si="249">IF(AQ192="7",BI192,0)</f>
        <v>0</v>
      </c>
      <c r="AF192" s="30">
        <f t="shared" ref="AF192:AF198" si="250">IF(AQ192="2",BH192,0)</f>
        <v>0</v>
      </c>
      <c r="AG192" s="30">
        <f t="shared" ref="AG192:AG198" si="251">IF(AQ192="2",BI192,0)</f>
        <v>0</v>
      </c>
      <c r="AH192" s="30">
        <f t="shared" ref="AH192:AH198" si="252">IF(AQ192="0",BJ192,0)</f>
        <v>0</v>
      </c>
      <c r="AI192" s="10" t="s">
        <v>50</v>
      </c>
      <c r="AJ192" s="30">
        <f t="shared" ref="AJ192:AJ198" si="253">IF(AN192=0,J192,0)</f>
        <v>0</v>
      </c>
      <c r="AK192" s="30">
        <f t="shared" ref="AK192:AK198" si="254">IF(AN192=12,J192,0)</f>
        <v>0</v>
      </c>
      <c r="AL192" s="30">
        <f t="shared" ref="AL192:AL198" si="255">IF(AN192=21,J192,0)</f>
        <v>0</v>
      </c>
      <c r="AN192" s="30">
        <v>12</v>
      </c>
      <c r="AO192" s="30">
        <f>G192*0.913556485</f>
        <v>0</v>
      </c>
      <c r="AP192" s="30">
        <f>G192*(1-0.913556485)</f>
        <v>0</v>
      </c>
      <c r="AQ192" s="31" t="s">
        <v>77</v>
      </c>
      <c r="AV192" s="30">
        <f t="shared" ref="AV192:AV198" si="256">AW192+AX192</f>
        <v>0</v>
      </c>
      <c r="AW192" s="30">
        <f t="shared" ref="AW192:AW198" si="257">F192*AO192</f>
        <v>0</v>
      </c>
      <c r="AX192" s="30">
        <f t="shared" ref="AX192:AX198" si="258">F192*AP192</f>
        <v>0</v>
      </c>
      <c r="AY192" s="31" t="s">
        <v>544</v>
      </c>
      <c r="AZ192" s="31" t="s">
        <v>494</v>
      </c>
      <c r="BA192" s="10" t="s">
        <v>60</v>
      </c>
      <c r="BC192" s="30">
        <f t="shared" ref="BC192:BC198" si="259">AW192+AX192</f>
        <v>0</v>
      </c>
      <c r="BD192" s="30">
        <f t="shared" ref="BD192:BD198" si="260">G192/(100-BE192)*100</f>
        <v>0</v>
      </c>
      <c r="BE192" s="30">
        <v>0</v>
      </c>
      <c r="BF192" s="30">
        <f>192</f>
        <v>192</v>
      </c>
      <c r="BH192" s="30">
        <f t="shared" ref="BH192:BH198" si="261">F192*AO192</f>
        <v>0</v>
      </c>
      <c r="BI192" s="30">
        <f t="shared" ref="BI192:BI198" si="262">F192*AP192</f>
        <v>0</v>
      </c>
      <c r="BJ192" s="30">
        <f t="shared" ref="BJ192:BJ198" si="263">F192*G192</f>
        <v>0</v>
      </c>
      <c r="BK192" s="30"/>
      <c r="BL192" s="30">
        <v>734</v>
      </c>
      <c r="BW192" s="30">
        <v>12</v>
      </c>
      <c r="BX192" s="4" t="s">
        <v>548</v>
      </c>
    </row>
    <row r="193" spans="1:76" x14ac:dyDescent="0.25">
      <c r="A193" s="32" t="s">
        <v>549</v>
      </c>
      <c r="B193" s="33" t="s">
        <v>550</v>
      </c>
      <c r="C193" s="141" t="s">
        <v>551</v>
      </c>
      <c r="D193" s="142"/>
      <c r="E193" s="33" t="s">
        <v>56</v>
      </c>
      <c r="F193" s="34">
        <v>1</v>
      </c>
      <c r="G193" s="35">
        <v>0</v>
      </c>
      <c r="H193" s="34">
        <f t="shared" si="242"/>
        <v>0</v>
      </c>
      <c r="I193" s="34">
        <f t="shared" si="243"/>
        <v>0</v>
      </c>
      <c r="J193" s="34">
        <f t="shared" si="244"/>
        <v>0</v>
      </c>
      <c r="K193" s="36" t="s">
        <v>57</v>
      </c>
      <c r="Z193" s="30">
        <f t="shared" si="245"/>
        <v>0</v>
      </c>
      <c r="AB193" s="30">
        <f t="shared" si="246"/>
        <v>0</v>
      </c>
      <c r="AC193" s="30">
        <f t="shared" si="247"/>
        <v>0</v>
      </c>
      <c r="AD193" s="30">
        <f t="shared" si="248"/>
        <v>0</v>
      </c>
      <c r="AE193" s="30">
        <f t="shared" si="249"/>
        <v>0</v>
      </c>
      <c r="AF193" s="30">
        <f t="shared" si="250"/>
        <v>0</v>
      </c>
      <c r="AG193" s="30">
        <f t="shared" si="251"/>
        <v>0</v>
      </c>
      <c r="AH193" s="30">
        <f t="shared" si="252"/>
        <v>0</v>
      </c>
      <c r="AI193" s="10" t="s">
        <v>50</v>
      </c>
      <c r="AJ193" s="30">
        <f t="shared" si="253"/>
        <v>0</v>
      </c>
      <c r="AK193" s="30">
        <f t="shared" si="254"/>
        <v>0</v>
      </c>
      <c r="AL193" s="30">
        <f t="shared" si="255"/>
        <v>0</v>
      </c>
      <c r="AN193" s="30">
        <v>12</v>
      </c>
      <c r="AO193" s="30">
        <f>G193*0.873605684</f>
        <v>0</v>
      </c>
      <c r="AP193" s="30">
        <f>G193*(1-0.873605684)</f>
        <v>0</v>
      </c>
      <c r="AQ193" s="31" t="s">
        <v>77</v>
      </c>
      <c r="AV193" s="30">
        <f t="shared" si="256"/>
        <v>0</v>
      </c>
      <c r="AW193" s="30">
        <f t="shared" si="257"/>
        <v>0</v>
      </c>
      <c r="AX193" s="30">
        <f t="shared" si="258"/>
        <v>0</v>
      </c>
      <c r="AY193" s="31" t="s">
        <v>544</v>
      </c>
      <c r="AZ193" s="31" t="s">
        <v>494</v>
      </c>
      <c r="BA193" s="10" t="s">
        <v>60</v>
      </c>
      <c r="BC193" s="30">
        <f t="shared" si="259"/>
        <v>0</v>
      </c>
      <c r="BD193" s="30">
        <f t="shared" si="260"/>
        <v>0</v>
      </c>
      <c r="BE193" s="30">
        <v>0</v>
      </c>
      <c r="BF193" s="30">
        <f>193</f>
        <v>193</v>
      </c>
      <c r="BH193" s="30">
        <f t="shared" si="261"/>
        <v>0</v>
      </c>
      <c r="BI193" s="30">
        <f t="shared" si="262"/>
        <v>0</v>
      </c>
      <c r="BJ193" s="30">
        <f t="shared" si="263"/>
        <v>0</v>
      </c>
      <c r="BK193" s="30"/>
      <c r="BL193" s="30">
        <v>734</v>
      </c>
      <c r="BW193" s="30">
        <v>12</v>
      </c>
      <c r="BX193" s="4" t="s">
        <v>551</v>
      </c>
    </row>
    <row r="194" spans="1:76" x14ac:dyDescent="0.25">
      <c r="A194" s="32" t="s">
        <v>552</v>
      </c>
      <c r="B194" s="33" t="s">
        <v>553</v>
      </c>
      <c r="C194" s="141" t="s">
        <v>554</v>
      </c>
      <c r="D194" s="142"/>
      <c r="E194" s="33" t="s">
        <v>56</v>
      </c>
      <c r="F194" s="34">
        <v>4</v>
      </c>
      <c r="G194" s="35">
        <v>0</v>
      </c>
      <c r="H194" s="34">
        <f t="shared" si="242"/>
        <v>0</v>
      </c>
      <c r="I194" s="34">
        <f t="shared" si="243"/>
        <v>0</v>
      </c>
      <c r="J194" s="34">
        <f t="shared" si="244"/>
        <v>0</v>
      </c>
      <c r="K194" s="36" t="s">
        <v>57</v>
      </c>
      <c r="Z194" s="30">
        <f t="shared" si="245"/>
        <v>0</v>
      </c>
      <c r="AB194" s="30">
        <f t="shared" si="246"/>
        <v>0</v>
      </c>
      <c r="AC194" s="30">
        <f t="shared" si="247"/>
        <v>0</v>
      </c>
      <c r="AD194" s="30">
        <f t="shared" si="248"/>
        <v>0</v>
      </c>
      <c r="AE194" s="30">
        <f t="shared" si="249"/>
        <v>0</v>
      </c>
      <c r="AF194" s="30">
        <f t="shared" si="250"/>
        <v>0</v>
      </c>
      <c r="AG194" s="30">
        <f t="shared" si="251"/>
        <v>0</v>
      </c>
      <c r="AH194" s="30">
        <f t="shared" si="252"/>
        <v>0</v>
      </c>
      <c r="AI194" s="10" t="s">
        <v>50</v>
      </c>
      <c r="AJ194" s="30">
        <f t="shared" si="253"/>
        <v>0</v>
      </c>
      <c r="AK194" s="30">
        <f t="shared" si="254"/>
        <v>0</v>
      </c>
      <c r="AL194" s="30">
        <f t="shared" si="255"/>
        <v>0</v>
      </c>
      <c r="AN194" s="30">
        <v>12</v>
      </c>
      <c r="AO194" s="30">
        <f>G194*0.672672176</f>
        <v>0</v>
      </c>
      <c r="AP194" s="30">
        <f>G194*(1-0.672672176)</f>
        <v>0</v>
      </c>
      <c r="AQ194" s="31" t="s">
        <v>77</v>
      </c>
      <c r="AV194" s="30">
        <f t="shared" si="256"/>
        <v>0</v>
      </c>
      <c r="AW194" s="30">
        <f t="shared" si="257"/>
        <v>0</v>
      </c>
      <c r="AX194" s="30">
        <f t="shared" si="258"/>
        <v>0</v>
      </c>
      <c r="AY194" s="31" t="s">
        <v>544</v>
      </c>
      <c r="AZ194" s="31" t="s">
        <v>494</v>
      </c>
      <c r="BA194" s="10" t="s">
        <v>60</v>
      </c>
      <c r="BC194" s="30">
        <f t="shared" si="259"/>
        <v>0</v>
      </c>
      <c r="BD194" s="30">
        <f t="shared" si="260"/>
        <v>0</v>
      </c>
      <c r="BE194" s="30">
        <v>0</v>
      </c>
      <c r="BF194" s="30">
        <f>194</f>
        <v>194</v>
      </c>
      <c r="BH194" s="30">
        <f t="shared" si="261"/>
        <v>0</v>
      </c>
      <c r="BI194" s="30">
        <f t="shared" si="262"/>
        <v>0</v>
      </c>
      <c r="BJ194" s="30">
        <f t="shared" si="263"/>
        <v>0</v>
      </c>
      <c r="BK194" s="30"/>
      <c r="BL194" s="30">
        <v>734</v>
      </c>
      <c r="BW194" s="30">
        <v>12</v>
      </c>
      <c r="BX194" s="4" t="s">
        <v>554</v>
      </c>
    </row>
    <row r="195" spans="1:76" x14ac:dyDescent="0.25">
      <c r="A195" s="32" t="s">
        <v>555</v>
      </c>
      <c r="B195" s="33" t="s">
        <v>556</v>
      </c>
      <c r="C195" s="141" t="s">
        <v>557</v>
      </c>
      <c r="D195" s="142"/>
      <c r="E195" s="33" t="s">
        <v>56</v>
      </c>
      <c r="F195" s="34">
        <v>1</v>
      </c>
      <c r="G195" s="35">
        <v>0</v>
      </c>
      <c r="H195" s="34">
        <f t="shared" si="242"/>
        <v>0</v>
      </c>
      <c r="I195" s="34">
        <f t="shared" si="243"/>
        <v>0</v>
      </c>
      <c r="J195" s="34">
        <f t="shared" si="244"/>
        <v>0</v>
      </c>
      <c r="K195" s="36" t="s">
        <v>57</v>
      </c>
      <c r="Z195" s="30">
        <f t="shared" si="245"/>
        <v>0</v>
      </c>
      <c r="AB195" s="30">
        <f t="shared" si="246"/>
        <v>0</v>
      </c>
      <c r="AC195" s="30">
        <f t="shared" si="247"/>
        <v>0</v>
      </c>
      <c r="AD195" s="30">
        <f t="shared" si="248"/>
        <v>0</v>
      </c>
      <c r="AE195" s="30">
        <f t="shared" si="249"/>
        <v>0</v>
      </c>
      <c r="AF195" s="30">
        <f t="shared" si="250"/>
        <v>0</v>
      </c>
      <c r="AG195" s="30">
        <f t="shared" si="251"/>
        <v>0</v>
      </c>
      <c r="AH195" s="30">
        <f t="shared" si="252"/>
        <v>0</v>
      </c>
      <c r="AI195" s="10" t="s">
        <v>50</v>
      </c>
      <c r="AJ195" s="30">
        <f t="shared" si="253"/>
        <v>0</v>
      </c>
      <c r="AK195" s="30">
        <f t="shared" si="254"/>
        <v>0</v>
      </c>
      <c r="AL195" s="30">
        <f t="shared" si="255"/>
        <v>0</v>
      </c>
      <c r="AN195" s="30">
        <v>12</v>
      </c>
      <c r="AO195" s="30">
        <f>G195*0.694415584</f>
        <v>0</v>
      </c>
      <c r="AP195" s="30">
        <f>G195*(1-0.694415584)</f>
        <v>0</v>
      </c>
      <c r="AQ195" s="31" t="s">
        <v>77</v>
      </c>
      <c r="AV195" s="30">
        <f t="shared" si="256"/>
        <v>0</v>
      </c>
      <c r="AW195" s="30">
        <f t="shared" si="257"/>
        <v>0</v>
      </c>
      <c r="AX195" s="30">
        <f t="shared" si="258"/>
        <v>0</v>
      </c>
      <c r="AY195" s="31" t="s">
        <v>544</v>
      </c>
      <c r="AZ195" s="31" t="s">
        <v>494</v>
      </c>
      <c r="BA195" s="10" t="s">
        <v>60</v>
      </c>
      <c r="BC195" s="30">
        <f t="shared" si="259"/>
        <v>0</v>
      </c>
      <c r="BD195" s="30">
        <f t="shared" si="260"/>
        <v>0</v>
      </c>
      <c r="BE195" s="30">
        <v>0</v>
      </c>
      <c r="BF195" s="30">
        <f>195</f>
        <v>195</v>
      </c>
      <c r="BH195" s="30">
        <f t="shared" si="261"/>
        <v>0</v>
      </c>
      <c r="BI195" s="30">
        <f t="shared" si="262"/>
        <v>0</v>
      </c>
      <c r="BJ195" s="30">
        <f t="shared" si="263"/>
        <v>0</v>
      </c>
      <c r="BK195" s="30"/>
      <c r="BL195" s="30">
        <v>734</v>
      </c>
      <c r="BW195" s="30">
        <v>12</v>
      </c>
      <c r="BX195" s="4" t="s">
        <v>557</v>
      </c>
    </row>
    <row r="196" spans="1:76" x14ac:dyDescent="0.25">
      <c r="A196" s="32" t="s">
        <v>558</v>
      </c>
      <c r="B196" s="33" t="s">
        <v>559</v>
      </c>
      <c r="C196" s="141" t="s">
        <v>560</v>
      </c>
      <c r="D196" s="142"/>
      <c r="E196" s="33" t="s">
        <v>56</v>
      </c>
      <c r="F196" s="34">
        <v>1</v>
      </c>
      <c r="G196" s="35">
        <v>0</v>
      </c>
      <c r="H196" s="34">
        <f t="shared" si="242"/>
        <v>0</v>
      </c>
      <c r="I196" s="34">
        <f t="shared" si="243"/>
        <v>0</v>
      </c>
      <c r="J196" s="34">
        <f t="shared" si="244"/>
        <v>0</v>
      </c>
      <c r="K196" s="36" t="s">
        <v>57</v>
      </c>
      <c r="Z196" s="30">
        <f t="shared" si="245"/>
        <v>0</v>
      </c>
      <c r="AB196" s="30">
        <f t="shared" si="246"/>
        <v>0</v>
      </c>
      <c r="AC196" s="30">
        <f t="shared" si="247"/>
        <v>0</v>
      </c>
      <c r="AD196" s="30">
        <f t="shared" si="248"/>
        <v>0</v>
      </c>
      <c r="AE196" s="30">
        <f t="shared" si="249"/>
        <v>0</v>
      </c>
      <c r="AF196" s="30">
        <f t="shared" si="250"/>
        <v>0</v>
      </c>
      <c r="AG196" s="30">
        <f t="shared" si="251"/>
        <v>0</v>
      </c>
      <c r="AH196" s="30">
        <f t="shared" si="252"/>
        <v>0</v>
      </c>
      <c r="AI196" s="10" t="s">
        <v>50</v>
      </c>
      <c r="AJ196" s="30">
        <f t="shared" si="253"/>
        <v>0</v>
      </c>
      <c r="AK196" s="30">
        <f t="shared" si="254"/>
        <v>0</v>
      </c>
      <c r="AL196" s="30">
        <f t="shared" si="255"/>
        <v>0</v>
      </c>
      <c r="AN196" s="30">
        <v>12</v>
      </c>
      <c r="AO196" s="30">
        <f>G196*0.961180328</f>
        <v>0</v>
      </c>
      <c r="AP196" s="30">
        <f>G196*(1-0.961180328)</f>
        <v>0</v>
      </c>
      <c r="AQ196" s="31" t="s">
        <v>77</v>
      </c>
      <c r="AV196" s="30">
        <f t="shared" si="256"/>
        <v>0</v>
      </c>
      <c r="AW196" s="30">
        <f t="shared" si="257"/>
        <v>0</v>
      </c>
      <c r="AX196" s="30">
        <f t="shared" si="258"/>
        <v>0</v>
      </c>
      <c r="AY196" s="31" t="s">
        <v>544</v>
      </c>
      <c r="AZ196" s="31" t="s">
        <v>494</v>
      </c>
      <c r="BA196" s="10" t="s">
        <v>60</v>
      </c>
      <c r="BC196" s="30">
        <f t="shared" si="259"/>
        <v>0</v>
      </c>
      <c r="BD196" s="30">
        <f t="shared" si="260"/>
        <v>0</v>
      </c>
      <c r="BE196" s="30">
        <v>0</v>
      </c>
      <c r="BF196" s="30">
        <f>196</f>
        <v>196</v>
      </c>
      <c r="BH196" s="30">
        <f t="shared" si="261"/>
        <v>0</v>
      </c>
      <c r="BI196" s="30">
        <f t="shared" si="262"/>
        <v>0</v>
      </c>
      <c r="BJ196" s="30">
        <f t="shared" si="263"/>
        <v>0</v>
      </c>
      <c r="BK196" s="30"/>
      <c r="BL196" s="30">
        <v>734</v>
      </c>
      <c r="BW196" s="30">
        <v>12</v>
      </c>
      <c r="BX196" s="4" t="s">
        <v>560</v>
      </c>
    </row>
    <row r="197" spans="1:76" x14ac:dyDescent="0.25">
      <c r="A197" s="32" t="s">
        <v>561</v>
      </c>
      <c r="B197" s="33" t="s">
        <v>562</v>
      </c>
      <c r="C197" s="141" t="s">
        <v>563</v>
      </c>
      <c r="D197" s="142"/>
      <c r="E197" s="33" t="s">
        <v>56</v>
      </c>
      <c r="F197" s="34">
        <v>14</v>
      </c>
      <c r="G197" s="35">
        <v>0</v>
      </c>
      <c r="H197" s="34">
        <f t="shared" si="242"/>
        <v>0</v>
      </c>
      <c r="I197" s="34">
        <f t="shared" si="243"/>
        <v>0</v>
      </c>
      <c r="J197" s="34">
        <f t="shared" si="244"/>
        <v>0</v>
      </c>
      <c r="K197" s="36" t="s">
        <v>57</v>
      </c>
      <c r="Z197" s="30">
        <f t="shared" si="245"/>
        <v>0</v>
      </c>
      <c r="AB197" s="30">
        <f t="shared" si="246"/>
        <v>0</v>
      </c>
      <c r="AC197" s="30">
        <f t="shared" si="247"/>
        <v>0</v>
      </c>
      <c r="AD197" s="30">
        <f t="shared" si="248"/>
        <v>0</v>
      </c>
      <c r="AE197" s="30">
        <f t="shared" si="249"/>
        <v>0</v>
      </c>
      <c r="AF197" s="30">
        <f t="shared" si="250"/>
        <v>0</v>
      </c>
      <c r="AG197" s="30">
        <f t="shared" si="251"/>
        <v>0</v>
      </c>
      <c r="AH197" s="30">
        <f t="shared" si="252"/>
        <v>0</v>
      </c>
      <c r="AI197" s="10" t="s">
        <v>50</v>
      </c>
      <c r="AJ197" s="30">
        <f t="shared" si="253"/>
        <v>0</v>
      </c>
      <c r="AK197" s="30">
        <f t="shared" si="254"/>
        <v>0</v>
      </c>
      <c r="AL197" s="30">
        <f t="shared" si="255"/>
        <v>0</v>
      </c>
      <c r="AN197" s="30">
        <v>12</v>
      </c>
      <c r="AO197" s="30">
        <f>G197*0.039716312</f>
        <v>0</v>
      </c>
      <c r="AP197" s="30">
        <f>G197*(1-0.039716312)</f>
        <v>0</v>
      </c>
      <c r="AQ197" s="31" t="s">
        <v>77</v>
      </c>
      <c r="AV197" s="30">
        <f t="shared" si="256"/>
        <v>0</v>
      </c>
      <c r="AW197" s="30">
        <f t="shared" si="257"/>
        <v>0</v>
      </c>
      <c r="AX197" s="30">
        <f t="shared" si="258"/>
        <v>0</v>
      </c>
      <c r="AY197" s="31" t="s">
        <v>544</v>
      </c>
      <c r="AZ197" s="31" t="s">
        <v>494</v>
      </c>
      <c r="BA197" s="10" t="s">
        <v>60</v>
      </c>
      <c r="BC197" s="30">
        <f t="shared" si="259"/>
        <v>0</v>
      </c>
      <c r="BD197" s="30">
        <f t="shared" si="260"/>
        <v>0</v>
      </c>
      <c r="BE197" s="30">
        <v>0</v>
      </c>
      <c r="BF197" s="30">
        <f>197</f>
        <v>197</v>
      </c>
      <c r="BH197" s="30">
        <f t="shared" si="261"/>
        <v>0</v>
      </c>
      <c r="BI197" s="30">
        <f t="shared" si="262"/>
        <v>0</v>
      </c>
      <c r="BJ197" s="30">
        <f t="shared" si="263"/>
        <v>0</v>
      </c>
      <c r="BK197" s="30"/>
      <c r="BL197" s="30">
        <v>734</v>
      </c>
      <c r="BW197" s="30">
        <v>12</v>
      </c>
      <c r="BX197" s="4" t="s">
        <v>563</v>
      </c>
    </row>
    <row r="198" spans="1:76" x14ac:dyDescent="0.25">
      <c r="A198" s="32" t="s">
        <v>564</v>
      </c>
      <c r="B198" s="33" t="s">
        <v>565</v>
      </c>
      <c r="C198" s="141" t="s">
        <v>566</v>
      </c>
      <c r="D198" s="142"/>
      <c r="E198" s="33" t="s">
        <v>109</v>
      </c>
      <c r="F198" s="34">
        <v>8.5299999999999994E-3</v>
      </c>
      <c r="G198" s="35">
        <v>0</v>
      </c>
      <c r="H198" s="34">
        <f t="shared" si="242"/>
        <v>0</v>
      </c>
      <c r="I198" s="34">
        <f t="shared" si="243"/>
        <v>0</v>
      </c>
      <c r="J198" s="34">
        <f t="shared" si="244"/>
        <v>0</v>
      </c>
      <c r="K198" s="36" t="s">
        <v>57</v>
      </c>
      <c r="Z198" s="30">
        <f t="shared" si="245"/>
        <v>0</v>
      </c>
      <c r="AB198" s="30">
        <f t="shared" si="246"/>
        <v>0</v>
      </c>
      <c r="AC198" s="30">
        <f t="shared" si="247"/>
        <v>0</v>
      </c>
      <c r="AD198" s="30">
        <f t="shared" si="248"/>
        <v>0</v>
      </c>
      <c r="AE198" s="30">
        <f t="shared" si="249"/>
        <v>0</v>
      </c>
      <c r="AF198" s="30">
        <f t="shared" si="250"/>
        <v>0</v>
      </c>
      <c r="AG198" s="30">
        <f t="shared" si="251"/>
        <v>0</v>
      </c>
      <c r="AH198" s="30">
        <f t="shared" si="252"/>
        <v>0</v>
      </c>
      <c r="AI198" s="10" t="s">
        <v>50</v>
      </c>
      <c r="AJ198" s="30">
        <f t="shared" si="253"/>
        <v>0</v>
      </c>
      <c r="AK198" s="30">
        <f t="shared" si="254"/>
        <v>0</v>
      </c>
      <c r="AL198" s="30">
        <f t="shared" si="255"/>
        <v>0</v>
      </c>
      <c r="AN198" s="30">
        <v>12</v>
      </c>
      <c r="AO198" s="30">
        <f>G198*0</f>
        <v>0</v>
      </c>
      <c r="AP198" s="30">
        <f>G198*(1-0)</f>
        <v>0</v>
      </c>
      <c r="AQ198" s="31" t="s">
        <v>71</v>
      </c>
      <c r="AV198" s="30">
        <f t="shared" si="256"/>
        <v>0</v>
      </c>
      <c r="AW198" s="30">
        <f t="shared" si="257"/>
        <v>0</v>
      </c>
      <c r="AX198" s="30">
        <f t="shared" si="258"/>
        <v>0</v>
      </c>
      <c r="AY198" s="31" t="s">
        <v>544</v>
      </c>
      <c r="AZ198" s="31" t="s">
        <v>494</v>
      </c>
      <c r="BA198" s="10" t="s">
        <v>60</v>
      </c>
      <c r="BC198" s="30">
        <f t="shared" si="259"/>
        <v>0</v>
      </c>
      <c r="BD198" s="30">
        <f t="shared" si="260"/>
        <v>0</v>
      </c>
      <c r="BE198" s="30">
        <v>0</v>
      </c>
      <c r="BF198" s="30">
        <f>198</f>
        <v>198</v>
      </c>
      <c r="BH198" s="30">
        <f t="shared" si="261"/>
        <v>0</v>
      </c>
      <c r="BI198" s="30">
        <f t="shared" si="262"/>
        <v>0</v>
      </c>
      <c r="BJ198" s="30">
        <f t="shared" si="263"/>
        <v>0</v>
      </c>
      <c r="BK198" s="30"/>
      <c r="BL198" s="30">
        <v>734</v>
      </c>
      <c r="BW198" s="30">
        <v>12</v>
      </c>
      <c r="BX198" s="4" t="s">
        <v>566</v>
      </c>
    </row>
    <row r="199" spans="1:76" x14ac:dyDescent="0.25">
      <c r="A199" s="39" t="s">
        <v>50</v>
      </c>
      <c r="B199" s="40" t="s">
        <v>567</v>
      </c>
      <c r="C199" s="156" t="s">
        <v>568</v>
      </c>
      <c r="D199" s="157"/>
      <c r="E199" s="41" t="s">
        <v>4</v>
      </c>
      <c r="F199" s="41" t="s">
        <v>4</v>
      </c>
      <c r="G199" s="42" t="s">
        <v>4</v>
      </c>
      <c r="H199" s="43">
        <f>SUM(H200:H205)</f>
        <v>0</v>
      </c>
      <c r="I199" s="43">
        <f>SUM(I200:I205)</f>
        <v>0</v>
      </c>
      <c r="J199" s="43">
        <f>SUM(J200:J205)</f>
        <v>0</v>
      </c>
      <c r="K199" s="44" t="s">
        <v>50</v>
      </c>
      <c r="AI199" s="10" t="s">
        <v>50</v>
      </c>
      <c r="AS199" s="1">
        <f>SUM(AJ200:AJ205)</f>
        <v>0</v>
      </c>
      <c r="AT199" s="1">
        <f>SUM(AK200:AK205)</f>
        <v>0</v>
      </c>
      <c r="AU199" s="1">
        <f>SUM(AL200:AL205)</f>
        <v>0</v>
      </c>
    </row>
    <row r="200" spans="1:76" x14ac:dyDescent="0.25">
      <c r="A200" s="25" t="s">
        <v>569</v>
      </c>
      <c r="B200" s="26" t="s">
        <v>570</v>
      </c>
      <c r="C200" s="150" t="s">
        <v>571</v>
      </c>
      <c r="D200" s="151"/>
      <c r="E200" s="26" t="s">
        <v>56</v>
      </c>
      <c r="F200" s="27">
        <v>5</v>
      </c>
      <c r="G200" s="28">
        <v>0</v>
      </c>
      <c r="H200" s="27">
        <f>F200*AO200</f>
        <v>0</v>
      </c>
      <c r="I200" s="27">
        <f>F200*AP200</f>
        <v>0</v>
      </c>
      <c r="J200" s="27">
        <f>F200*G200</f>
        <v>0</v>
      </c>
      <c r="K200" s="29" t="s">
        <v>57</v>
      </c>
      <c r="Z200" s="30">
        <f>IF(AQ200="5",BJ200,0)</f>
        <v>0</v>
      </c>
      <c r="AB200" s="30">
        <f>IF(AQ200="1",BH200,0)</f>
        <v>0</v>
      </c>
      <c r="AC200" s="30">
        <f>IF(AQ200="1",BI200,0)</f>
        <v>0</v>
      </c>
      <c r="AD200" s="30">
        <f>IF(AQ200="7",BH200,0)</f>
        <v>0</v>
      </c>
      <c r="AE200" s="30">
        <f>IF(AQ200="7",BI200,0)</f>
        <v>0</v>
      </c>
      <c r="AF200" s="30">
        <f>IF(AQ200="2",BH200,0)</f>
        <v>0</v>
      </c>
      <c r="AG200" s="30">
        <f>IF(AQ200="2",BI200,0)</f>
        <v>0</v>
      </c>
      <c r="AH200" s="30">
        <f>IF(AQ200="0",BJ200,0)</f>
        <v>0</v>
      </c>
      <c r="AI200" s="10" t="s">
        <v>50</v>
      </c>
      <c r="AJ200" s="30">
        <f>IF(AN200=0,J200,0)</f>
        <v>0</v>
      </c>
      <c r="AK200" s="30">
        <f>IF(AN200=12,J200,0)</f>
        <v>0</v>
      </c>
      <c r="AL200" s="30">
        <f>IF(AN200=21,J200,0)</f>
        <v>0</v>
      </c>
      <c r="AN200" s="30">
        <v>12</v>
      </c>
      <c r="AO200" s="30">
        <f>G200*0</f>
        <v>0</v>
      </c>
      <c r="AP200" s="30">
        <f>G200*(1-0)</f>
        <v>0</v>
      </c>
      <c r="AQ200" s="31" t="s">
        <v>77</v>
      </c>
      <c r="AV200" s="30">
        <f>AW200+AX200</f>
        <v>0</v>
      </c>
      <c r="AW200" s="30">
        <f>F200*AO200</f>
        <v>0</v>
      </c>
      <c r="AX200" s="30">
        <f>F200*AP200</f>
        <v>0</v>
      </c>
      <c r="AY200" s="31" t="s">
        <v>572</v>
      </c>
      <c r="AZ200" s="31" t="s">
        <v>494</v>
      </c>
      <c r="BA200" s="10" t="s">
        <v>60</v>
      </c>
      <c r="BC200" s="30">
        <f>AW200+AX200</f>
        <v>0</v>
      </c>
      <c r="BD200" s="30">
        <f>G200/(100-BE200)*100</f>
        <v>0</v>
      </c>
      <c r="BE200" s="30">
        <v>0</v>
      </c>
      <c r="BF200" s="30">
        <f>200</f>
        <v>200</v>
      </c>
      <c r="BH200" s="30">
        <f>F200*AO200</f>
        <v>0</v>
      </c>
      <c r="BI200" s="30">
        <f>F200*AP200</f>
        <v>0</v>
      </c>
      <c r="BJ200" s="30">
        <f>F200*G200</f>
        <v>0</v>
      </c>
      <c r="BK200" s="30"/>
      <c r="BL200" s="30">
        <v>735</v>
      </c>
      <c r="BW200" s="30">
        <v>12</v>
      </c>
      <c r="BX200" s="4" t="s">
        <v>571</v>
      </c>
    </row>
    <row r="201" spans="1:76" x14ac:dyDescent="0.25">
      <c r="A201" s="32" t="s">
        <v>573</v>
      </c>
      <c r="B201" s="33" t="s">
        <v>574</v>
      </c>
      <c r="C201" s="141" t="s">
        <v>575</v>
      </c>
      <c r="D201" s="142"/>
      <c r="E201" s="33" t="s">
        <v>56</v>
      </c>
      <c r="F201" s="34">
        <v>1</v>
      </c>
      <c r="G201" s="35">
        <v>0</v>
      </c>
      <c r="H201" s="34">
        <f>F201*AO201</f>
        <v>0</v>
      </c>
      <c r="I201" s="34">
        <f>F201*AP201</f>
        <v>0</v>
      </c>
      <c r="J201" s="34">
        <f>F201*G201</f>
        <v>0</v>
      </c>
      <c r="K201" s="36" t="s">
        <v>57</v>
      </c>
      <c r="Z201" s="30">
        <f>IF(AQ201="5",BJ201,0)</f>
        <v>0</v>
      </c>
      <c r="AB201" s="30">
        <f>IF(AQ201="1",BH201,0)</f>
        <v>0</v>
      </c>
      <c r="AC201" s="30">
        <f>IF(AQ201="1",BI201,0)</f>
        <v>0</v>
      </c>
      <c r="AD201" s="30">
        <f>IF(AQ201="7",BH201,0)</f>
        <v>0</v>
      </c>
      <c r="AE201" s="30">
        <f>IF(AQ201="7",BI201,0)</f>
        <v>0</v>
      </c>
      <c r="AF201" s="30">
        <f>IF(AQ201="2",BH201,0)</f>
        <v>0</v>
      </c>
      <c r="AG201" s="30">
        <f>IF(AQ201="2",BI201,0)</f>
        <v>0</v>
      </c>
      <c r="AH201" s="30">
        <f>IF(AQ201="0",BJ201,0)</f>
        <v>0</v>
      </c>
      <c r="AI201" s="10" t="s">
        <v>50</v>
      </c>
      <c r="AJ201" s="30">
        <f>IF(AN201=0,J201,0)</f>
        <v>0</v>
      </c>
      <c r="AK201" s="30">
        <f>IF(AN201=12,J201,0)</f>
        <v>0</v>
      </c>
      <c r="AL201" s="30">
        <f>IF(AN201=21,J201,0)</f>
        <v>0</v>
      </c>
      <c r="AN201" s="30">
        <v>12</v>
      </c>
      <c r="AO201" s="30">
        <f>G201*0.914563713</f>
        <v>0</v>
      </c>
      <c r="AP201" s="30">
        <f>G201*(1-0.914563713)</f>
        <v>0</v>
      </c>
      <c r="AQ201" s="31" t="s">
        <v>77</v>
      </c>
      <c r="AV201" s="30">
        <f>AW201+AX201</f>
        <v>0</v>
      </c>
      <c r="AW201" s="30">
        <f>F201*AO201</f>
        <v>0</v>
      </c>
      <c r="AX201" s="30">
        <f>F201*AP201</f>
        <v>0</v>
      </c>
      <c r="AY201" s="31" t="s">
        <v>572</v>
      </c>
      <c r="AZ201" s="31" t="s">
        <v>494</v>
      </c>
      <c r="BA201" s="10" t="s">
        <v>60</v>
      </c>
      <c r="BC201" s="30">
        <f>AW201+AX201</f>
        <v>0</v>
      </c>
      <c r="BD201" s="30">
        <f>G201/(100-BE201)*100</f>
        <v>0</v>
      </c>
      <c r="BE201" s="30">
        <v>0</v>
      </c>
      <c r="BF201" s="30">
        <f>201</f>
        <v>201</v>
      </c>
      <c r="BH201" s="30">
        <f>F201*AO201</f>
        <v>0</v>
      </c>
      <c r="BI201" s="30">
        <f>F201*AP201</f>
        <v>0</v>
      </c>
      <c r="BJ201" s="30">
        <f>F201*G201</f>
        <v>0</v>
      </c>
      <c r="BK201" s="30"/>
      <c r="BL201" s="30">
        <v>735</v>
      </c>
      <c r="BW201" s="30">
        <v>12</v>
      </c>
      <c r="BX201" s="4" t="s">
        <v>575</v>
      </c>
    </row>
    <row r="202" spans="1:76" ht="13.5" customHeight="1" x14ac:dyDescent="0.25">
      <c r="A202" s="37"/>
      <c r="B202" s="38" t="s">
        <v>84</v>
      </c>
      <c r="C202" s="152" t="s">
        <v>576</v>
      </c>
      <c r="D202" s="153"/>
      <c r="E202" s="153"/>
      <c r="F202" s="153"/>
      <c r="G202" s="154"/>
      <c r="H202" s="153"/>
      <c r="I202" s="153"/>
      <c r="J202" s="153"/>
      <c r="K202" s="155"/>
    </row>
    <row r="203" spans="1:76" x14ac:dyDescent="0.25">
      <c r="A203" s="25" t="s">
        <v>577</v>
      </c>
      <c r="B203" s="26" t="s">
        <v>578</v>
      </c>
      <c r="C203" s="150" t="s">
        <v>579</v>
      </c>
      <c r="D203" s="151"/>
      <c r="E203" s="26" t="s">
        <v>56</v>
      </c>
      <c r="F203" s="27">
        <v>5</v>
      </c>
      <c r="G203" s="28">
        <v>0</v>
      </c>
      <c r="H203" s="27">
        <f>F203*AO203</f>
        <v>0</v>
      </c>
      <c r="I203" s="27">
        <f>F203*AP203</f>
        <v>0</v>
      </c>
      <c r="J203" s="27">
        <f>F203*G203</f>
        <v>0</v>
      </c>
      <c r="K203" s="29" t="s">
        <v>57</v>
      </c>
      <c r="Z203" s="30">
        <f>IF(AQ203="5",BJ203,0)</f>
        <v>0</v>
      </c>
      <c r="AB203" s="30">
        <f>IF(AQ203="1",BH203,0)</f>
        <v>0</v>
      </c>
      <c r="AC203" s="30">
        <f>IF(AQ203="1",BI203,0)</f>
        <v>0</v>
      </c>
      <c r="AD203" s="30">
        <f>IF(AQ203="7",BH203,0)</f>
        <v>0</v>
      </c>
      <c r="AE203" s="30">
        <f>IF(AQ203="7",BI203,0)</f>
        <v>0</v>
      </c>
      <c r="AF203" s="30">
        <f>IF(AQ203="2",BH203,0)</f>
        <v>0</v>
      </c>
      <c r="AG203" s="30">
        <f>IF(AQ203="2",BI203,0)</f>
        <v>0</v>
      </c>
      <c r="AH203" s="30">
        <f>IF(AQ203="0",BJ203,0)</f>
        <v>0</v>
      </c>
      <c r="AI203" s="10" t="s">
        <v>50</v>
      </c>
      <c r="AJ203" s="30">
        <f>IF(AN203=0,J203,0)</f>
        <v>0</v>
      </c>
      <c r="AK203" s="30">
        <f>IF(AN203=12,J203,0)</f>
        <v>0</v>
      </c>
      <c r="AL203" s="30">
        <f>IF(AN203=21,J203,0)</f>
        <v>0</v>
      </c>
      <c r="AN203" s="30">
        <v>12</v>
      </c>
      <c r="AO203" s="30">
        <f>G203*0.921590032</f>
        <v>0</v>
      </c>
      <c r="AP203" s="30">
        <f>G203*(1-0.921590032)</f>
        <v>0</v>
      </c>
      <c r="AQ203" s="31" t="s">
        <v>77</v>
      </c>
      <c r="AV203" s="30">
        <f>AW203+AX203</f>
        <v>0</v>
      </c>
      <c r="AW203" s="30">
        <f>F203*AO203</f>
        <v>0</v>
      </c>
      <c r="AX203" s="30">
        <f>F203*AP203</f>
        <v>0</v>
      </c>
      <c r="AY203" s="31" t="s">
        <v>572</v>
      </c>
      <c r="AZ203" s="31" t="s">
        <v>494</v>
      </c>
      <c r="BA203" s="10" t="s">
        <v>60</v>
      </c>
      <c r="BC203" s="30">
        <f>AW203+AX203</f>
        <v>0</v>
      </c>
      <c r="BD203" s="30">
        <f>G203/(100-BE203)*100</f>
        <v>0</v>
      </c>
      <c r="BE203" s="30">
        <v>0</v>
      </c>
      <c r="BF203" s="30">
        <f>203</f>
        <v>203</v>
      </c>
      <c r="BH203" s="30">
        <f>F203*AO203</f>
        <v>0</v>
      </c>
      <c r="BI203" s="30">
        <f>F203*AP203</f>
        <v>0</v>
      </c>
      <c r="BJ203" s="30">
        <f>F203*G203</f>
        <v>0</v>
      </c>
      <c r="BK203" s="30"/>
      <c r="BL203" s="30">
        <v>735</v>
      </c>
      <c r="BW203" s="30">
        <v>12</v>
      </c>
      <c r="BX203" s="4" t="s">
        <v>579</v>
      </c>
    </row>
    <row r="204" spans="1:76" x14ac:dyDescent="0.25">
      <c r="A204" s="32" t="s">
        <v>580</v>
      </c>
      <c r="B204" s="33" t="s">
        <v>581</v>
      </c>
      <c r="C204" s="141" t="s">
        <v>582</v>
      </c>
      <c r="D204" s="142"/>
      <c r="E204" s="33" t="s">
        <v>56</v>
      </c>
      <c r="F204" s="34">
        <v>1</v>
      </c>
      <c r="G204" s="35">
        <v>0</v>
      </c>
      <c r="H204" s="34">
        <f>F204*AO204</f>
        <v>0</v>
      </c>
      <c r="I204" s="34">
        <f>F204*AP204</f>
        <v>0</v>
      </c>
      <c r="J204" s="34">
        <f>F204*G204</f>
        <v>0</v>
      </c>
      <c r="K204" s="36" t="s">
        <v>57</v>
      </c>
      <c r="Z204" s="30">
        <f>IF(AQ204="5",BJ204,0)</f>
        <v>0</v>
      </c>
      <c r="AB204" s="30">
        <f>IF(AQ204="1",BH204,0)</f>
        <v>0</v>
      </c>
      <c r="AC204" s="30">
        <f>IF(AQ204="1",BI204,0)</f>
        <v>0</v>
      </c>
      <c r="AD204" s="30">
        <f>IF(AQ204="7",BH204,0)</f>
        <v>0</v>
      </c>
      <c r="AE204" s="30">
        <f>IF(AQ204="7",BI204,0)</f>
        <v>0</v>
      </c>
      <c r="AF204" s="30">
        <f>IF(AQ204="2",BH204,0)</f>
        <v>0</v>
      </c>
      <c r="AG204" s="30">
        <f>IF(AQ204="2",BI204,0)</f>
        <v>0</v>
      </c>
      <c r="AH204" s="30">
        <f>IF(AQ204="0",BJ204,0)</f>
        <v>0</v>
      </c>
      <c r="AI204" s="10" t="s">
        <v>50</v>
      </c>
      <c r="AJ204" s="30">
        <f>IF(AN204=0,J204,0)</f>
        <v>0</v>
      </c>
      <c r="AK204" s="30">
        <f>IF(AN204=12,J204,0)</f>
        <v>0</v>
      </c>
      <c r="AL204" s="30">
        <f>IF(AN204=21,J204,0)</f>
        <v>0</v>
      </c>
      <c r="AN204" s="30">
        <v>12</v>
      </c>
      <c r="AO204" s="30">
        <f>G204*0.919351916</f>
        <v>0</v>
      </c>
      <c r="AP204" s="30">
        <f>G204*(1-0.919351916)</f>
        <v>0</v>
      </c>
      <c r="AQ204" s="31" t="s">
        <v>77</v>
      </c>
      <c r="AV204" s="30">
        <f>AW204+AX204</f>
        <v>0</v>
      </c>
      <c r="AW204" s="30">
        <f>F204*AO204</f>
        <v>0</v>
      </c>
      <c r="AX204" s="30">
        <f>F204*AP204</f>
        <v>0</v>
      </c>
      <c r="AY204" s="31" t="s">
        <v>572</v>
      </c>
      <c r="AZ204" s="31" t="s">
        <v>494</v>
      </c>
      <c r="BA204" s="10" t="s">
        <v>60</v>
      </c>
      <c r="BC204" s="30">
        <f>AW204+AX204</f>
        <v>0</v>
      </c>
      <c r="BD204" s="30">
        <f>G204/(100-BE204)*100</f>
        <v>0</v>
      </c>
      <c r="BE204" s="30">
        <v>0</v>
      </c>
      <c r="BF204" s="30">
        <f>204</f>
        <v>204</v>
      </c>
      <c r="BH204" s="30">
        <f>F204*AO204</f>
        <v>0</v>
      </c>
      <c r="BI204" s="30">
        <f>F204*AP204</f>
        <v>0</v>
      </c>
      <c r="BJ204" s="30">
        <f>F204*G204</f>
        <v>0</v>
      </c>
      <c r="BK204" s="30"/>
      <c r="BL204" s="30">
        <v>735</v>
      </c>
      <c r="BW204" s="30">
        <v>12</v>
      </c>
      <c r="BX204" s="4" t="s">
        <v>582</v>
      </c>
    </row>
    <row r="205" spans="1:76" x14ac:dyDescent="0.25">
      <c r="A205" s="32" t="s">
        <v>583</v>
      </c>
      <c r="B205" s="33" t="s">
        <v>584</v>
      </c>
      <c r="C205" s="141" t="s">
        <v>585</v>
      </c>
      <c r="D205" s="142"/>
      <c r="E205" s="33" t="s">
        <v>109</v>
      </c>
      <c r="F205" s="34">
        <v>1.7479999999999999E-2</v>
      </c>
      <c r="G205" s="35">
        <v>0</v>
      </c>
      <c r="H205" s="34">
        <f>F205*AO205</f>
        <v>0</v>
      </c>
      <c r="I205" s="34">
        <f>F205*AP205</f>
        <v>0</v>
      </c>
      <c r="J205" s="34">
        <f>F205*G205</f>
        <v>0</v>
      </c>
      <c r="K205" s="36" t="s">
        <v>57</v>
      </c>
      <c r="Z205" s="30">
        <f>IF(AQ205="5",BJ205,0)</f>
        <v>0</v>
      </c>
      <c r="AB205" s="30">
        <f>IF(AQ205="1",BH205,0)</f>
        <v>0</v>
      </c>
      <c r="AC205" s="30">
        <f>IF(AQ205="1",BI205,0)</f>
        <v>0</v>
      </c>
      <c r="AD205" s="30">
        <f>IF(AQ205="7",BH205,0)</f>
        <v>0</v>
      </c>
      <c r="AE205" s="30">
        <f>IF(AQ205="7",BI205,0)</f>
        <v>0</v>
      </c>
      <c r="AF205" s="30">
        <f>IF(AQ205="2",BH205,0)</f>
        <v>0</v>
      </c>
      <c r="AG205" s="30">
        <f>IF(AQ205="2",BI205,0)</f>
        <v>0</v>
      </c>
      <c r="AH205" s="30">
        <f>IF(AQ205="0",BJ205,0)</f>
        <v>0</v>
      </c>
      <c r="AI205" s="10" t="s">
        <v>50</v>
      </c>
      <c r="AJ205" s="30">
        <f>IF(AN205=0,J205,0)</f>
        <v>0</v>
      </c>
      <c r="AK205" s="30">
        <f>IF(AN205=12,J205,0)</f>
        <v>0</v>
      </c>
      <c r="AL205" s="30">
        <f>IF(AN205=21,J205,0)</f>
        <v>0</v>
      </c>
      <c r="AN205" s="30">
        <v>12</v>
      </c>
      <c r="AO205" s="30">
        <f>G205*0</f>
        <v>0</v>
      </c>
      <c r="AP205" s="30">
        <f>G205*(1-0)</f>
        <v>0</v>
      </c>
      <c r="AQ205" s="31" t="s">
        <v>71</v>
      </c>
      <c r="AV205" s="30">
        <f>AW205+AX205</f>
        <v>0</v>
      </c>
      <c r="AW205" s="30">
        <f>F205*AO205</f>
        <v>0</v>
      </c>
      <c r="AX205" s="30">
        <f>F205*AP205</f>
        <v>0</v>
      </c>
      <c r="AY205" s="31" t="s">
        <v>572</v>
      </c>
      <c r="AZ205" s="31" t="s">
        <v>494</v>
      </c>
      <c r="BA205" s="10" t="s">
        <v>60</v>
      </c>
      <c r="BC205" s="30">
        <f>AW205+AX205</f>
        <v>0</v>
      </c>
      <c r="BD205" s="30">
        <f>G205/(100-BE205)*100</f>
        <v>0</v>
      </c>
      <c r="BE205" s="30">
        <v>0</v>
      </c>
      <c r="BF205" s="30">
        <f>205</f>
        <v>205</v>
      </c>
      <c r="BH205" s="30">
        <f>F205*AO205</f>
        <v>0</v>
      </c>
      <c r="BI205" s="30">
        <f>F205*AP205</f>
        <v>0</v>
      </c>
      <c r="BJ205" s="30">
        <f>F205*G205</f>
        <v>0</v>
      </c>
      <c r="BK205" s="30"/>
      <c r="BL205" s="30">
        <v>735</v>
      </c>
      <c r="BW205" s="30">
        <v>12</v>
      </c>
      <c r="BX205" s="4" t="s">
        <v>585</v>
      </c>
    </row>
    <row r="206" spans="1:76" x14ac:dyDescent="0.25">
      <c r="A206" s="39" t="s">
        <v>50</v>
      </c>
      <c r="B206" s="40" t="s">
        <v>586</v>
      </c>
      <c r="C206" s="156" t="s">
        <v>587</v>
      </c>
      <c r="D206" s="157"/>
      <c r="E206" s="41" t="s">
        <v>4</v>
      </c>
      <c r="F206" s="41" t="s">
        <v>4</v>
      </c>
      <c r="G206" s="42" t="s">
        <v>4</v>
      </c>
      <c r="H206" s="43">
        <f>SUM(H207:H210)</f>
        <v>0</v>
      </c>
      <c r="I206" s="43">
        <f>SUM(I207:I210)</f>
        <v>0</v>
      </c>
      <c r="J206" s="43">
        <f>SUM(J207:J210)</f>
        <v>0</v>
      </c>
      <c r="K206" s="44" t="s">
        <v>50</v>
      </c>
      <c r="AI206" s="10" t="s">
        <v>50</v>
      </c>
      <c r="AS206" s="1">
        <f>SUM(AJ207:AJ210)</f>
        <v>0</v>
      </c>
      <c r="AT206" s="1">
        <f>SUM(AK207:AK210)</f>
        <v>0</v>
      </c>
      <c r="AU206" s="1">
        <f>SUM(AL207:AL210)</f>
        <v>0</v>
      </c>
    </row>
    <row r="207" spans="1:76" x14ac:dyDescent="0.25">
      <c r="A207" s="25" t="s">
        <v>588</v>
      </c>
      <c r="B207" s="26" t="s">
        <v>589</v>
      </c>
      <c r="C207" s="150" t="s">
        <v>590</v>
      </c>
      <c r="D207" s="151"/>
      <c r="E207" s="26" t="s">
        <v>56</v>
      </c>
      <c r="F207" s="27">
        <v>1</v>
      </c>
      <c r="G207" s="28">
        <v>0</v>
      </c>
      <c r="H207" s="27">
        <f>F207*AO207</f>
        <v>0</v>
      </c>
      <c r="I207" s="27">
        <f>F207*AP207</f>
        <v>0</v>
      </c>
      <c r="J207" s="27">
        <f>F207*G207</f>
        <v>0</v>
      </c>
      <c r="K207" s="29" t="s">
        <v>57</v>
      </c>
      <c r="Z207" s="30">
        <f>IF(AQ207="5",BJ207,0)</f>
        <v>0</v>
      </c>
      <c r="AB207" s="30">
        <f>IF(AQ207="1",BH207,0)</f>
        <v>0</v>
      </c>
      <c r="AC207" s="30">
        <f>IF(AQ207="1",BI207,0)</f>
        <v>0</v>
      </c>
      <c r="AD207" s="30">
        <f>IF(AQ207="7",BH207,0)</f>
        <v>0</v>
      </c>
      <c r="AE207" s="30">
        <f>IF(AQ207="7",BI207,0)</f>
        <v>0</v>
      </c>
      <c r="AF207" s="30">
        <f>IF(AQ207="2",BH207,0)</f>
        <v>0</v>
      </c>
      <c r="AG207" s="30">
        <f>IF(AQ207="2",BI207,0)</f>
        <v>0</v>
      </c>
      <c r="AH207" s="30">
        <f>IF(AQ207="0",BJ207,0)</f>
        <v>0</v>
      </c>
      <c r="AI207" s="10" t="s">
        <v>50</v>
      </c>
      <c r="AJ207" s="30">
        <f>IF(AN207=0,J207,0)</f>
        <v>0</v>
      </c>
      <c r="AK207" s="30">
        <f>IF(AN207=12,J207,0)</f>
        <v>0</v>
      </c>
      <c r="AL207" s="30">
        <f>IF(AN207=21,J207,0)</f>
        <v>0</v>
      </c>
      <c r="AN207" s="30">
        <v>12</v>
      </c>
      <c r="AO207" s="30">
        <f>G207*0</f>
        <v>0</v>
      </c>
      <c r="AP207" s="30">
        <f>G207*(1-0)</f>
        <v>0</v>
      </c>
      <c r="AQ207" s="31" t="s">
        <v>61</v>
      </c>
      <c r="AV207" s="30">
        <f>AW207+AX207</f>
        <v>0</v>
      </c>
      <c r="AW207" s="30">
        <f>F207*AO207</f>
        <v>0</v>
      </c>
      <c r="AX207" s="30">
        <f>F207*AP207</f>
        <v>0</v>
      </c>
      <c r="AY207" s="31" t="s">
        <v>591</v>
      </c>
      <c r="AZ207" s="31" t="s">
        <v>494</v>
      </c>
      <c r="BA207" s="10" t="s">
        <v>60</v>
      </c>
      <c r="BC207" s="30">
        <f>AW207+AX207</f>
        <v>0</v>
      </c>
      <c r="BD207" s="30">
        <f>G207/(100-BE207)*100</f>
        <v>0</v>
      </c>
      <c r="BE207" s="30">
        <v>0</v>
      </c>
      <c r="BF207" s="30">
        <f>207</f>
        <v>207</v>
      </c>
      <c r="BH207" s="30">
        <f>F207*AO207</f>
        <v>0</v>
      </c>
      <c r="BI207" s="30">
        <f>F207*AP207</f>
        <v>0</v>
      </c>
      <c r="BJ207" s="30">
        <f>F207*G207</f>
        <v>0</v>
      </c>
      <c r="BK207" s="30"/>
      <c r="BL207" s="30">
        <v>736</v>
      </c>
      <c r="BW207" s="30">
        <v>12</v>
      </c>
      <c r="BX207" s="4" t="s">
        <v>590</v>
      </c>
    </row>
    <row r="208" spans="1:76" ht="13.5" customHeight="1" x14ac:dyDescent="0.25">
      <c r="A208" s="37"/>
      <c r="B208" s="38" t="s">
        <v>84</v>
      </c>
      <c r="C208" s="152" t="s">
        <v>592</v>
      </c>
      <c r="D208" s="153"/>
      <c r="E208" s="153"/>
      <c r="F208" s="153"/>
      <c r="G208" s="154"/>
      <c r="H208" s="153"/>
      <c r="I208" s="153"/>
      <c r="J208" s="153"/>
      <c r="K208" s="155"/>
    </row>
    <row r="209" spans="1:76" x14ac:dyDescent="0.25">
      <c r="A209" s="25" t="s">
        <v>593</v>
      </c>
      <c r="B209" s="26" t="s">
        <v>594</v>
      </c>
      <c r="C209" s="150" t="s">
        <v>595</v>
      </c>
      <c r="D209" s="151"/>
      <c r="E209" s="26" t="s">
        <v>64</v>
      </c>
      <c r="F209" s="27">
        <v>4.3</v>
      </c>
      <c r="G209" s="28">
        <v>0</v>
      </c>
      <c r="H209" s="27">
        <f>F209*AO209</f>
        <v>0</v>
      </c>
      <c r="I209" s="27">
        <f>F209*AP209</f>
        <v>0</v>
      </c>
      <c r="J209" s="27">
        <f>F209*G209</f>
        <v>0</v>
      </c>
      <c r="K209" s="29" t="s">
        <v>57</v>
      </c>
      <c r="Z209" s="30">
        <f>IF(AQ209="5",BJ209,0)</f>
        <v>0</v>
      </c>
      <c r="AB209" s="30">
        <f>IF(AQ209="1",BH209,0)</f>
        <v>0</v>
      </c>
      <c r="AC209" s="30">
        <f>IF(AQ209="1",BI209,0)</f>
        <v>0</v>
      </c>
      <c r="AD209" s="30">
        <f>IF(AQ209="7",BH209,0)</f>
        <v>0</v>
      </c>
      <c r="AE209" s="30">
        <f>IF(AQ209="7",BI209,0)</f>
        <v>0</v>
      </c>
      <c r="AF209" s="30">
        <f>IF(AQ209="2",BH209,0)</f>
        <v>0</v>
      </c>
      <c r="AG209" s="30">
        <f>IF(AQ209="2",BI209,0)</f>
        <v>0</v>
      </c>
      <c r="AH209" s="30">
        <f>IF(AQ209="0",BJ209,0)</f>
        <v>0</v>
      </c>
      <c r="AI209" s="10" t="s">
        <v>50</v>
      </c>
      <c r="AJ209" s="30">
        <f>IF(AN209=0,J209,0)</f>
        <v>0</v>
      </c>
      <c r="AK209" s="30">
        <f>IF(AN209=12,J209,0)</f>
        <v>0</v>
      </c>
      <c r="AL209" s="30">
        <f>IF(AN209=21,J209,0)</f>
        <v>0</v>
      </c>
      <c r="AN209" s="30">
        <v>12</v>
      </c>
      <c r="AO209" s="30">
        <f>G209*0.529595551</f>
        <v>0</v>
      </c>
      <c r="AP209" s="30">
        <f>G209*(1-0.529595551)</f>
        <v>0</v>
      </c>
      <c r="AQ209" s="31" t="s">
        <v>77</v>
      </c>
      <c r="AV209" s="30">
        <f>AW209+AX209</f>
        <v>0</v>
      </c>
      <c r="AW209" s="30">
        <f>F209*AO209</f>
        <v>0</v>
      </c>
      <c r="AX209" s="30">
        <f>F209*AP209</f>
        <v>0</v>
      </c>
      <c r="AY209" s="31" t="s">
        <v>591</v>
      </c>
      <c r="AZ209" s="31" t="s">
        <v>494</v>
      </c>
      <c r="BA209" s="10" t="s">
        <v>60</v>
      </c>
      <c r="BC209" s="30">
        <f>AW209+AX209</f>
        <v>0</v>
      </c>
      <c r="BD209" s="30">
        <f>G209/(100-BE209)*100</f>
        <v>0</v>
      </c>
      <c r="BE209" s="30">
        <v>0</v>
      </c>
      <c r="BF209" s="30">
        <f>209</f>
        <v>209</v>
      </c>
      <c r="BH209" s="30">
        <f>F209*AO209</f>
        <v>0</v>
      </c>
      <c r="BI209" s="30">
        <f>F209*AP209</f>
        <v>0</v>
      </c>
      <c r="BJ209" s="30">
        <f>F209*G209</f>
        <v>0</v>
      </c>
      <c r="BK209" s="30"/>
      <c r="BL209" s="30">
        <v>736</v>
      </c>
      <c r="BW209" s="30">
        <v>12</v>
      </c>
      <c r="BX209" s="4" t="s">
        <v>595</v>
      </c>
    </row>
    <row r="210" spans="1:76" x14ac:dyDescent="0.25">
      <c r="A210" s="32" t="s">
        <v>596</v>
      </c>
      <c r="B210" s="33" t="s">
        <v>597</v>
      </c>
      <c r="C210" s="141" t="s">
        <v>598</v>
      </c>
      <c r="D210" s="142"/>
      <c r="E210" s="33" t="s">
        <v>109</v>
      </c>
      <c r="F210" s="34">
        <v>2.0600000000000002E-3</v>
      </c>
      <c r="G210" s="35">
        <v>0</v>
      </c>
      <c r="H210" s="34">
        <f>F210*AO210</f>
        <v>0</v>
      </c>
      <c r="I210" s="34">
        <f>F210*AP210</f>
        <v>0</v>
      </c>
      <c r="J210" s="34">
        <f>F210*G210</f>
        <v>0</v>
      </c>
      <c r="K210" s="36" t="s">
        <v>57</v>
      </c>
      <c r="Z210" s="30">
        <f>IF(AQ210="5",BJ210,0)</f>
        <v>0</v>
      </c>
      <c r="AB210" s="30">
        <f>IF(AQ210="1",BH210,0)</f>
        <v>0</v>
      </c>
      <c r="AC210" s="30">
        <f>IF(AQ210="1",BI210,0)</f>
        <v>0</v>
      </c>
      <c r="AD210" s="30">
        <f>IF(AQ210="7",BH210,0)</f>
        <v>0</v>
      </c>
      <c r="AE210" s="30">
        <f>IF(AQ210="7",BI210,0)</f>
        <v>0</v>
      </c>
      <c r="AF210" s="30">
        <f>IF(AQ210="2",BH210,0)</f>
        <v>0</v>
      </c>
      <c r="AG210" s="30">
        <f>IF(AQ210="2",BI210,0)</f>
        <v>0</v>
      </c>
      <c r="AH210" s="30">
        <f>IF(AQ210="0",BJ210,0)</f>
        <v>0</v>
      </c>
      <c r="AI210" s="10" t="s">
        <v>50</v>
      </c>
      <c r="AJ210" s="30">
        <f>IF(AN210=0,J210,0)</f>
        <v>0</v>
      </c>
      <c r="AK210" s="30">
        <f>IF(AN210=12,J210,0)</f>
        <v>0</v>
      </c>
      <c r="AL210" s="30">
        <f>IF(AN210=21,J210,0)</f>
        <v>0</v>
      </c>
      <c r="AN210" s="30">
        <v>12</v>
      </c>
      <c r="AO210" s="30">
        <f>G210*0</f>
        <v>0</v>
      </c>
      <c r="AP210" s="30">
        <f>G210*(1-0)</f>
        <v>0</v>
      </c>
      <c r="AQ210" s="31" t="s">
        <v>71</v>
      </c>
      <c r="AV210" s="30">
        <f>AW210+AX210</f>
        <v>0</v>
      </c>
      <c r="AW210" s="30">
        <f>F210*AO210</f>
        <v>0</v>
      </c>
      <c r="AX210" s="30">
        <f>F210*AP210</f>
        <v>0</v>
      </c>
      <c r="AY210" s="31" t="s">
        <v>591</v>
      </c>
      <c r="AZ210" s="31" t="s">
        <v>494</v>
      </c>
      <c r="BA210" s="10" t="s">
        <v>60</v>
      </c>
      <c r="BC210" s="30">
        <f>AW210+AX210</f>
        <v>0</v>
      </c>
      <c r="BD210" s="30">
        <f>G210/(100-BE210)*100</f>
        <v>0</v>
      </c>
      <c r="BE210" s="30">
        <v>0</v>
      </c>
      <c r="BF210" s="30">
        <f>210</f>
        <v>210</v>
      </c>
      <c r="BH210" s="30">
        <f>F210*AO210</f>
        <v>0</v>
      </c>
      <c r="BI210" s="30">
        <f>F210*AP210</f>
        <v>0</v>
      </c>
      <c r="BJ210" s="30">
        <f>F210*G210</f>
        <v>0</v>
      </c>
      <c r="BK210" s="30"/>
      <c r="BL210" s="30">
        <v>736</v>
      </c>
      <c r="BW210" s="30">
        <v>12</v>
      </c>
      <c r="BX210" s="4" t="s">
        <v>598</v>
      </c>
    </row>
    <row r="211" spans="1:76" x14ac:dyDescent="0.25">
      <c r="A211" s="39" t="s">
        <v>50</v>
      </c>
      <c r="B211" s="40" t="s">
        <v>599</v>
      </c>
      <c r="C211" s="156" t="s">
        <v>600</v>
      </c>
      <c r="D211" s="157"/>
      <c r="E211" s="41" t="s">
        <v>4</v>
      </c>
      <c r="F211" s="41" t="s">
        <v>4</v>
      </c>
      <c r="G211" s="42" t="s">
        <v>4</v>
      </c>
      <c r="H211" s="43">
        <f>SUM(H212:H215)</f>
        <v>0</v>
      </c>
      <c r="I211" s="43">
        <f>SUM(I212:I215)</f>
        <v>0</v>
      </c>
      <c r="J211" s="43">
        <f>SUM(J212:J215)</f>
        <v>0</v>
      </c>
      <c r="K211" s="44" t="s">
        <v>50</v>
      </c>
      <c r="AI211" s="10" t="s">
        <v>50</v>
      </c>
      <c r="AS211" s="1">
        <f>SUM(AJ212:AJ215)</f>
        <v>0</v>
      </c>
      <c r="AT211" s="1">
        <f>SUM(AK212:AK215)</f>
        <v>0</v>
      </c>
      <c r="AU211" s="1">
        <f>SUM(AL212:AL215)</f>
        <v>0</v>
      </c>
    </row>
    <row r="212" spans="1:76" x14ac:dyDescent="0.25">
      <c r="A212" s="25" t="s">
        <v>601</v>
      </c>
      <c r="B212" s="26" t="s">
        <v>602</v>
      </c>
      <c r="C212" s="150" t="s">
        <v>603</v>
      </c>
      <c r="D212" s="151"/>
      <c r="E212" s="26" t="s">
        <v>64</v>
      </c>
      <c r="F212" s="27">
        <v>1.25</v>
      </c>
      <c r="G212" s="28">
        <v>0</v>
      </c>
      <c r="H212" s="27">
        <f>F212*AO212</f>
        <v>0</v>
      </c>
      <c r="I212" s="27">
        <f>F212*AP212</f>
        <v>0</v>
      </c>
      <c r="J212" s="27">
        <f>F212*G212</f>
        <v>0</v>
      </c>
      <c r="K212" s="29" t="s">
        <v>57</v>
      </c>
      <c r="Z212" s="30">
        <f>IF(AQ212="5",BJ212,0)</f>
        <v>0</v>
      </c>
      <c r="AB212" s="30">
        <f>IF(AQ212="1",BH212,0)</f>
        <v>0</v>
      </c>
      <c r="AC212" s="30">
        <f>IF(AQ212="1",BI212,0)</f>
        <v>0</v>
      </c>
      <c r="AD212" s="30">
        <f>IF(AQ212="7",BH212,0)</f>
        <v>0</v>
      </c>
      <c r="AE212" s="30">
        <f>IF(AQ212="7",BI212,0)</f>
        <v>0</v>
      </c>
      <c r="AF212" s="30">
        <f>IF(AQ212="2",BH212,0)</f>
        <v>0</v>
      </c>
      <c r="AG212" s="30">
        <f>IF(AQ212="2",BI212,0)</f>
        <v>0</v>
      </c>
      <c r="AH212" s="30">
        <f>IF(AQ212="0",BJ212,0)</f>
        <v>0</v>
      </c>
      <c r="AI212" s="10" t="s">
        <v>50</v>
      </c>
      <c r="AJ212" s="30">
        <f>IF(AN212=0,J212,0)</f>
        <v>0</v>
      </c>
      <c r="AK212" s="30">
        <f>IF(AN212=12,J212,0)</f>
        <v>0</v>
      </c>
      <c r="AL212" s="30">
        <f>IF(AN212=21,J212,0)</f>
        <v>0</v>
      </c>
      <c r="AN212" s="30">
        <v>12</v>
      </c>
      <c r="AO212" s="30">
        <f>G212*0.716490872</f>
        <v>0</v>
      </c>
      <c r="AP212" s="30">
        <f>G212*(1-0.716490872)</f>
        <v>0</v>
      </c>
      <c r="AQ212" s="31" t="s">
        <v>77</v>
      </c>
      <c r="AV212" s="30">
        <f>AW212+AX212</f>
        <v>0</v>
      </c>
      <c r="AW212" s="30">
        <f>F212*AO212</f>
        <v>0</v>
      </c>
      <c r="AX212" s="30">
        <f>F212*AP212</f>
        <v>0</v>
      </c>
      <c r="AY212" s="31" t="s">
        <v>604</v>
      </c>
      <c r="AZ212" s="31" t="s">
        <v>605</v>
      </c>
      <c r="BA212" s="10" t="s">
        <v>60</v>
      </c>
      <c r="BC212" s="30">
        <f>AW212+AX212</f>
        <v>0</v>
      </c>
      <c r="BD212" s="30">
        <f>G212/(100-BE212)*100</f>
        <v>0</v>
      </c>
      <c r="BE212" s="30">
        <v>0</v>
      </c>
      <c r="BF212" s="30">
        <f>212</f>
        <v>212</v>
      </c>
      <c r="BH212" s="30">
        <f>F212*AO212</f>
        <v>0</v>
      </c>
      <c r="BI212" s="30">
        <f>F212*AP212</f>
        <v>0</v>
      </c>
      <c r="BJ212" s="30">
        <f>F212*G212</f>
        <v>0</v>
      </c>
      <c r="BK212" s="30"/>
      <c r="BL212" s="30">
        <v>762</v>
      </c>
      <c r="BW212" s="30">
        <v>12</v>
      </c>
      <c r="BX212" s="4" t="s">
        <v>603</v>
      </c>
    </row>
    <row r="213" spans="1:76" ht="13.5" customHeight="1" x14ac:dyDescent="0.25">
      <c r="A213" s="37"/>
      <c r="B213" s="38" t="s">
        <v>84</v>
      </c>
      <c r="C213" s="152" t="s">
        <v>606</v>
      </c>
      <c r="D213" s="153"/>
      <c r="E213" s="153"/>
      <c r="F213" s="153"/>
      <c r="G213" s="154"/>
      <c r="H213" s="153"/>
      <c r="I213" s="153"/>
      <c r="J213" s="153"/>
      <c r="K213" s="155"/>
    </row>
    <row r="214" spans="1:76" x14ac:dyDescent="0.25">
      <c r="A214" s="25" t="s">
        <v>607</v>
      </c>
      <c r="B214" s="26" t="s">
        <v>608</v>
      </c>
      <c r="C214" s="150" t="s">
        <v>609</v>
      </c>
      <c r="D214" s="151"/>
      <c r="E214" s="26" t="s">
        <v>64</v>
      </c>
      <c r="F214" s="27">
        <v>1.25</v>
      </c>
      <c r="G214" s="28">
        <v>0</v>
      </c>
      <c r="H214" s="27">
        <f>F214*AO214</f>
        <v>0</v>
      </c>
      <c r="I214" s="27">
        <f>F214*AP214</f>
        <v>0</v>
      </c>
      <c r="J214" s="27">
        <f>F214*G214</f>
        <v>0</v>
      </c>
      <c r="K214" s="29" t="s">
        <v>57</v>
      </c>
      <c r="Z214" s="30">
        <f>IF(AQ214="5",BJ214,0)</f>
        <v>0</v>
      </c>
      <c r="AB214" s="30">
        <f>IF(AQ214="1",BH214,0)</f>
        <v>0</v>
      </c>
      <c r="AC214" s="30">
        <f>IF(AQ214="1",BI214,0)</f>
        <v>0</v>
      </c>
      <c r="AD214" s="30">
        <f>IF(AQ214="7",BH214,0)</f>
        <v>0</v>
      </c>
      <c r="AE214" s="30">
        <f>IF(AQ214="7",BI214,0)</f>
        <v>0</v>
      </c>
      <c r="AF214" s="30">
        <f>IF(AQ214="2",BH214,0)</f>
        <v>0</v>
      </c>
      <c r="AG214" s="30">
        <f>IF(AQ214="2",BI214,0)</f>
        <v>0</v>
      </c>
      <c r="AH214" s="30">
        <f>IF(AQ214="0",BJ214,0)</f>
        <v>0</v>
      </c>
      <c r="AI214" s="10" t="s">
        <v>50</v>
      </c>
      <c r="AJ214" s="30">
        <f>IF(AN214=0,J214,0)</f>
        <v>0</v>
      </c>
      <c r="AK214" s="30">
        <f>IF(AN214=12,J214,0)</f>
        <v>0</v>
      </c>
      <c r="AL214" s="30">
        <f>IF(AN214=21,J214,0)</f>
        <v>0</v>
      </c>
      <c r="AN214" s="30">
        <v>12</v>
      </c>
      <c r="AO214" s="30">
        <f>G214*0</f>
        <v>0</v>
      </c>
      <c r="AP214" s="30">
        <f>G214*(1-0)</f>
        <v>0</v>
      </c>
      <c r="AQ214" s="31" t="s">
        <v>77</v>
      </c>
      <c r="AV214" s="30">
        <f>AW214+AX214</f>
        <v>0</v>
      </c>
      <c r="AW214" s="30">
        <f>F214*AO214</f>
        <v>0</v>
      </c>
      <c r="AX214" s="30">
        <f>F214*AP214</f>
        <v>0</v>
      </c>
      <c r="AY214" s="31" t="s">
        <v>604</v>
      </c>
      <c r="AZ214" s="31" t="s">
        <v>605</v>
      </c>
      <c r="BA214" s="10" t="s">
        <v>60</v>
      </c>
      <c r="BC214" s="30">
        <f>AW214+AX214</f>
        <v>0</v>
      </c>
      <c r="BD214" s="30">
        <f>G214/(100-BE214)*100</f>
        <v>0</v>
      </c>
      <c r="BE214" s="30">
        <v>0</v>
      </c>
      <c r="BF214" s="30">
        <f>214</f>
        <v>214</v>
      </c>
      <c r="BH214" s="30">
        <f>F214*AO214</f>
        <v>0</v>
      </c>
      <c r="BI214" s="30">
        <f>F214*AP214</f>
        <v>0</v>
      </c>
      <c r="BJ214" s="30">
        <f>F214*G214</f>
        <v>0</v>
      </c>
      <c r="BK214" s="30"/>
      <c r="BL214" s="30">
        <v>762</v>
      </c>
      <c r="BW214" s="30">
        <v>12</v>
      </c>
      <c r="BX214" s="4" t="s">
        <v>609</v>
      </c>
    </row>
    <row r="215" spans="1:76" x14ac:dyDescent="0.25">
      <c r="A215" s="32" t="s">
        <v>610</v>
      </c>
      <c r="B215" s="33" t="s">
        <v>611</v>
      </c>
      <c r="C215" s="141" t="s">
        <v>612</v>
      </c>
      <c r="D215" s="142"/>
      <c r="E215" s="33" t="s">
        <v>109</v>
      </c>
      <c r="F215" s="34">
        <v>3.533E-2</v>
      </c>
      <c r="G215" s="35">
        <v>0</v>
      </c>
      <c r="H215" s="34">
        <f>F215*AO215</f>
        <v>0</v>
      </c>
      <c r="I215" s="34">
        <f>F215*AP215</f>
        <v>0</v>
      </c>
      <c r="J215" s="34">
        <f>F215*G215</f>
        <v>0</v>
      </c>
      <c r="K215" s="36" t="s">
        <v>57</v>
      </c>
      <c r="Z215" s="30">
        <f>IF(AQ215="5",BJ215,0)</f>
        <v>0</v>
      </c>
      <c r="AB215" s="30">
        <f>IF(AQ215="1",BH215,0)</f>
        <v>0</v>
      </c>
      <c r="AC215" s="30">
        <f>IF(AQ215="1",BI215,0)</f>
        <v>0</v>
      </c>
      <c r="AD215" s="30">
        <f>IF(AQ215="7",BH215,0)</f>
        <v>0</v>
      </c>
      <c r="AE215" s="30">
        <f>IF(AQ215="7",BI215,0)</f>
        <v>0</v>
      </c>
      <c r="AF215" s="30">
        <f>IF(AQ215="2",BH215,0)</f>
        <v>0</v>
      </c>
      <c r="AG215" s="30">
        <f>IF(AQ215="2",BI215,0)</f>
        <v>0</v>
      </c>
      <c r="AH215" s="30">
        <f>IF(AQ215="0",BJ215,0)</f>
        <v>0</v>
      </c>
      <c r="AI215" s="10" t="s">
        <v>50</v>
      </c>
      <c r="AJ215" s="30">
        <f>IF(AN215=0,J215,0)</f>
        <v>0</v>
      </c>
      <c r="AK215" s="30">
        <f>IF(AN215=12,J215,0)</f>
        <v>0</v>
      </c>
      <c r="AL215" s="30">
        <f>IF(AN215=21,J215,0)</f>
        <v>0</v>
      </c>
      <c r="AN215" s="30">
        <v>12</v>
      </c>
      <c r="AO215" s="30">
        <f>G215*0</f>
        <v>0</v>
      </c>
      <c r="AP215" s="30">
        <f>G215*(1-0)</f>
        <v>0</v>
      </c>
      <c r="AQ215" s="31" t="s">
        <v>71</v>
      </c>
      <c r="AV215" s="30">
        <f>AW215+AX215</f>
        <v>0</v>
      </c>
      <c r="AW215" s="30">
        <f>F215*AO215</f>
        <v>0</v>
      </c>
      <c r="AX215" s="30">
        <f>F215*AP215</f>
        <v>0</v>
      </c>
      <c r="AY215" s="31" t="s">
        <v>604</v>
      </c>
      <c r="AZ215" s="31" t="s">
        <v>605</v>
      </c>
      <c r="BA215" s="10" t="s">
        <v>60</v>
      </c>
      <c r="BC215" s="30">
        <f>AW215+AX215</f>
        <v>0</v>
      </c>
      <c r="BD215" s="30">
        <f>G215/(100-BE215)*100</f>
        <v>0</v>
      </c>
      <c r="BE215" s="30">
        <v>0</v>
      </c>
      <c r="BF215" s="30">
        <f>215</f>
        <v>215</v>
      </c>
      <c r="BH215" s="30">
        <f>F215*AO215</f>
        <v>0</v>
      </c>
      <c r="BI215" s="30">
        <f>F215*AP215</f>
        <v>0</v>
      </c>
      <c r="BJ215" s="30">
        <f>F215*G215</f>
        <v>0</v>
      </c>
      <c r="BK215" s="30"/>
      <c r="BL215" s="30">
        <v>762</v>
      </c>
      <c r="BW215" s="30">
        <v>12</v>
      </c>
      <c r="BX215" s="4" t="s">
        <v>612</v>
      </c>
    </row>
    <row r="216" spans="1:76" x14ac:dyDescent="0.25">
      <c r="A216" s="39" t="s">
        <v>50</v>
      </c>
      <c r="B216" s="40" t="s">
        <v>613</v>
      </c>
      <c r="C216" s="156" t="s">
        <v>614</v>
      </c>
      <c r="D216" s="157"/>
      <c r="E216" s="41" t="s">
        <v>4</v>
      </c>
      <c r="F216" s="41" t="s">
        <v>4</v>
      </c>
      <c r="G216" s="42" t="s">
        <v>4</v>
      </c>
      <c r="H216" s="43">
        <f>SUM(H217:H227)</f>
        <v>0</v>
      </c>
      <c r="I216" s="43">
        <f>SUM(I217:I227)</f>
        <v>0</v>
      </c>
      <c r="J216" s="43">
        <f>SUM(J217:J227)</f>
        <v>0</v>
      </c>
      <c r="K216" s="44" t="s">
        <v>50</v>
      </c>
      <c r="AI216" s="10" t="s">
        <v>50</v>
      </c>
      <c r="AS216" s="1">
        <f>SUM(AJ217:AJ227)</f>
        <v>0</v>
      </c>
      <c r="AT216" s="1">
        <f>SUM(AK217:AK227)</f>
        <v>0</v>
      </c>
      <c r="AU216" s="1">
        <f>SUM(AL217:AL227)</f>
        <v>0</v>
      </c>
    </row>
    <row r="217" spans="1:76" x14ac:dyDescent="0.25">
      <c r="A217" s="25" t="s">
        <v>615</v>
      </c>
      <c r="B217" s="26" t="s">
        <v>616</v>
      </c>
      <c r="C217" s="150" t="s">
        <v>617</v>
      </c>
      <c r="D217" s="151"/>
      <c r="E217" s="26" t="s">
        <v>64</v>
      </c>
      <c r="F217" s="27">
        <v>13.5489</v>
      </c>
      <c r="G217" s="28">
        <v>0</v>
      </c>
      <c r="H217" s="27">
        <f>F217*AO217</f>
        <v>0</v>
      </c>
      <c r="I217" s="27">
        <f>F217*AP217</f>
        <v>0</v>
      </c>
      <c r="J217" s="27">
        <f>F217*G217</f>
        <v>0</v>
      </c>
      <c r="K217" s="29" t="s">
        <v>57</v>
      </c>
      <c r="Z217" s="30">
        <f>IF(AQ217="5",BJ217,0)</f>
        <v>0</v>
      </c>
      <c r="AB217" s="30">
        <f>IF(AQ217="1",BH217,0)</f>
        <v>0</v>
      </c>
      <c r="AC217" s="30">
        <f>IF(AQ217="1",BI217,0)</f>
        <v>0</v>
      </c>
      <c r="AD217" s="30">
        <f>IF(AQ217="7",BH217,0)</f>
        <v>0</v>
      </c>
      <c r="AE217" s="30">
        <f>IF(AQ217="7",BI217,0)</f>
        <v>0</v>
      </c>
      <c r="AF217" s="30">
        <f>IF(AQ217="2",BH217,0)</f>
        <v>0</v>
      </c>
      <c r="AG217" s="30">
        <f>IF(AQ217="2",BI217,0)</f>
        <v>0</v>
      </c>
      <c r="AH217" s="30">
        <f>IF(AQ217="0",BJ217,0)</f>
        <v>0</v>
      </c>
      <c r="AI217" s="10" t="s">
        <v>50</v>
      </c>
      <c r="AJ217" s="30">
        <f>IF(AN217=0,J217,0)</f>
        <v>0</v>
      </c>
      <c r="AK217" s="30">
        <f>IF(AN217=12,J217,0)</f>
        <v>0</v>
      </c>
      <c r="AL217" s="30">
        <f>IF(AN217=21,J217,0)</f>
        <v>0</v>
      </c>
      <c r="AN217" s="30">
        <v>12</v>
      </c>
      <c r="AO217" s="30">
        <f>G217*0</f>
        <v>0</v>
      </c>
      <c r="AP217" s="30">
        <f>G217*(1-0)</f>
        <v>0</v>
      </c>
      <c r="AQ217" s="31" t="s">
        <v>77</v>
      </c>
      <c r="AV217" s="30">
        <f>AW217+AX217</f>
        <v>0</v>
      </c>
      <c r="AW217" s="30">
        <f>F217*AO217</f>
        <v>0</v>
      </c>
      <c r="AX217" s="30">
        <f>F217*AP217</f>
        <v>0</v>
      </c>
      <c r="AY217" s="31" t="s">
        <v>618</v>
      </c>
      <c r="AZ217" s="31" t="s">
        <v>605</v>
      </c>
      <c r="BA217" s="10" t="s">
        <v>60</v>
      </c>
      <c r="BC217" s="30">
        <f>AW217+AX217</f>
        <v>0</v>
      </c>
      <c r="BD217" s="30">
        <f>G217/(100-BE217)*100</f>
        <v>0</v>
      </c>
      <c r="BE217" s="30">
        <v>0</v>
      </c>
      <c r="BF217" s="30">
        <f>217</f>
        <v>217</v>
      </c>
      <c r="BH217" s="30">
        <f>F217*AO217</f>
        <v>0</v>
      </c>
      <c r="BI217" s="30">
        <f>F217*AP217</f>
        <v>0</v>
      </c>
      <c r="BJ217" s="30">
        <f>F217*G217</f>
        <v>0</v>
      </c>
      <c r="BK217" s="30"/>
      <c r="BL217" s="30">
        <v>766</v>
      </c>
      <c r="BW217" s="30">
        <v>12</v>
      </c>
      <c r="BX217" s="4" t="s">
        <v>617</v>
      </c>
    </row>
    <row r="218" spans="1:76" ht="13.5" customHeight="1" x14ac:dyDescent="0.25">
      <c r="A218" s="37"/>
      <c r="B218" s="38" t="s">
        <v>84</v>
      </c>
      <c r="C218" s="152" t="s">
        <v>619</v>
      </c>
      <c r="D218" s="153"/>
      <c r="E218" s="153"/>
      <c r="F218" s="153"/>
      <c r="G218" s="154"/>
      <c r="H218" s="153"/>
      <c r="I218" s="153"/>
      <c r="J218" s="153"/>
      <c r="K218" s="155"/>
    </row>
    <row r="219" spans="1:76" x14ac:dyDescent="0.25">
      <c r="A219" s="25" t="s">
        <v>620</v>
      </c>
      <c r="B219" s="26" t="s">
        <v>621</v>
      </c>
      <c r="C219" s="150" t="s">
        <v>622</v>
      </c>
      <c r="D219" s="151"/>
      <c r="E219" s="26" t="s">
        <v>56</v>
      </c>
      <c r="F219" s="27">
        <v>1</v>
      </c>
      <c r="G219" s="28">
        <v>0</v>
      </c>
      <c r="H219" s="27">
        <f>F219*AO219</f>
        <v>0</v>
      </c>
      <c r="I219" s="27">
        <f>F219*AP219</f>
        <v>0</v>
      </c>
      <c r="J219" s="27">
        <f>F219*G219</f>
        <v>0</v>
      </c>
      <c r="K219" s="29" t="s">
        <v>57</v>
      </c>
      <c r="Z219" s="30">
        <f>IF(AQ219="5",BJ219,0)</f>
        <v>0</v>
      </c>
      <c r="AB219" s="30">
        <f>IF(AQ219="1",BH219,0)</f>
        <v>0</v>
      </c>
      <c r="AC219" s="30">
        <f>IF(AQ219="1",BI219,0)</f>
        <v>0</v>
      </c>
      <c r="AD219" s="30">
        <f>IF(AQ219="7",BH219,0)</f>
        <v>0</v>
      </c>
      <c r="AE219" s="30">
        <f>IF(AQ219="7",BI219,0)</f>
        <v>0</v>
      </c>
      <c r="AF219" s="30">
        <f>IF(AQ219="2",BH219,0)</f>
        <v>0</v>
      </c>
      <c r="AG219" s="30">
        <f>IF(AQ219="2",BI219,0)</f>
        <v>0</v>
      </c>
      <c r="AH219" s="30">
        <f>IF(AQ219="0",BJ219,0)</f>
        <v>0</v>
      </c>
      <c r="AI219" s="10" t="s">
        <v>50</v>
      </c>
      <c r="AJ219" s="30">
        <f>IF(AN219=0,J219,0)</f>
        <v>0</v>
      </c>
      <c r="AK219" s="30">
        <f>IF(AN219=12,J219,0)</f>
        <v>0</v>
      </c>
      <c r="AL219" s="30">
        <f>IF(AN219=21,J219,0)</f>
        <v>0</v>
      </c>
      <c r="AN219" s="30">
        <v>12</v>
      </c>
      <c r="AO219" s="30">
        <f>G219*0</f>
        <v>0</v>
      </c>
      <c r="AP219" s="30">
        <f>G219*(1-0)</f>
        <v>0</v>
      </c>
      <c r="AQ219" s="31" t="s">
        <v>77</v>
      </c>
      <c r="AV219" s="30">
        <f>AW219+AX219</f>
        <v>0</v>
      </c>
      <c r="AW219" s="30">
        <f>F219*AO219</f>
        <v>0</v>
      </c>
      <c r="AX219" s="30">
        <f>F219*AP219</f>
        <v>0</v>
      </c>
      <c r="AY219" s="31" t="s">
        <v>618</v>
      </c>
      <c r="AZ219" s="31" t="s">
        <v>605</v>
      </c>
      <c r="BA219" s="10" t="s">
        <v>60</v>
      </c>
      <c r="BC219" s="30">
        <f>AW219+AX219</f>
        <v>0</v>
      </c>
      <c r="BD219" s="30">
        <f>G219/(100-BE219)*100</f>
        <v>0</v>
      </c>
      <c r="BE219" s="30">
        <v>0</v>
      </c>
      <c r="BF219" s="30">
        <f>219</f>
        <v>219</v>
      </c>
      <c r="BH219" s="30">
        <f>F219*AO219</f>
        <v>0</v>
      </c>
      <c r="BI219" s="30">
        <f>F219*AP219</f>
        <v>0</v>
      </c>
      <c r="BJ219" s="30">
        <f>F219*G219</f>
        <v>0</v>
      </c>
      <c r="BK219" s="30"/>
      <c r="BL219" s="30">
        <v>766</v>
      </c>
      <c r="BW219" s="30">
        <v>12</v>
      </c>
      <c r="BX219" s="4" t="s">
        <v>622</v>
      </c>
    </row>
    <row r="220" spans="1:76" x14ac:dyDescent="0.25">
      <c r="A220" s="32" t="s">
        <v>623</v>
      </c>
      <c r="B220" s="33" t="s">
        <v>624</v>
      </c>
      <c r="C220" s="141" t="s">
        <v>625</v>
      </c>
      <c r="D220" s="142"/>
      <c r="E220" s="33" t="s">
        <v>56</v>
      </c>
      <c r="F220" s="34">
        <v>1</v>
      </c>
      <c r="G220" s="35">
        <v>0</v>
      </c>
      <c r="H220" s="34">
        <f>F220*AO220</f>
        <v>0</v>
      </c>
      <c r="I220" s="34">
        <f>F220*AP220</f>
        <v>0</v>
      </c>
      <c r="J220" s="34">
        <f>F220*G220</f>
        <v>0</v>
      </c>
      <c r="K220" s="36" t="s">
        <v>57</v>
      </c>
      <c r="Z220" s="30">
        <f>IF(AQ220="5",BJ220,0)</f>
        <v>0</v>
      </c>
      <c r="AB220" s="30">
        <f>IF(AQ220="1",BH220,0)</f>
        <v>0</v>
      </c>
      <c r="AC220" s="30">
        <f>IF(AQ220="1",BI220,0)</f>
        <v>0</v>
      </c>
      <c r="AD220" s="30">
        <f>IF(AQ220="7",BH220,0)</f>
        <v>0</v>
      </c>
      <c r="AE220" s="30">
        <f>IF(AQ220="7",BI220,0)</f>
        <v>0</v>
      </c>
      <c r="AF220" s="30">
        <f>IF(AQ220="2",BH220,0)</f>
        <v>0</v>
      </c>
      <c r="AG220" s="30">
        <f>IF(AQ220="2",BI220,0)</f>
        <v>0</v>
      </c>
      <c r="AH220" s="30">
        <f>IF(AQ220="0",BJ220,0)</f>
        <v>0</v>
      </c>
      <c r="AI220" s="10" t="s">
        <v>50</v>
      </c>
      <c r="AJ220" s="30">
        <f>IF(AN220=0,J220,0)</f>
        <v>0</v>
      </c>
      <c r="AK220" s="30">
        <f>IF(AN220=12,J220,0)</f>
        <v>0</v>
      </c>
      <c r="AL220" s="30">
        <f>IF(AN220=21,J220,0)</f>
        <v>0</v>
      </c>
      <c r="AN220" s="30">
        <v>12</v>
      </c>
      <c r="AO220" s="30">
        <f>G220*0.813024375</f>
        <v>0</v>
      </c>
      <c r="AP220" s="30">
        <f>G220*(1-0.813024375)</f>
        <v>0</v>
      </c>
      <c r="AQ220" s="31" t="s">
        <v>77</v>
      </c>
      <c r="AV220" s="30">
        <f>AW220+AX220</f>
        <v>0</v>
      </c>
      <c r="AW220" s="30">
        <f>F220*AO220</f>
        <v>0</v>
      </c>
      <c r="AX220" s="30">
        <f>F220*AP220</f>
        <v>0</v>
      </c>
      <c r="AY220" s="31" t="s">
        <v>618</v>
      </c>
      <c r="AZ220" s="31" t="s">
        <v>605</v>
      </c>
      <c r="BA220" s="10" t="s">
        <v>60</v>
      </c>
      <c r="BC220" s="30">
        <f>AW220+AX220</f>
        <v>0</v>
      </c>
      <c r="BD220" s="30">
        <f>G220/(100-BE220)*100</f>
        <v>0</v>
      </c>
      <c r="BE220" s="30">
        <v>0</v>
      </c>
      <c r="BF220" s="30">
        <f>220</f>
        <v>220</v>
      </c>
      <c r="BH220" s="30">
        <f>F220*AO220</f>
        <v>0</v>
      </c>
      <c r="BI220" s="30">
        <f>F220*AP220</f>
        <v>0</v>
      </c>
      <c r="BJ220" s="30">
        <f>F220*G220</f>
        <v>0</v>
      </c>
      <c r="BK220" s="30"/>
      <c r="BL220" s="30">
        <v>766</v>
      </c>
      <c r="BW220" s="30">
        <v>12</v>
      </c>
      <c r="BX220" s="4" t="s">
        <v>625</v>
      </c>
    </row>
    <row r="221" spans="1:76" ht="13.5" customHeight="1" x14ac:dyDescent="0.25">
      <c r="A221" s="37"/>
      <c r="B221" s="38" t="s">
        <v>84</v>
      </c>
      <c r="C221" s="152" t="s">
        <v>626</v>
      </c>
      <c r="D221" s="153"/>
      <c r="E221" s="153"/>
      <c r="F221" s="153"/>
      <c r="G221" s="154"/>
      <c r="H221" s="153"/>
      <c r="I221" s="153"/>
      <c r="J221" s="153"/>
      <c r="K221" s="155"/>
    </row>
    <row r="222" spans="1:76" x14ac:dyDescent="0.25">
      <c r="A222" s="25" t="s">
        <v>627</v>
      </c>
      <c r="B222" s="26" t="s">
        <v>628</v>
      </c>
      <c r="C222" s="150" t="s">
        <v>625</v>
      </c>
      <c r="D222" s="151"/>
      <c r="E222" s="26" t="s">
        <v>56</v>
      </c>
      <c r="F222" s="27">
        <v>1</v>
      </c>
      <c r="G222" s="28">
        <v>0</v>
      </c>
      <c r="H222" s="27">
        <f>F222*AO222</f>
        <v>0</v>
      </c>
      <c r="I222" s="27">
        <f>F222*AP222</f>
        <v>0</v>
      </c>
      <c r="J222" s="27">
        <f>F222*G222</f>
        <v>0</v>
      </c>
      <c r="K222" s="29" t="s">
        <v>57</v>
      </c>
      <c r="Z222" s="30">
        <f>IF(AQ222="5",BJ222,0)</f>
        <v>0</v>
      </c>
      <c r="AB222" s="30">
        <f>IF(AQ222="1",BH222,0)</f>
        <v>0</v>
      </c>
      <c r="AC222" s="30">
        <f>IF(AQ222="1",BI222,0)</f>
        <v>0</v>
      </c>
      <c r="AD222" s="30">
        <f>IF(AQ222="7",BH222,0)</f>
        <v>0</v>
      </c>
      <c r="AE222" s="30">
        <f>IF(AQ222="7",BI222,0)</f>
        <v>0</v>
      </c>
      <c r="AF222" s="30">
        <f>IF(AQ222="2",BH222,0)</f>
        <v>0</v>
      </c>
      <c r="AG222" s="30">
        <f>IF(AQ222="2",BI222,0)</f>
        <v>0</v>
      </c>
      <c r="AH222" s="30">
        <f>IF(AQ222="0",BJ222,0)</f>
        <v>0</v>
      </c>
      <c r="AI222" s="10" t="s">
        <v>50</v>
      </c>
      <c r="AJ222" s="30">
        <f>IF(AN222=0,J222,0)</f>
        <v>0</v>
      </c>
      <c r="AK222" s="30">
        <f>IF(AN222=12,J222,0)</f>
        <v>0</v>
      </c>
      <c r="AL222" s="30">
        <f>IF(AN222=21,J222,0)</f>
        <v>0</v>
      </c>
      <c r="AN222" s="30">
        <v>12</v>
      </c>
      <c r="AO222" s="30">
        <f>G222*0.809074058</f>
        <v>0</v>
      </c>
      <c r="AP222" s="30">
        <f>G222*(1-0.809074058)</f>
        <v>0</v>
      </c>
      <c r="AQ222" s="31" t="s">
        <v>77</v>
      </c>
      <c r="AV222" s="30">
        <f>AW222+AX222</f>
        <v>0</v>
      </c>
      <c r="AW222" s="30">
        <f>F222*AO222</f>
        <v>0</v>
      </c>
      <c r="AX222" s="30">
        <f>F222*AP222</f>
        <v>0</v>
      </c>
      <c r="AY222" s="31" t="s">
        <v>618</v>
      </c>
      <c r="AZ222" s="31" t="s">
        <v>605</v>
      </c>
      <c r="BA222" s="10" t="s">
        <v>60</v>
      </c>
      <c r="BC222" s="30">
        <f>AW222+AX222</f>
        <v>0</v>
      </c>
      <c r="BD222" s="30">
        <f>G222/(100-BE222)*100</f>
        <v>0</v>
      </c>
      <c r="BE222" s="30">
        <v>0</v>
      </c>
      <c r="BF222" s="30">
        <f>222</f>
        <v>222</v>
      </c>
      <c r="BH222" s="30">
        <f>F222*AO222</f>
        <v>0</v>
      </c>
      <c r="BI222" s="30">
        <f>F222*AP222</f>
        <v>0</v>
      </c>
      <c r="BJ222" s="30">
        <f>F222*G222</f>
        <v>0</v>
      </c>
      <c r="BK222" s="30"/>
      <c r="BL222" s="30">
        <v>766</v>
      </c>
      <c r="BW222" s="30">
        <v>12</v>
      </c>
      <c r="BX222" s="4" t="s">
        <v>625</v>
      </c>
    </row>
    <row r="223" spans="1:76" ht="13.5" customHeight="1" x14ac:dyDescent="0.25">
      <c r="A223" s="37"/>
      <c r="B223" s="38" t="s">
        <v>84</v>
      </c>
      <c r="C223" s="152" t="s">
        <v>629</v>
      </c>
      <c r="D223" s="153"/>
      <c r="E223" s="153"/>
      <c r="F223" s="153"/>
      <c r="G223" s="154"/>
      <c r="H223" s="153"/>
      <c r="I223" s="153"/>
      <c r="J223" s="153"/>
      <c r="K223" s="155"/>
    </row>
    <row r="224" spans="1:76" x14ac:dyDescent="0.25">
      <c r="A224" s="25" t="s">
        <v>630</v>
      </c>
      <c r="B224" s="26" t="s">
        <v>631</v>
      </c>
      <c r="C224" s="150" t="s">
        <v>632</v>
      </c>
      <c r="D224" s="151"/>
      <c r="E224" s="26" t="s">
        <v>56</v>
      </c>
      <c r="F224" s="27">
        <v>2</v>
      </c>
      <c r="G224" s="28">
        <v>0</v>
      </c>
      <c r="H224" s="27">
        <f>F224*AO224</f>
        <v>0</v>
      </c>
      <c r="I224" s="27">
        <f>F224*AP224</f>
        <v>0</v>
      </c>
      <c r="J224" s="27">
        <f>F224*G224</f>
        <v>0</v>
      </c>
      <c r="K224" s="29" t="s">
        <v>57</v>
      </c>
      <c r="Z224" s="30">
        <f>IF(AQ224="5",BJ224,0)</f>
        <v>0</v>
      </c>
      <c r="AB224" s="30">
        <f>IF(AQ224="1",BH224,0)</f>
        <v>0</v>
      </c>
      <c r="AC224" s="30">
        <f>IF(AQ224="1",BI224,0)</f>
        <v>0</v>
      </c>
      <c r="AD224" s="30">
        <f>IF(AQ224="7",BH224,0)</f>
        <v>0</v>
      </c>
      <c r="AE224" s="30">
        <f>IF(AQ224="7",BI224,0)</f>
        <v>0</v>
      </c>
      <c r="AF224" s="30">
        <f>IF(AQ224="2",BH224,0)</f>
        <v>0</v>
      </c>
      <c r="AG224" s="30">
        <f>IF(AQ224="2",BI224,0)</f>
        <v>0</v>
      </c>
      <c r="AH224" s="30">
        <f>IF(AQ224="0",BJ224,0)</f>
        <v>0</v>
      </c>
      <c r="AI224" s="10" t="s">
        <v>50</v>
      </c>
      <c r="AJ224" s="30">
        <f>IF(AN224=0,J224,0)</f>
        <v>0</v>
      </c>
      <c r="AK224" s="30">
        <f>IF(AN224=12,J224,0)</f>
        <v>0</v>
      </c>
      <c r="AL224" s="30">
        <f>IF(AN224=21,J224,0)</f>
        <v>0</v>
      </c>
      <c r="AN224" s="30">
        <v>12</v>
      </c>
      <c r="AO224" s="30">
        <f>G224*0</f>
        <v>0</v>
      </c>
      <c r="AP224" s="30">
        <f>G224*(1-0)</f>
        <v>0</v>
      </c>
      <c r="AQ224" s="31" t="s">
        <v>77</v>
      </c>
      <c r="AV224" s="30">
        <f>AW224+AX224</f>
        <v>0</v>
      </c>
      <c r="AW224" s="30">
        <f>F224*AO224</f>
        <v>0</v>
      </c>
      <c r="AX224" s="30">
        <f>F224*AP224</f>
        <v>0</v>
      </c>
      <c r="AY224" s="31" t="s">
        <v>618</v>
      </c>
      <c r="AZ224" s="31" t="s">
        <v>605</v>
      </c>
      <c r="BA224" s="10" t="s">
        <v>60</v>
      </c>
      <c r="BC224" s="30">
        <f>AW224+AX224</f>
        <v>0</v>
      </c>
      <c r="BD224" s="30">
        <f>G224/(100-BE224)*100</f>
        <v>0</v>
      </c>
      <c r="BE224" s="30">
        <v>0</v>
      </c>
      <c r="BF224" s="30">
        <f>224</f>
        <v>224</v>
      </c>
      <c r="BH224" s="30">
        <f>F224*AO224</f>
        <v>0</v>
      </c>
      <c r="BI224" s="30">
        <f>F224*AP224</f>
        <v>0</v>
      </c>
      <c r="BJ224" s="30">
        <f>F224*G224</f>
        <v>0</v>
      </c>
      <c r="BK224" s="30"/>
      <c r="BL224" s="30">
        <v>766</v>
      </c>
      <c r="BW224" s="30">
        <v>12</v>
      </c>
      <c r="BX224" s="4" t="s">
        <v>632</v>
      </c>
    </row>
    <row r="225" spans="1:76" x14ac:dyDescent="0.25">
      <c r="A225" s="32" t="s">
        <v>633</v>
      </c>
      <c r="B225" s="33" t="s">
        <v>634</v>
      </c>
      <c r="C225" s="141" t="s">
        <v>635</v>
      </c>
      <c r="D225" s="142"/>
      <c r="E225" s="33" t="s">
        <v>64</v>
      </c>
      <c r="F225" s="34">
        <v>1</v>
      </c>
      <c r="G225" s="35">
        <v>0</v>
      </c>
      <c r="H225" s="34">
        <f>F225*AO225</f>
        <v>0</v>
      </c>
      <c r="I225" s="34">
        <f>F225*AP225</f>
        <v>0</v>
      </c>
      <c r="J225" s="34">
        <f>F225*G225</f>
        <v>0</v>
      </c>
      <c r="K225" s="36" t="s">
        <v>57</v>
      </c>
      <c r="Z225" s="30">
        <f>IF(AQ225="5",BJ225,0)</f>
        <v>0</v>
      </c>
      <c r="AB225" s="30">
        <f>IF(AQ225="1",BH225,0)</f>
        <v>0</v>
      </c>
      <c r="AC225" s="30">
        <f>IF(AQ225="1",BI225,0)</f>
        <v>0</v>
      </c>
      <c r="AD225" s="30">
        <f>IF(AQ225="7",BH225,0)</f>
        <v>0</v>
      </c>
      <c r="AE225" s="30">
        <f>IF(AQ225="7",BI225,0)</f>
        <v>0</v>
      </c>
      <c r="AF225" s="30">
        <f>IF(AQ225="2",BH225,0)</f>
        <v>0</v>
      </c>
      <c r="AG225" s="30">
        <f>IF(AQ225="2",BI225,0)</f>
        <v>0</v>
      </c>
      <c r="AH225" s="30">
        <f>IF(AQ225="0",BJ225,0)</f>
        <v>0</v>
      </c>
      <c r="AI225" s="10" t="s">
        <v>50</v>
      </c>
      <c r="AJ225" s="30">
        <f>IF(AN225=0,J225,0)</f>
        <v>0</v>
      </c>
      <c r="AK225" s="30">
        <f>IF(AN225=12,J225,0)</f>
        <v>0</v>
      </c>
      <c r="AL225" s="30">
        <f>IF(AN225=21,J225,0)</f>
        <v>0</v>
      </c>
      <c r="AN225" s="30">
        <v>12</v>
      </c>
      <c r="AO225" s="30">
        <f>G225*0.466258146</f>
        <v>0</v>
      </c>
      <c r="AP225" s="30">
        <f>G225*(1-0.466258146)</f>
        <v>0</v>
      </c>
      <c r="AQ225" s="31" t="s">
        <v>77</v>
      </c>
      <c r="AV225" s="30">
        <f>AW225+AX225</f>
        <v>0</v>
      </c>
      <c r="AW225" s="30">
        <f>F225*AO225</f>
        <v>0</v>
      </c>
      <c r="AX225" s="30">
        <f>F225*AP225</f>
        <v>0</v>
      </c>
      <c r="AY225" s="31" t="s">
        <v>618</v>
      </c>
      <c r="AZ225" s="31" t="s">
        <v>605</v>
      </c>
      <c r="BA225" s="10" t="s">
        <v>60</v>
      </c>
      <c r="BC225" s="30">
        <f>AW225+AX225</f>
        <v>0</v>
      </c>
      <c r="BD225" s="30">
        <f>G225/(100-BE225)*100</f>
        <v>0</v>
      </c>
      <c r="BE225" s="30">
        <v>0</v>
      </c>
      <c r="BF225" s="30">
        <f>225</f>
        <v>225</v>
      </c>
      <c r="BH225" s="30">
        <f>F225*AO225</f>
        <v>0</v>
      </c>
      <c r="BI225" s="30">
        <f>F225*AP225</f>
        <v>0</v>
      </c>
      <c r="BJ225" s="30">
        <f>F225*G225</f>
        <v>0</v>
      </c>
      <c r="BK225" s="30"/>
      <c r="BL225" s="30">
        <v>766</v>
      </c>
      <c r="BW225" s="30">
        <v>12</v>
      </c>
      <c r="BX225" s="4" t="s">
        <v>635</v>
      </c>
    </row>
    <row r="226" spans="1:76" ht="27" customHeight="1" x14ac:dyDescent="0.25">
      <c r="A226" s="37"/>
      <c r="B226" s="38" t="s">
        <v>84</v>
      </c>
      <c r="C226" s="152" t="s">
        <v>636</v>
      </c>
      <c r="D226" s="153"/>
      <c r="E226" s="153"/>
      <c r="F226" s="153"/>
      <c r="G226" s="154"/>
      <c r="H226" s="153"/>
      <c r="I226" s="153"/>
      <c r="J226" s="153"/>
      <c r="K226" s="155"/>
    </row>
    <row r="227" spans="1:76" x14ac:dyDescent="0.25">
      <c r="A227" s="25" t="s">
        <v>637</v>
      </c>
      <c r="B227" s="26" t="s">
        <v>638</v>
      </c>
      <c r="C227" s="150" t="s">
        <v>639</v>
      </c>
      <c r="D227" s="151"/>
      <c r="E227" s="26" t="s">
        <v>109</v>
      </c>
      <c r="F227" s="27">
        <v>1.0843499999999999</v>
      </c>
      <c r="G227" s="28">
        <v>0</v>
      </c>
      <c r="H227" s="27">
        <f>F227*AO227</f>
        <v>0</v>
      </c>
      <c r="I227" s="27">
        <f>F227*AP227</f>
        <v>0</v>
      </c>
      <c r="J227" s="27">
        <f>F227*G227</f>
        <v>0</v>
      </c>
      <c r="K227" s="29" t="s">
        <v>57</v>
      </c>
      <c r="Z227" s="30">
        <f>IF(AQ227="5",BJ227,0)</f>
        <v>0</v>
      </c>
      <c r="AB227" s="30">
        <f>IF(AQ227="1",BH227,0)</f>
        <v>0</v>
      </c>
      <c r="AC227" s="30">
        <f>IF(AQ227="1",BI227,0)</f>
        <v>0</v>
      </c>
      <c r="AD227" s="30">
        <f>IF(AQ227="7",BH227,0)</f>
        <v>0</v>
      </c>
      <c r="AE227" s="30">
        <f>IF(AQ227="7",BI227,0)</f>
        <v>0</v>
      </c>
      <c r="AF227" s="30">
        <f>IF(AQ227="2",BH227,0)</f>
        <v>0</v>
      </c>
      <c r="AG227" s="30">
        <f>IF(AQ227="2",BI227,0)</f>
        <v>0</v>
      </c>
      <c r="AH227" s="30">
        <f>IF(AQ227="0",BJ227,0)</f>
        <v>0</v>
      </c>
      <c r="AI227" s="10" t="s">
        <v>50</v>
      </c>
      <c r="AJ227" s="30">
        <f>IF(AN227=0,J227,0)</f>
        <v>0</v>
      </c>
      <c r="AK227" s="30">
        <f>IF(AN227=12,J227,0)</f>
        <v>0</v>
      </c>
      <c r="AL227" s="30">
        <f>IF(AN227=21,J227,0)</f>
        <v>0</v>
      </c>
      <c r="AN227" s="30">
        <v>12</v>
      </c>
      <c r="AO227" s="30">
        <f>G227*0</f>
        <v>0</v>
      </c>
      <c r="AP227" s="30">
        <f>G227*(1-0)</f>
        <v>0</v>
      </c>
      <c r="AQ227" s="31" t="s">
        <v>71</v>
      </c>
      <c r="AV227" s="30">
        <f>AW227+AX227</f>
        <v>0</v>
      </c>
      <c r="AW227" s="30">
        <f>F227*AO227</f>
        <v>0</v>
      </c>
      <c r="AX227" s="30">
        <f>F227*AP227</f>
        <v>0</v>
      </c>
      <c r="AY227" s="31" t="s">
        <v>618</v>
      </c>
      <c r="AZ227" s="31" t="s">
        <v>605</v>
      </c>
      <c r="BA227" s="10" t="s">
        <v>60</v>
      </c>
      <c r="BC227" s="30">
        <f>AW227+AX227</f>
        <v>0</v>
      </c>
      <c r="BD227" s="30">
        <f>G227/(100-BE227)*100</f>
        <v>0</v>
      </c>
      <c r="BE227" s="30">
        <v>0</v>
      </c>
      <c r="BF227" s="30">
        <f>227</f>
        <v>227</v>
      </c>
      <c r="BH227" s="30">
        <f>F227*AO227</f>
        <v>0</v>
      </c>
      <c r="BI227" s="30">
        <f>F227*AP227</f>
        <v>0</v>
      </c>
      <c r="BJ227" s="30">
        <f>F227*G227</f>
        <v>0</v>
      </c>
      <c r="BK227" s="30"/>
      <c r="BL227" s="30">
        <v>766</v>
      </c>
      <c r="BW227" s="30">
        <v>12</v>
      </c>
      <c r="BX227" s="4" t="s">
        <v>639</v>
      </c>
    </row>
    <row r="228" spans="1:76" x14ac:dyDescent="0.25">
      <c r="A228" s="39" t="s">
        <v>50</v>
      </c>
      <c r="B228" s="40" t="s">
        <v>640</v>
      </c>
      <c r="C228" s="156" t="s">
        <v>641</v>
      </c>
      <c r="D228" s="157"/>
      <c r="E228" s="41" t="s">
        <v>4</v>
      </c>
      <c r="F228" s="41" t="s">
        <v>4</v>
      </c>
      <c r="G228" s="42" t="s">
        <v>4</v>
      </c>
      <c r="H228" s="43">
        <f>SUM(H229:H249)</f>
        <v>0</v>
      </c>
      <c r="I228" s="43">
        <f>SUM(I229:I249)</f>
        <v>0</v>
      </c>
      <c r="J228" s="43">
        <f>SUM(J229:J249)</f>
        <v>0</v>
      </c>
      <c r="K228" s="44" t="s">
        <v>50</v>
      </c>
      <c r="AI228" s="10" t="s">
        <v>50</v>
      </c>
      <c r="AS228" s="1">
        <f>SUM(AJ229:AJ249)</f>
        <v>0</v>
      </c>
      <c r="AT228" s="1">
        <f>SUM(AK229:AK249)</f>
        <v>0</v>
      </c>
      <c r="AU228" s="1">
        <f>SUM(AL229:AL249)</f>
        <v>0</v>
      </c>
    </row>
    <row r="229" spans="1:76" x14ac:dyDescent="0.25">
      <c r="A229" s="25" t="s">
        <v>642</v>
      </c>
      <c r="B229" s="26" t="s">
        <v>643</v>
      </c>
      <c r="C229" s="150" t="s">
        <v>644</v>
      </c>
      <c r="D229" s="151"/>
      <c r="E229" s="26" t="s">
        <v>80</v>
      </c>
      <c r="F229" s="27">
        <v>3.4845000000000002</v>
      </c>
      <c r="G229" s="28">
        <v>0</v>
      </c>
      <c r="H229" s="27">
        <f t="shared" ref="H229:H234" si="264">F229*AO229</f>
        <v>0</v>
      </c>
      <c r="I229" s="27">
        <f t="shared" ref="I229:I234" si="265">F229*AP229</f>
        <v>0</v>
      </c>
      <c r="J229" s="27">
        <f t="shared" ref="J229:J234" si="266">F229*G229</f>
        <v>0</v>
      </c>
      <c r="K229" s="29" t="s">
        <v>57</v>
      </c>
      <c r="Z229" s="30">
        <f t="shared" ref="Z229:Z234" si="267">IF(AQ229="5",BJ229,0)</f>
        <v>0</v>
      </c>
      <c r="AB229" s="30">
        <f t="shared" ref="AB229:AB234" si="268">IF(AQ229="1",BH229,0)</f>
        <v>0</v>
      </c>
      <c r="AC229" s="30">
        <f t="shared" ref="AC229:AC234" si="269">IF(AQ229="1",BI229,0)</f>
        <v>0</v>
      </c>
      <c r="AD229" s="30">
        <f t="shared" ref="AD229:AD234" si="270">IF(AQ229="7",BH229,0)</f>
        <v>0</v>
      </c>
      <c r="AE229" s="30">
        <f t="shared" ref="AE229:AE234" si="271">IF(AQ229="7",BI229,0)</f>
        <v>0</v>
      </c>
      <c r="AF229" s="30">
        <f t="shared" ref="AF229:AF234" si="272">IF(AQ229="2",BH229,0)</f>
        <v>0</v>
      </c>
      <c r="AG229" s="30">
        <f t="shared" ref="AG229:AG234" si="273">IF(AQ229="2",BI229,0)</f>
        <v>0</v>
      </c>
      <c r="AH229" s="30">
        <f t="shared" ref="AH229:AH234" si="274">IF(AQ229="0",BJ229,0)</f>
        <v>0</v>
      </c>
      <c r="AI229" s="10" t="s">
        <v>50</v>
      </c>
      <c r="AJ229" s="30">
        <f t="shared" ref="AJ229:AJ234" si="275">IF(AN229=0,J229,0)</f>
        <v>0</v>
      </c>
      <c r="AK229" s="30">
        <f t="shared" ref="AK229:AK234" si="276">IF(AN229=12,J229,0)</f>
        <v>0</v>
      </c>
      <c r="AL229" s="30">
        <f t="shared" ref="AL229:AL234" si="277">IF(AN229=21,J229,0)</f>
        <v>0</v>
      </c>
      <c r="AN229" s="30">
        <v>12</v>
      </c>
      <c r="AO229" s="30">
        <f>G229*0</f>
        <v>0</v>
      </c>
      <c r="AP229" s="30">
        <f>G229*(1-0)</f>
        <v>0</v>
      </c>
      <c r="AQ229" s="31" t="s">
        <v>77</v>
      </c>
      <c r="AV229" s="30">
        <f t="shared" ref="AV229:AV234" si="278">AW229+AX229</f>
        <v>0</v>
      </c>
      <c r="AW229" s="30">
        <f t="shared" ref="AW229:AW234" si="279">F229*AO229</f>
        <v>0</v>
      </c>
      <c r="AX229" s="30">
        <f t="shared" ref="AX229:AX234" si="280">F229*AP229</f>
        <v>0</v>
      </c>
      <c r="AY229" s="31" t="s">
        <v>645</v>
      </c>
      <c r="AZ229" s="31" t="s">
        <v>646</v>
      </c>
      <c r="BA229" s="10" t="s">
        <v>60</v>
      </c>
      <c r="BC229" s="30">
        <f t="shared" ref="BC229:BC234" si="281">AW229+AX229</f>
        <v>0</v>
      </c>
      <c r="BD229" s="30">
        <f t="shared" ref="BD229:BD234" si="282">G229/(100-BE229)*100</f>
        <v>0</v>
      </c>
      <c r="BE229" s="30">
        <v>0</v>
      </c>
      <c r="BF229" s="30">
        <f>229</f>
        <v>229</v>
      </c>
      <c r="BH229" s="30">
        <f t="shared" ref="BH229:BH234" si="283">F229*AO229</f>
        <v>0</v>
      </c>
      <c r="BI229" s="30">
        <f t="shared" ref="BI229:BI234" si="284">F229*AP229</f>
        <v>0</v>
      </c>
      <c r="BJ229" s="30">
        <f t="shared" ref="BJ229:BJ234" si="285">F229*G229</f>
        <v>0</v>
      </c>
      <c r="BK229" s="30"/>
      <c r="BL229" s="30">
        <v>771</v>
      </c>
      <c r="BW229" s="30">
        <v>12</v>
      </c>
      <c r="BX229" s="4" t="s">
        <v>644</v>
      </c>
    </row>
    <row r="230" spans="1:76" x14ac:dyDescent="0.25">
      <c r="A230" s="32" t="s">
        <v>647</v>
      </c>
      <c r="B230" s="33" t="s">
        <v>648</v>
      </c>
      <c r="C230" s="141" t="s">
        <v>649</v>
      </c>
      <c r="D230" s="142"/>
      <c r="E230" s="33" t="s">
        <v>64</v>
      </c>
      <c r="F230" s="34">
        <v>4.74</v>
      </c>
      <c r="G230" s="35">
        <v>0</v>
      </c>
      <c r="H230" s="34">
        <f t="shared" si="264"/>
        <v>0</v>
      </c>
      <c r="I230" s="34">
        <f t="shared" si="265"/>
        <v>0</v>
      </c>
      <c r="J230" s="34">
        <f t="shared" si="266"/>
        <v>0</v>
      </c>
      <c r="K230" s="36" t="s">
        <v>57</v>
      </c>
      <c r="Z230" s="30">
        <f t="shared" si="267"/>
        <v>0</v>
      </c>
      <c r="AB230" s="30">
        <f t="shared" si="268"/>
        <v>0</v>
      </c>
      <c r="AC230" s="30">
        <f t="shared" si="269"/>
        <v>0</v>
      </c>
      <c r="AD230" s="30">
        <f t="shared" si="270"/>
        <v>0</v>
      </c>
      <c r="AE230" s="30">
        <f t="shared" si="271"/>
        <v>0</v>
      </c>
      <c r="AF230" s="30">
        <f t="shared" si="272"/>
        <v>0</v>
      </c>
      <c r="AG230" s="30">
        <f t="shared" si="273"/>
        <v>0</v>
      </c>
      <c r="AH230" s="30">
        <f t="shared" si="274"/>
        <v>0</v>
      </c>
      <c r="AI230" s="10" t="s">
        <v>50</v>
      </c>
      <c r="AJ230" s="30">
        <f t="shared" si="275"/>
        <v>0</v>
      </c>
      <c r="AK230" s="30">
        <f t="shared" si="276"/>
        <v>0</v>
      </c>
      <c r="AL230" s="30">
        <f t="shared" si="277"/>
        <v>0</v>
      </c>
      <c r="AN230" s="30">
        <v>12</v>
      </c>
      <c r="AO230" s="30">
        <f>G230*0</f>
        <v>0</v>
      </c>
      <c r="AP230" s="30">
        <f>G230*(1-0)</f>
        <v>0</v>
      </c>
      <c r="AQ230" s="31" t="s">
        <v>77</v>
      </c>
      <c r="AV230" s="30">
        <f t="shared" si="278"/>
        <v>0</v>
      </c>
      <c r="AW230" s="30">
        <f t="shared" si="279"/>
        <v>0</v>
      </c>
      <c r="AX230" s="30">
        <f t="shared" si="280"/>
        <v>0</v>
      </c>
      <c r="AY230" s="31" t="s">
        <v>645</v>
      </c>
      <c r="AZ230" s="31" t="s">
        <v>646</v>
      </c>
      <c r="BA230" s="10" t="s">
        <v>60</v>
      </c>
      <c r="BC230" s="30">
        <f t="shared" si="281"/>
        <v>0</v>
      </c>
      <c r="BD230" s="30">
        <f t="shared" si="282"/>
        <v>0</v>
      </c>
      <c r="BE230" s="30">
        <v>0</v>
      </c>
      <c r="BF230" s="30">
        <f>230</f>
        <v>230</v>
      </c>
      <c r="BH230" s="30">
        <f t="shared" si="283"/>
        <v>0</v>
      </c>
      <c r="BI230" s="30">
        <f t="shared" si="284"/>
        <v>0</v>
      </c>
      <c r="BJ230" s="30">
        <f t="shared" si="285"/>
        <v>0</v>
      </c>
      <c r="BK230" s="30"/>
      <c r="BL230" s="30">
        <v>771</v>
      </c>
      <c r="BW230" s="30">
        <v>12</v>
      </c>
      <c r="BX230" s="4" t="s">
        <v>649</v>
      </c>
    </row>
    <row r="231" spans="1:76" x14ac:dyDescent="0.25">
      <c r="A231" s="32" t="s">
        <v>650</v>
      </c>
      <c r="B231" s="33" t="s">
        <v>107</v>
      </c>
      <c r="C231" s="141" t="s">
        <v>108</v>
      </c>
      <c r="D231" s="142"/>
      <c r="E231" s="33" t="s">
        <v>109</v>
      </c>
      <c r="F231" s="34">
        <v>0.30809999999999998</v>
      </c>
      <c r="G231" s="35">
        <v>0</v>
      </c>
      <c r="H231" s="34">
        <f t="shared" si="264"/>
        <v>0</v>
      </c>
      <c r="I231" s="34">
        <f t="shared" si="265"/>
        <v>0</v>
      </c>
      <c r="J231" s="34">
        <f t="shared" si="266"/>
        <v>0</v>
      </c>
      <c r="K231" s="36" t="s">
        <v>57</v>
      </c>
      <c r="Z231" s="30">
        <f t="shared" si="267"/>
        <v>0</v>
      </c>
      <c r="AB231" s="30">
        <f t="shared" si="268"/>
        <v>0</v>
      </c>
      <c r="AC231" s="30">
        <f t="shared" si="269"/>
        <v>0</v>
      </c>
      <c r="AD231" s="30">
        <f t="shared" si="270"/>
        <v>0</v>
      </c>
      <c r="AE231" s="30">
        <f t="shared" si="271"/>
        <v>0</v>
      </c>
      <c r="AF231" s="30">
        <f t="shared" si="272"/>
        <v>0</v>
      </c>
      <c r="AG231" s="30">
        <f t="shared" si="273"/>
        <v>0</v>
      </c>
      <c r="AH231" s="30">
        <f t="shared" si="274"/>
        <v>0</v>
      </c>
      <c r="AI231" s="10" t="s">
        <v>50</v>
      </c>
      <c r="AJ231" s="30">
        <f t="shared" si="275"/>
        <v>0</v>
      </c>
      <c r="AK231" s="30">
        <f t="shared" si="276"/>
        <v>0</v>
      </c>
      <c r="AL231" s="30">
        <f t="shared" si="277"/>
        <v>0</v>
      </c>
      <c r="AN231" s="30">
        <v>12</v>
      </c>
      <c r="AO231" s="30">
        <f>G231*0</f>
        <v>0</v>
      </c>
      <c r="AP231" s="30">
        <f>G231*(1-0)</f>
        <v>0</v>
      </c>
      <c r="AQ231" s="31" t="s">
        <v>71</v>
      </c>
      <c r="AV231" s="30">
        <f t="shared" si="278"/>
        <v>0</v>
      </c>
      <c r="AW231" s="30">
        <f t="shared" si="279"/>
        <v>0</v>
      </c>
      <c r="AX231" s="30">
        <f t="shared" si="280"/>
        <v>0</v>
      </c>
      <c r="AY231" s="31" t="s">
        <v>645</v>
      </c>
      <c r="AZ231" s="31" t="s">
        <v>646</v>
      </c>
      <c r="BA231" s="10" t="s">
        <v>60</v>
      </c>
      <c r="BC231" s="30">
        <f t="shared" si="281"/>
        <v>0</v>
      </c>
      <c r="BD231" s="30">
        <f t="shared" si="282"/>
        <v>0</v>
      </c>
      <c r="BE231" s="30">
        <v>0</v>
      </c>
      <c r="BF231" s="30">
        <f>231</f>
        <v>231</v>
      </c>
      <c r="BH231" s="30">
        <f t="shared" si="283"/>
        <v>0</v>
      </c>
      <c r="BI231" s="30">
        <f t="shared" si="284"/>
        <v>0</v>
      </c>
      <c r="BJ231" s="30">
        <f t="shared" si="285"/>
        <v>0</v>
      </c>
      <c r="BK231" s="30"/>
      <c r="BL231" s="30">
        <v>771</v>
      </c>
      <c r="BW231" s="30">
        <v>12</v>
      </c>
      <c r="BX231" s="4" t="s">
        <v>108</v>
      </c>
    </row>
    <row r="232" spans="1:76" x14ac:dyDescent="0.25">
      <c r="A232" s="32" t="s">
        <v>651</v>
      </c>
      <c r="B232" s="33" t="s">
        <v>111</v>
      </c>
      <c r="C232" s="141" t="s">
        <v>112</v>
      </c>
      <c r="D232" s="142"/>
      <c r="E232" s="33" t="s">
        <v>109</v>
      </c>
      <c r="F232" s="34">
        <v>7.9740000000000002</v>
      </c>
      <c r="G232" s="35">
        <v>0</v>
      </c>
      <c r="H232" s="34">
        <f t="shared" si="264"/>
        <v>0</v>
      </c>
      <c r="I232" s="34">
        <f t="shared" si="265"/>
        <v>0</v>
      </c>
      <c r="J232" s="34">
        <f t="shared" si="266"/>
        <v>0</v>
      </c>
      <c r="K232" s="36" t="s">
        <v>57</v>
      </c>
      <c r="Z232" s="30">
        <f t="shared" si="267"/>
        <v>0</v>
      </c>
      <c r="AB232" s="30">
        <f t="shared" si="268"/>
        <v>0</v>
      </c>
      <c r="AC232" s="30">
        <f t="shared" si="269"/>
        <v>0</v>
      </c>
      <c r="AD232" s="30">
        <f t="shared" si="270"/>
        <v>0</v>
      </c>
      <c r="AE232" s="30">
        <f t="shared" si="271"/>
        <v>0</v>
      </c>
      <c r="AF232" s="30">
        <f t="shared" si="272"/>
        <v>0</v>
      </c>
      <c r="AG232" s="30">
        <f t="shared" si="273"/>
        <v>0</v>
      </c>
      <c r="AH232" s="30">
        <f t="shared" si="274"/>
        <v>0</v>
      </c>
      <c r="AI232" s="10" t="s">
        <v>50</v>
      </c>
      <c r="AJ232" s="30">
        <f t="shared" si="275"/>
        <v>0</v>
      </c>
      <c r="AK232" s="30">
        <f t="shared" si="276"/>
        <v>0</v>
      </c>
      <c r="AL232" s="30">
        <f t="shared" si="277"/>
        <v>0</v>
      </c>
      <c r="AN232" s="30">
        <v>12</v>
      </c>
      <c r="AO232" s="30">
        <f>G232*0.010795585</f>
        <v>0</v>
      </c>
      <c r="AP232" s="30">
        <f>G232*(1-0.010795585)</f>
        <v>0</v>
      </c>
      <c r="AQ232" s="31" t="s">
        <v>71</v>
      </c>
      <c r="AV232" s="30">
        <f t="shared" si="278"/>
        <v>0</v>
      </c>
      <c r="AW232" s="30">
        <f t="shared" si="279"/>
        <v>0</v>
      </c>
      <c r="AX232" s="30">
        <f t="shared" si="280"/>
        <v>0</v>
      </c>
      <c r="AY232" s="31" t="s">
        <v>645</v>
      </c>
      <c r="AZ232" s="31" t="s">
        <v>646</v>
      </c>
      <c r="BA232" s="10" t="s">
        <v>60</v>
      </c>
      <c r="BC232" s="30">
        <f t="shared" si="281"/>
        <v>0</v>
      </c>
      <c r="BD232" s="30">
        <f t="shared" si="282"/>
        <v>0</v>
      </c>
      <c r="BE232" s="30">
        <v>0</v>
      </c>
      <c r="BF232" s="30">
        <f>232</f>
        <v>232</v>
      </c>
      <c r="BH232" s="30">
        <f t="shared" si="283"/>
        <v>0</v>
      </c>
      <c r="BI232" s="30">
        <f t="shared" si="284"/>
        <v>0</v>
      </c>
      <c r="BJ232" s="30">
        <f t="shared" si="285"/>
        <v>0</v>
      </c>
      <c r="BK232" s="30"/>
      <c r="BL232" s="30">
        <v>771</v>
      </c>
      <c r="BW232" s="30">
        <v>12</v>
      </c>
      <c r="BX232" s="4" t="s">
        <v>112</v>
      </c>
    </row>
    <row r="233" spans="1:76" x14ac:dyDescent="0.25">
      <c r="A233" s="32" t="s">
        <v>652</v>
      </c>
      <c r="B233" s="33" t="s">
        <v>176</v>
      </c>
      <c r="C233" s="141" t="s">
        <v>177</v>
      </c>
      <c r="D233" s="142"/>
      <c r="E233" s="33" t="s">
        <v>109</v>
      </c>
      <c r="F233" s="34">
        <v>7.9740000000000002</v>
      </c>
      <c r="G233" s="35">
        <v>0</v>
      </c>
      <c r="H233" s="34">
        <f t="shared" si="264"/>
        <v>0</v>
      </c>
      <c r="I233" s="34">
        <f t="shared" si="265"/>
        <v>0</v>
      </c>
      <c r="J233" s="34">
        <f t="shared" si="266"/>
        <v>0</v>
      </c>
      <c r="K233" s="36" t="s">
        <v>178</v>
      </c>
      <c r="Z233" s="30">
        <f t="shared" si="267"/>
        <v>0</v>
      </c>
      <c r="AB233" s="30">
        <f t="shared" si="268"/>
        <v>0</v>
      </c>
      <c r="AC233" s="30">
        <f t="shared" si="269"/>
        <v>0</v>
      </c>
      <c r="AD233" s="30">
        <f t="shared" si="270"/>
        <v>0</v>
      </c>
      <c r="AE233" s="30">
        <f t="shared" si="271"/>
        <v>0</v>
      </c>
      <c r="AF233" s="30">
        <f t="shared" si="272"/>
        <v>0</v>
      </c>
      <c r="AG233" s="30">
        <f t="shared" si="273"/>
        <v>0</v>
      </c>
      <c r="AH233" s="30">
        <f t="shared" si="274"/>
        <v>0</v>
      </c>
      <c r="AI233" s="10" t="s">
        <v>50</v>
      </c>
      <c r="AJ233" s="30">
        <f t="shared" si="275"/>
        <v>0</v>
      </c>
      <c r="AK233" s="30">
        <f t="shared" si="276"/>
        <v>0</v>
      </c>
      <c r="AL233" s="30">
        <f t="shared" si="277"/>
        <v>0</v>
      </c>
      <c r="AN233" s="30">
        <v>12</v>
      </c>
      <c r="AO233" s="30">
        <f>G233*0</f>
        <v>0</v>
      </c>
      <c r="AP233" s="30">
        <f>G233*(1-0)</f>
        <v>0</v>
      </c>
      <c r="AQ233" s="31" t="s">
        <v>71</v>
      </c>
      <c r="AV233" s="30">
        <f t="shared" si="278"/>
        <v>0</v>
      </c>
      <c r="AW233" s="30">
        <f t="shared" si="279"/>
        <v>0</v>
      </c>
      <c r="AX233" s="30">
        <f t="shared" si="280"/>
        <v>0</v>
      </c>
      <c r="AY233" s="31" t="s">
        <v>645</v>
      </c>
      <c r="AZ233" s="31" t="s">
        <v>646</v>
      </c>
      <c r="BA233" s="10" t="s">
        <v>60</v>
      </c>
      <c r="BC233" s="30">
        <f t="shared" si="281"/>
        <v>0</v>
      </c>
      <c r="BD233" s="30">
        <f t="shared" si="282"/>
        <v>0</v>
      </c>
      <c r="BE233" s="30">
        <v>0</v>
      </c>
      <c r="BF233" s="30">
        <f>233</f>
        <v>233</v>
      </c>
      <c r="BH233" s="30">
        <f t="shared" si="283"/>
        <v>0</v>
      </c>
      <c r="BI233" s="30">
        <f t="shared" si="284"/>
        <v>0</v>
      </c>
      <c r="BJ233" s="30">
        <f t="shared" si="285"/>
        <v>0</v>
      </c>
      <c r="BK233" s="30"/>
      <c r="BL233" s="30">
        <v>771</v>
      </c>
      <c r="BW233" s="30">
        <v>12</v>
      </c>
      <c r="BX233" s="4" t="s">
        <v>177</v>
      </c>
    </row>
    <row r="234" spans="1:76" x14ac:dyDescent="0.25">
      <c r="A234" s="32" t="s">
        <v>653</v>
      </c>
      <c r="B234" s="33" t="s">
        <v>654</v>
      </c>
      <c r="C234" s="141" t="s">
        <v>655</v>
      </c>
      <c r="D234" s="142"/>
      <c r="E234" s="33" t="s">
        <v>64</v>
      </c>
      <c r="F234" s="34">
        <v>30.71</v>
      </c>
      <c r="G234" s="35">
        <v>0</v>
      </c>
      <c r="H234" s="34">
        <f t="shared" si="264"/>
        <v>0</v>
      </c>
      <c r="I234" s="34">
        <f t="shared" si="265"/>
        <v>0</v>
      </c>
      <c r="J234" s="34">
        <f t="shared" si="266"/>
        <v>0</v>
      </c>
      <c r="K234" s="36" t="s">
        <v>57</v>
      </c>
      <c r="Z234" s="30">
        <f t="shared" si="267"/>
        <v>0</v>
      </c>
      <c r="AB234" s="30">
        <f t="shared" si="268"/>
        <v>0</v>
      </c>
      <c r="AC234" s="30">
        <f t="shared" si="269"/>
        <v>0</v>
      </c>
      <c r="AD234" s="30">
        <f t="shared" si="270"/>
        <v>0</v>
      </c>
      <c r="AE234" s="30">
        <f t="shared" si="271"/>
        <v>0</v>
      </c>
      <c r="AF234" s="30">
        <f t="shared" si="272"/>
        <v>0</v>
      </c>
      <c r="AG234" s="30">
        <f t="shared" si="273"/>
        <v>0</v>
      </c>
      <c r="AH234" s="30">
        <f t="shared" si="274"/>
        <v>0</v>
      </c>
      <c r="AI234" s="10" t="s">
        <v>50</v>
      </c>
      <c r="AJ234" s="30">
        <f t="shared" si="275"/>
        <v>0</v>
      </c>
      <c r="AK234" s="30">
        <f t="shared" si="276"/>
        <v>0</v>
      </c>
      <c r="AL234" s="30">
        <f t="shared" si="277"/>
        <v>0</v>
      </c>
      <c r="AN234" s="30">
        <v>12</v>
      </c>
      <c r="AO234" s="30">
        <f>G234*0.20866115</f>
        <v>0</v>
      </c>
      <c r="AP234" s="30">
        <f>G234*(1-0.20866115)</f>
        <v>0</v>
      </c>
      <c r="AQ234" s="31" t="s">
        <v>77</v>
      </c>
      <c r="AV234" s="30">
        <f t="shared" si="278"/>
        <v>0</v>
      </c>
      <c r="AW234" s="30">
        <f t="shared" si="279"/>
        <v>0</v>
      </c>
      <c r="AX234" s="30">
        <f t="shared" si="280"/>
        <v>0</v>
      </c>
      <c r="AY234" s="31" t="s">
        <v>645</v>
      </c>
      <c r="AZ234" s="31" t="s">
        <v>646</v>
      </c>
      <c r="BA234" s="10" t="s">
        <v>60</v>
      </c>
      <c r="BC234" s="30">
        <f t="shared" si="281"/>
        <v>0</v>
      </c>
      <c r="BD234" s="30">
        <f t="shared" si="282"/>
        <v>0</v>
      </c>
      <c r="BE234" s="30">
        <v>0</v>
      </c>
      <c r="BF234" s="30">
        <f>234</f>
        <v>234</v>
      </c>
      <c r="BH234" s="30">
        <f t="shared" si="283"/>
        <v>0</v>
      </c>
      <c r="BI234" s="30">
        <f t="shared" si="284"/>
        <v>0</v>
      </c>
      <c r="BJ234" s="30">
        <f t="shared" si="285"/>
        <v>0</v>
      </c>
      <c r="BK234" s="30"/>
      <c r="BL234" s="30">
        <v>771</v>
      </c>
      <c r="BW234" s="30">
        <v>12</v>
      </c>
      <c r="BX234" s="4" t="s">
        <v>655</v>
      </c>
    </row>
    <row r="235" spans="1:76" ht="13.5" customHeight="1" x14ac:dyDescent="0.25">
      <c r="A235" s="37"/>
      <c r="B235" s="38" t="s">
        <v>84</v>
      </c>
      <c r="C235" s="152" t="s">
        <v>656</v>
      </c>
      <c r="D235" s="153"/>
      <c r="E235" s="153"/>
      <c r="F235" s="153"/>
      <c r="G235" s="154"/>
      <c r="H235" s="153"/>
      <c r="I235" s="153"/>
      <c r="J235" s="153"/>
      <c r="K235" s="155"/>
    </row>
    <row r="236" spans="1:76" x14ac:dyDescent="0.25">
      <c r="A236" s="25" t="s">
        <v>657</v>
      </c>
      <c r="B236" s="26" t="s">
        <v>658</v>
      </c>
      <c r="C236" s="150" t="s">
        <v>659</v>
      </c>
      <c r="D236" s="151"/>
      <c r="E236" s="26" t="s">
        <v>80</v>
      </c>
      <c r="F236" s="27">
        <v>1.8426</v>
      </c>
      <c r="G236" s="28">
        <v>0</v>
      </c>
      <c r="H236" s="27">
        <f>F236*AO236</f>
        <v>0</v>
      </c>
      <c r="I236" s="27">
        <f>F236*AP236</f>
        <v>0</v>
      </c>
      <c r="J236" s="27">
        <f>F236*G236</f>
        <v>0</v>
      </c>
      <c r="K236" s="29" t="s">
        <v>57</v>
      </c>
      <c r="Z236" s="30">
        <f>IF(AQ236="5",BJ236,0)</f>
        <v>0</v>
      </c>
      <c r="AB236" s="30">
        <f>IF(AQ236="1",BH236,0)</f>
        <v>0</v>
      </c>
      <c r="AC236" s="30">
        <f>IF(AQ236="1",BI236,0)</f>
        <v>0</v>
      </c>
      <c r="AD236" s="30">
        <f>IF(AQ236="7",BH236,0)</f>
        <v>0</v>
      </c>
      <c r="AE236" s="30">
        <f>IF(AQ236="7",BI236,0)</f>
        <v>0</v>
      </c>
      <c r="AF236" s="30">
        <f>IF(AQ236="2",BH236,0)</f>
        <v>0</v>
      </c>
      <c r="AG236" s="30">
        <f>IF(AQ236="2",BI236,0)</f>
        <v>0</v>
      </c>
      <c r="AH236" s="30">
        <f>IF(AQ236="0",BJ236,0)</f>
        <v>0</v>
      </c>
      <c r="AI236" s="10" t="s">
        <v>50</v>
      </c>
      <c r="AJ236" s="30">
        <f>IF(AN236=0,J236,0)</f>
        <v>0</v>
      </c>
      <c r="AK236" s="30">
        <f>IF(AN236=12,J236,0)</f>
        <v>0</v>
      </c>
      <c r="AL236" s="30">
        <f>IF(AN236=21,J236,0)</f>
        <v>0</v>
      </c>
      <c r="AN236" s="30">
        <v>12</v>
      </c>
      <c r="AO236" s="30">
        <f>G236*0.911141678</f>
        <v>0</v>
      </c>
      <c r="AP236" s="30">
        <f>G236*(1-0.911141678)</f>
        <v>0</v>
      </c>
      <c r="AQ236" s="31" t="s">
        <v>77</v>
      </c>
      <c r="AV236" s="30">
        <f>AW236+AX236</f>
        <v>0</v>
      </c>
      <c r="AW236" s="30">
        <f>F236*AO236</f>
        <v>0</v>
      </c>
      <c r="AX236" s="30">
        <f>F236*AP236</f>
        <v>0</v>
      </c>
      <c r="AY236" s="31" t="s">
        <v>645</v>
      </c>
      <c r="AZ236" s="31" t="s">
        <v>646</v>
      </c>
      <c r="BA236" s="10" t="s">
        <v>60</v>
      </c>
      <c r="BC236" s="30">
        <f>AW236+AX236</f>
        <v>0</v>
      </c>
      <c r="BD236" s="30">
        <f>G236/(100-BE236)*100</f>
        <v>0</v>
      </c>
      <c r="BE236" s="30">
        <v>0</v>
      </c>
      <c r="BF236" s="30">
        <f>236</f>
        <v>236</v>
      </c>
      <c r="BH236" s="30">
        <f>F236*AO236</f>
        <v>0</v>
      </c>
      <c r="BI236" s="30">
        <f>F236*AP236</f>
        <v>0</v>
      </c>
      <c r="BJ236" s="30">
        <f>F236*G236</f>
        <v>0</v>
      </c>
      <c r="BK236" s="30"/>
      <c r="BL236" s="30">
        <v>771</v>
      </c>
      <c r="BW236" s="30">
        <v>12</v>
      </c>
      <c r="BX236" s="4" t="s">
        <v>659</v>
      </c>
    </row>
    <row r="237" spans="1:76" x14ac:dyDescent="0.25">
      <c r="A237" s="32" t="s">
        <v>660</v>
      </c>
      <c r="B237" s="33" t="s">
        <v>661</v>
      </c>
      <c r="C237" s="141" t="s">
        <v>662</v>
      </c>
      <c r="D237" s="142"/>
      <c r="E237" s="33" t="s">
        <v>64</v>
      </c>
      <c r="F237" s="34">
        <v>30.71</v>
      </c>
      <c r="G237" s="35">
        <v>0</v>
      </c>
      <c r="H237" s="34">
        <f>F237*AO237</f>
        <v>0</v>
      </c>
      <c r="I237" s="34">
        <f>F237*AP237</f>
        <v>0</v>
      </c>
      <c r="J237" s="34">
        <f>F237*G237</f>
        <v>0</v>
      </c>
      <c r="K237" s="36" t="s">
        <v>57</v>
      </c>
      <c r="Z237" s="30">
        <f>IF(AQ237="5",BJ237,0)</f>
        <v>0</v>
      </c>
      <c r="AB237" s="30">
        <f>IF(AQ237="1",BH237,0)</f>
        <v>0</v>
      </c>
      <c r="AC237" s="30">
        <f>IF(AQ237="1",BI237,0)</f>
        <v>0</v>
      </c>
      <c r="AD237" s="30">
        <f>IF(AQ237="7",BH237,0)</f>
        <v>0</v>
      </c>
      <c r="AE237" s="30">
        <f>IF(AQ237="7",BI237,0)</f>
        <v>0</v>
      </c>
      <c r="AF237" s="30">
        <f>IF(AQ237="2",BH237,0)</f>
        <v>0</v>
      </c>
      <c r="AG237" s="30">
        <f>IF(AQ237="2",BI237,0)</f>
        <v>0</v>
      </c>
      <c r="AH237" s="30">
        <f>IF(AQ237="0",BJ237,0)</f>
        <v>0</v>
      </c>
      <c r="AI237" s="10" t="s">
        <v>50</v>
      </c>
      <c r="AJ237" s="30">
        <f>IF(AN237=0,J237,0)</f>
        <v>0</v>
      </c>
      <c r="AK237" s="30">
        <f>IF(AN237=12,J237,0)</f>
        <v>0</v>
      </c>
      <c r="AL237" s="30">
        <f>IF(AN237=21,J237,0)</f>
        <v>0</v>
      </c>
      <c r="AN237" s="30">
        <v>12</v>
      </c>
      <c r="AO237" s="30">
        <f>G237*0.512641509</f>
        <v>0</v>
      </c>
      <c r="AP237" s="30">
        <f>G237*(1-0.512641509)</f>
        <v>0</v>
      </c>
      <c r="AQ237" s="31" t="s">
        <v>77</v>
      </c>
      <c r="AV237" s="30">
        <f>AW237+AX237</f>
        <v>0</v>
      </c>
      <c r="AW237" s="30">
        <f>F237*AO237</f>
        <v>0</v>
      </c>
      <c r="AX237" s="30">
        <f>F237*AP237</f>
        <v>0</v>
      </c>
      <c r="AY237" s="31" t="s">
        <v>645</v>
      </c>
      <c r="AZ237" s="31" t="s">
        <v>646</v>
      </c>
      <c r="BA237" s="10" t="s">
        <v>60</v>
      </c>
      <c r="BC237" s="30">
        <f>AW237+AX237</f>
        <v>0</v>
      </c>
      <c r="BD237" s="30">
        <f>G237/(100-BE237)*100</f>
        <v>0</v>
      </c>
      <c r="BE237" s="30">
        <v>0</v>
      </c>
      <c r="BF237" s="30">
        <f>237</f>
        <v>237</v>
      </c>
      <c r="BH237" s="30">
        <f>F237*AO237</f>
        <v>0</v>
      </c>
      <c r="BI237" s="30">
        <f>F237*AP237</f>
        <v>0</v>
      </c>
      <c r="BJ237" s="30">
        <f>F237*G237</f>
        <v>0</v>
      </c>
      <c r="BK237" s="30"/>
      <c r="BL237" s="30">
        <v>771</v>
      </c>
      <c r="BW237" s="30">
        <v>12</v>
      </c>
      <c r="BX237" s="4" t="s">
        <v>662</v>
      </c>
    </row>
    <row r="238" spans="1:76" x14ac:dyDescent="0.25">
      <c r="A238" s="32" t="s">
        <v>663</v>
      </c>
      <c r="B238" s="33" t="s">
        <v>664</v>
      </c>
      <c r="C238" s="141" t="s">
        <v>665</v>
      </c>
      <c r="D238" s="142"/>
      <c r="E238" s="33" t="s">
        <v>64</v>
      </c>
      <c r="F238" s="34">
        <v>33.780999999999999</v>
      </c>
      <c r="G238" s="35">
        <v>0</v>
      </c>
      <c r="H238" s="34">
        <f>F238*AO238</f>
        <v>0</v>
      </c>
      <c r="I238" s="34">
        <f>F238*AP238</f>
        <v>0</v>
      </c>
      <c r="J238" s="34">
        <f>F238*G238</f>
        <v>0</v>
      </c>
      <c r="K238" s="36" t="s">
        <v>57</v>
      </c>
      <c r="Z238" s="30">
        <f>IF(AQ238="5",BJ238,0)</f>
        <v>0</v>
      </c>
      <c r="AB238" s="30">
        <f>IF(AQ238="1",BH238,0)</f>
        <v>0</v>
      </c>
      <c r="AC238" s="30">
        <f>IF(AQ238="1",BI238,0)</f>
        <v>0</v>
      </c>
      <c r="AD238" s="30">
        <f>IF(AQ238="7",BH238,0)</f>
        <v>0</v>
      </c>
      <c r="AE238" s="30">
        <f>IF(AQ238="7",BI238,0)</f>
        <v>0</v>
      </c>
      <c r="AF238" s="30">
        <f>IF(AQ238="2",BH238,0)</f>
        <v>0</v>
      </c>
      <c r="AG238" s="30">
        <f>IF(AQ238="2",BI238,0)</f>
        <v>0</v>
      </c>
      <c r="AH238" s="30">
        <f>IF(AQ238="0",BJ238,0)</f>
        <v>0</v>
      </c>
      <c r="AI238" s="10" t="s">
        <v>50</v>
      </c>
      <c r="AJ238" s="30">
        <f>IF(AN238=0,J238,0)</f>
        <v>0</v>
      </c>
      <c r="AK238" s="30">
        <f>IF(AN238=12,J238,0)</f>
        <v>0</v>
      </c>
      <c r="AL238" s="30">
        <f>IF(AN238=21,J238,0)</f>
        <v>0</v>
      </c>
      <c r="AN238" s="30">
        <v>12</v>
      </c>
      <c r="AO238" s="30">
        <f>G238*1</f>
        <v>0</v>
      </c>
      <c r="AP238" s="30">
        <f>G238*(1-1)</f>
        <v>0</v>
      </c>
      <c r="AQ238" s="31" t="s">
        <v>77</v>
      </c>
      <c r="AV238" s="30">
        <f>AW238+AX238</f>
        <v>0</v>
      </c>
      <c r="AW238" s="30">
        <f>F238*AO238</f>
        <v>0</v>
      </c>
      <c r="AX238" s="30">
        <f>F238*AP238</f>
        <v>0</v>
      </c>
      <c r="AY238" s="31" t="s">
        <v>645</v>
      </c>
      <c r="AZ238" s="31" t="s">
        <v>646</v>
      </c>
      <c r="BA238" s="10" t="s">
        <v>60</v>
      </c>
      <c r="BC238" s="30">
        <f>AW238+AX238</f>
        <v>0</v>
      </c>
      <c r="BD238" s="30">
        <f>G238/(100-BE238)*100</f>
        <v>0</v>
      </c>
      <c r="BE238" s="30">
        <v>0</v>
      </c>
      <c r="BF238" s="30">
        <f>238</f>
        <v>238</v>
      </c>
      <c r="BH238" s="30">
        <f>F238*AO238</f>
        <v>0</v>
      </c>
      <c r="BI238" s="30">
        <f>F238*AP238</f>
        <v>0</v>
      </c>
      <c r="BJ238" s="30">
        <f>F238*G238</f>
        <v>0</v>
      </c>
      <c r="BK238" s="30"/>
      <c r="BL238" s="30">
        <v>771</v>
      </c>
      <c r="BW238" s="30">
        <v>12</v>
      </c>
      <c r="BX238" s="4" t="s">
        <v>665</v>
      </c>
    </row>
    <row r="239" spans="1:76" x14ac:dyDescent="0.25">
      <c r="A239" s="32" t="s">
        <v>666</v>
      </c>
      <c r="B239" s="33" t="s">
        <v>667</v>
      </c>
      <c r="C239" s="141" t="s">
        <v>668</v>
      </c>
      <c r="D239" s="142"/>
      <c r="E239" s="33" t="s">
        <v>64</v>
      </c>
      <c r="F239" s="34">
        <v>30.71</v>
      </c>
      <c r="G239" s="35">
        <v>0</v>
      </c>
      <c r="H239" s="34">
        <f>F239*AO239</f>
        <v>0</v>
      </c>
      <c r="I239" s="34">
        <f>F239*AP239</f>
        <v>0</v>
      </c>
      <c r="J239" s="34">
        <f>F239*G239</f>
        <v>0</v>
      </c>
      <c r="K239" s="36" t="s">
        <v>57</v>
      </c>
      <c r="Z239" s="30">
        <f>IF(AQ239="5",BJ239,0)</f>
        <v>0</v>
      </c>
      <c r="AB239" s="30">
        <f>IF(AQ239="1",BH239,0)</f>
        <v>0</v>
      </c>
      <c r="AC239" s="30">
        <f>IF(AQ239="1",BI239,0)</f>
        <v>0</v>
      </c>
      <c r="AD239" s="30">
        <f>IF(AQ239="7",BH239,0)</f>
        <v>0</v>
      </c>
      <c r="AE239" s="30">
        <f>IF(AQ239="7",BI239,0)</f>
        <v>0</v>
      </c>
      <c r="AF239" s="30">
        <f>IF(AQ239="2",BH239,0)</f>
        <v>0</v>
      </c>
      <c r="AG239" s="30">
        <f>IF(AQ239="2",BI239,0)</f>
        <v>0</v>
      </c>
      <c r="AH239" s="30">
        <f>IF(AQ239="0",BJ239,0)</f>
        <v>0</v>
      </c>
      <c r="AI239" s="10" t="s">
        <v>50</v>
      </c>
      <c r="AJ239" s="30">
        <f>IF(AN239=0,J239,0)</f>
        <v>0</v>
      </c>
      <c r="AK239" s="30">
        <f>IF(AN239=12,J239,0)</f>
        <v>0</v>
      </c>
      <c r="AL239" s="30">
        <f>IF(AN239=21,J239,0)</f>
        <v>0</v>
      </c>
      <c r="AN239" s="30">
        <v>12</v>
      </c>
      <c r="AO239" s="30">
        <f>G239*0</f>
        <v>0</v>
      </c>
      <c r="AP239" s="30">
        <f>G239*(1-0)</f>
        <v>0</v>
      </c>
      <c r="AQ239" s="31" t="s">
        <v>77</v>
      </c>
      <c r="AV239" s="30">
        <f>AW239+AX239</f>
        <v>0</v>
      </c>
      <c r="AW239" s="30">
        <f>F239*AO239</f>
        <v>0</v>
      </c>
      <c r="AX239" s="30">
        <f>F239*AP239</f>
        <v>0</v>
      </c>
      <c r="AY239" s="31" t="s">
        <v>645</v>
      </c>
      <c r="AZ239" s="31" t="s">
        <v>646</v>
      </c>
      <c r="BA239" s="10" t="s">
        <v>60</v>
      </c>
      <c r="BC239" s="30">
        <f>AW239+AX239</f>
        <v>0</v>
      </c>
      <c r="BD239" s="30">
        <f>G239/(100-BE239)*100</f>
        <v>0</v>
      </c>
      <c r="BE239" s="30">
        <v>0</v>
      </c>
      <c r="BF239" s="30">
        <f>239</f>
        <v>239</v>
      </c>
      <c r="BH239" s="30">
        <f>F239*AO239</f>
        <v>0</v>
      </c>
      <c r="BI239" s="30">
        <f>F239*AP239</f>
        <v>0</v>
      </c>
      <c r="BJ239" s="30">
        <f>F239*G239</f>
        <v>0</v>
      </c>
      <c r="BK239" s="30"/>
      <c r="BL239" s="30">
        <v>771</v>
      </c>
      <c r="BW239" s="30">
        <v>12</v>
      </c>
      <c r="BX239" s="4" t="s">
        <v>668</v>
      </c>
    </row>
    <row r="240" spans="1:76" ht="13.5" customHeight="1" x14ac:dyDescent="0.25">
      <c r="A240" s="37"/>
      <c r="B240" s="38" t="s">
        <v>84</v>
      </c>
      <c r="C240" s="152" t="s">
        <v>669</v>
      </c>
      <c r="D240" s="153"/>
      <c r="E240" s="153"/>
      <c r="F240" s="153"/>
      <c r="G240" s="154"/>
      <c r="H240" s="153"/>
      <c r="I240" s="153"/>
      <c r="J240" s="153"/>
      <c r="K240" s="155"/>
    </row>
    <row r="241" spans="1:76" x14ac:dyDescent="0.25">
      <c r="A241" s="25" t="s">
        <v>670</v>
      </c>
      <c r="B241" s="26" t="s">
        <v>671</v>
      </c>
      <c r="C241" s="150" t="s">
        <v>672</v>
      </c>
      <c r="D241" s="151"/>
      <c r="E241" s="26" t="s">
        <v>64</v>
      </c>
      <c r="F241" s="27">
        <v>33.780999999999999</v>
      </c>
      <c r="G241" s="28">
        <v>0</v>
      </c>
      <c r="H241" s="27">
        <f t="shared" ref="H241:H249" si="286">F241*AO241</f>
        <v>0</v>
      </c>
      <c r="I241" s="27">
        <f t="shared" ref="I241:I249" si="287">F241*AP241</f>
        <v>0</v>
      </c>
      <c r="J241" s="27">
        <f t="shared" ref="J241:J249" si="288">F241*G241</f>
        <v>0</v>
      </c>
      <c r="K241" s="29" t="s">
        <v>57</v>
      </c>
      <c r="Z241" s="30">
        <f t="shared" ref="Z241:Z249" si="289">IF(AQ241="5",BJ241,0)</f>
        <v>0</v>
      </c>
      <c r="AB241" s="30">
        <f t="shared" ref="AB241:AB249" si="290">IF(AQ241="1",BH241,0)</f>
        <v>0</v>
      </c>
      <c r="AC241" s="30">
        <f t="shared" ref="AC241:AC249" si="291">IF(AQ241="1",BI241,0)</f>
        <v>0</v>
      </c>
      <c r="AD241" s="30">
        <f t="shared" ref="AD241:AD249" si="292">IF(AQ241="7",BH241,0)</f>
        <v>0</v>
      </c>
      <c r="AE241" s="30">
        <f t="shared" ref="AE241:AE249" si="293">IF(AQ241="7",BI241,0)</f>
        <v>0</v>
      </c>
      <c r="AF241" s="30">
        <f t="shared" ref="AF241:AF249" si="294">IF(AQ241="2",BH241,0)</f>
        <v>0</v>
      </c>
      <c r="AG241" s="30">
        <f t="shared" ref="AG241:AG249" si="295">IF(AQ241="2",BI241,0)</f>
        <v>0</v>
      </c>
      <c r="AH241" s="30">
        <f t="shared" ref="AH241:AH249" si="296">IF(AQ241="0",BJ241,0)</f>
        <v>0</v>
      </c>
      <c r="AI241" s="10" t="s">
        <v>50</v>
      </c>
      <c r="AJ241" s="30">
        <f t="shared" ref="AJ241:AJ249" si="297">IF(AN241=0,J241,0)</f>
        <v>0</v>
      </c>
      <c r="AK241" s="30">
        <f t="shared" ref="AK241:AK249" si="298">IF(AN241=12,J241,0)</f>
        <v>0</v>
      </c>
      <c r="AL241" s="30">
        <f t="shared" ref="AL241:AL249" si="299">IF(AN241=21,J241,0)</f>
        <v>0</v>
      </c>
      <c r="AN241" s="30">
        <v>12</v>
      </c>
      <c r="AO241" s="30">
        <f>G241*1</f>
        <v>0</v>
      </c>
      <c r="AP241" s="30">
        <f>G241*(1-1)</f>
        <v>0</v>
      </c>
      <c r="AQ241" s="31" t="s">
        <v>77</v>
      </c>
      <c r="AV241" s="30">
        <f t="shared" ref="AV241:AV249" si="300">AW241+AX241</f>
        <v>0</v>
      </c>
      <c r="AW241" s="30">
        <f t="shared" ref="AW241:AW249" si="301">F241*AO241</f>
        <v>0</v>
      </c>
      <c r="AX241" s="30">
        <f t="shared" ref="AX241:AX249" si="302">F241*AP241</f>
        <v>0</v>
      </c>
      <c r="AY241" s="31" t="s">
        <v>645</v>
      </c>
      <c r="AZ241" s="31" t="s">
        <v>646</v>
      </c>
      <c r="BA241" s="10" t="s">
        <v>60</v>
      </c>
      <c r="BC241" s="30">
        <f t="shared" ref="BC241:BC249" si="303">AW241+AX241</f>
        <v>0</v>
      </c>
      <c r="BD241" s="30">
        <f t="shared" ref="BD241:BD249" si="304">G241/(100-BE241)*100</f>
        <v>0</v>
      </c>
      <c r="BE241" s="30">
        <v>0</v>
      </c>
      <c r="BF241" s="30">
        <f>241</f>
        <v>241</v>
      </c>
      <c r="BH241" s="30">
        <f t="shared" ref="BH241:BH249" si="305">F241*AO241</f>
        <v>0</v>
      </c>
      <c r="BI241" s="30">
        <f t="shared" ref="BI241:BI249" si="306">F241*AP241</f>
        <v>0</v>
      </c>
      <c r="BJ241" s="30">
        <f t="shared" ref="BJ241:BJ249" si="307">F241*G241</f>
        <v>0</v>
      </c>
      <c r="BK241" s="30"/>
      <c r="BL241" s="30">
        <v>771</v>
      </c>
      <c r="BW241" s="30">
        <v>12</v>
      </c>
      <c r="BX241" s="4" t="s">
        <v>672</v>
      </c>
    </row>
    <row r="242" spans="1:76" x14ac:dyDescent="0.25">
      <c r="A242" s="32" t="s">
        <v>673</v>
      </c>
      <c r="B242" s="33" t="s">
        <v>674</v>
      </c>
      <c r="C242" s="141" t="s">
        <v>675</v>
      </c>
      <c r="D242" s="142"/>
      <c r="E242" s="33" t="s">
        <v>64</v>
      </c>
      <c r="F242" s="34">
        <v>1.4232</v>
      </c>
      <c r="G242" s="35">
        <v>0</v>
      </c>
      <c r="H242" s="34">
        <f t="shared" si="286"/>
        <v>0</v>
      </c>
      <c r="I242" s="34">
        <f t="shared" si="287"/>
        <v>0</v>
      </c>
      <c r="J242" s="34">
        <f t="shared" si="288"/>
        <v>0</v>
      </c>
      <c r="K242" s="36" t="s">
        <v>57</v>
      </c>
      <c r="Z242" s="30">
        <f t="shared" si="289"/>
        <v>0</v>
      </c>
      <c r="AB242" s="30">
        <f t="shared" si="290"/>
        <v>0</v>
      </c>
      <c r="AC242" s="30">
        <f t="shared" si="291"/>
        <v>0</v>
      </c>
      <c r="AD242" s="30">
        <f t="shared" si="292"/>
        <v>0</v>
      </c>
      <c r="AE242" s="30">
        <f t="shared" si="293"/>
        <v>0</v>
      </c>
      <c r="AF242" s="30">
        <f t="shared" si="294"/>
        <v>0</v>
      </c>
      <c r="AG242" s="30">
        <f t="shared" si="295"/>
        <v>0</v>
      </c>
      <c r="AH242" s="30">
        <f t="shared" si="296"/>
        <v>0</v>
      </c>
      <c r="AI242" s="10" t="s">
        <v>50</v>
      </c>
      <c r="AJ242" s="30">
        <f t="shared" si="297"/>
        <v>0</v>
      </c>
      <c r="AK242" s="30">
        <f t="shared" si="298"/>
        <v>0</v>
      </c>
      <c r="AL242" s="30">
        <f t="shared" si="299"/>
        <v>0</v>
      </c>
      <c r="AN242" s="30">
        <v>12</v>
      </c>
      <c r="AO242" s="30">
        <f>G242*0.81680729</f>
        <v>0</v>
      </c>
      <c r="AP242" s="30">
        <f>G242*(1-0.81680729)</f>
        <v>0</v>
      </c>
      <c r="AQ242" s="31" t="s">
        <v>77</v>
      </c>
      <c r="AV242" s="30">
        <f t="shared" si="300"/>
        <v>0</v>
      </c>
      <c r="AW242" s="30">
        <f t="shared" si="301"/>
        <v>0</v>
      </c>
      <c r="AX242" s="30">
        <f t="shared" si="302"/>
        <v>0</v>
      </c>
      <c r="AY242" s="31" t="s">
        <v>645</v>
      </c>
      <c r="AZ242" s="31" t="s">
        <v>646</v>
      </c>
      <c r="BA242" s="10" t="s">
        <v>60</v>
      </c>
      <c r="BC242" s="30">
        <f t="shared" si="303"/>
        <v>0</v>
      </c>
      <c r="BD242" s="30">
        <f t="shared" si="304"/>
        <v>0</v>
      </c>
      <c r="BE242" s="30">
        <v>0</v>
      </c>
      <c r="BF242" s="30">
        <f>242</f>
        <v>242</v>
      </c>
      <c r="BH242" s="30">
        <f t="shared" si="305"/>
        <v>0</v>
      </c>
      <c r="BI242" s="30">
        <f t="shared" si="306"/>
        <v>0</v>
      </c>
      <c r="BJ242" s="30">
        <f t="shared" si="307"/>
        <v>0</v>
      </c>
      <c r="BK242" s="30"/>
      <c r="BL242" s="30">
        <v>771</v>
      </c>
      <c r="BW242" s="30">
        <v>12</v>
      </c>
      <c r="BX242" s="4" t="s">
        <v>675</v>
      </c>
    </row>
    <row r="243" spans="1:76" x14ac:dyDescent="0.25">
      <c r="A243" s="32" t="s">
        <v>676</v>
      </c>
      <c r="B243" s="33" t="s">
        <v>677</v>
      </c>
      <c r="C243" s="141" t="s">
        <v>678</v>
      </c>
      <c r="D243" s="142"/>
      <c r="E243" s="33" t="s">
        <v>64</v>
      </c>
      <c r="F243" s="34">
        <v>6.99</v>
      </c>
      <c r="G243" s="35">
        <v>0</v>
      </c>
      <c r="H243" s="34">
        <f t="shared" si="286"/>
        <v>0</v>
      </c>
      <c r="I243" s="34">
        <f t="shared" si="287"/>
        <v>0</v>
      </c>
      <c r="J243" s="34">
        <f t="shared" si="288"/>
        <v>0</v>
      </c>
      <c r="K243" s="36" t="s">
        <v>57</v>
      </c>
      <c r="Z243" s="30">
        <f t="shared" si="289"/>
        <v>0</v>
      </c>
      <c r="AB243" s="30">
        <f t="shared" si="290"/>
        <v>0</v>
      </c>
      <c r="AC243" s="30">
        <f t="shared" si="291"/>
        <v>0</v>
      </c>
      <c r="AD243" s="30">
        <f t="shared" si="292"/>
        <v>0</v>
      </c>
      <c r="AE243" s="30">
        <f t="shared" si="293"/>
        <v>0</v>
      </c>
      <c r="AF243" s="30">
        <f t="shared" si="294"/>
        <v>0</v>
      </c>
      <c r="AG243" s="30">
        <f t="shared" si="295"/>
        <v>0</v>
      </c>
      <c r="AH243" s="30">
        <f t="shared" si="296"/>
        <v>0</v>
      </c>
      <c r="AI243" s="10" t="s">
        <v>50</v>
      </c>
      <c r="AJ243" s="30">
        <f t="shared" si="297"/>
        <v>0</v>
      </c>
      <c r="AK243" s="30">
        <f t="shared" si="298"/>
        <v>0</v>
      </c>
      <c r="AL243" s="30">
        <f t="shared" si="299"/>
        <v>0</v>
      </c>
      <c r="AN243" s="30">
        <v>12</v>
      </c>
      <c r="AO243" s="30">
        <f>G243*0.921369863</f>
        <v>0</v>
      </c>
      <c r="AP243" s="30">
        <f>G243*(1-0.921369863)</f>
        <v>0</v>
      </c>
      <c r="AQ243" s="31" t="s">
        <v>77</v>
      </c>
      <c r="AV243" s="30">
        <f t="shared" si="300"/>
        <v>0</v>
      </c>
      <c r="AW243" s="30">
        <f t="shared" si="301"/>
        <v>0</v>
      </c>
      <c r="AX243" s="30">
        <f t="shared" si="302"/>
        <v>0</v>
      </c>
      <c r="AY243" s="31" t="s">
        <v>645</v>
      </c>
      <c r="AZ243" s="31" t="s">
        <v>646</v>
      </c>
      <c r="BA243" s="10" t="s">
        <v>60</v>
      </c>
      <c r="BC243" s="30">
        <f t="shared" si="303"/>
        <v>0</v>
      </c>
      <c r="BD243" s="30">
        <f t="shared" si="304"/>
        <v>0</v>
      </c>
      <c r="BE243" s="30">
        <v>0</v>
      </c>
      <c r="BF243" s="30">
        <f>243</f>
        <v>243</v>
      </c>
      <c r="BH243" s="30">
        <f t="shared" si="305"/>
        <v>0</v>
      </c>
      <c r="BI243" s="30">
        <f t="shared" si="306"/>
        <v>0</v>
      </c>
      <c r="BJ243" s="30">
        <f t="shared" si="307"/>
        <v>0</v>
      </c>
      <c r="BK243" s="30"/>
      <c r="BL243" s="30">
        <v>771</v>
      </c>
      <c r="BW243" s="30">
        <v>12</v>
      </c>
      <c r="BX243" s="4" t="s">
        <v>678</v>
      </c>
    </row>
    <row r="244" spans="1:76" x14ac:dyDescent="0.25">
      <c r="A244" s="32" t="s">
        <v>679</v>
      </c>
      <c r="B244" s="33" t="s">
        <v>680</v>
      </c>
      <c r="C244" s="141" t="s">
        <v>681</v>
      </c>
      <c r="D244" s="142"/>
      <c r="E244" s="33" t="s">
        <v>64</v>
      </c>
      <c r="F244" s="34">
        <v>21.15</v>
      </c>
      <c r="G244" s="35">
        <v>0</v>
      </c>
      <c r="H244" s="34">
        <f t="shared" si="286"/>
        <v>0</v>
      </c>
      <c r="I244" s="34">
        <f t="shared" si="287"/>
        <v>0</v>
      </c>
      <c r="J244" s="34">
        <f t="shared" si="288"/>
        <v>0</v>
      </c>
      <c r="K244" s="36" t="s">
        <v>57</v>
      </c>
      <c r="Z244" s="30">
        <f t="shared" si="289"/>
        <v>0</v>
      </c>
      <c r="AB244" s="30">
        <f t="shared" si="290"/>
        <v>0</v>
      </c>
      <c r="AC244" s="30">
        <f t="shared" si="291"/>
        <v>0</v>
      </c>
      <c r="AD244" s="30">
        <f t="shared" si="292"/>
        <v>0</v>
      </c>
      <c r="AE244" s="30">
        <f t="shared" si="293"/>
        <v>0</v>
      </c>
      <c r="AF244" s="30">
        <f t="shared" si="294"/>
        <v>0</v>
      </c>
      <c r="AG244" s="30">
        <f t="shared" si="295"/>
        <v>0</v>
      </c>
      <c r="AH244" s="30">
        <f t="shared" si="296"/>
        <v>0</v>
      </c>
      <c r="AI244" s="10" t="s">
        <v>50</v>
      </c>
      <c r="AJ244" s="30">
        <f t="shared" si="297"/>
        <v>0</v>
      </c>
      <c r="AK244" s="30">
        <f t="shared" si="298"/>
        <v>0</v>
      </c>
      <c r="AL244" s="30">
        <f t="shared" si="299"/>
        <v>0</v>
      </c>
      <c r="AN244" s="30">
        <v>12</v>
      </c>
      <c r="AO244" s="30">
        <f>G244*0.472426471</f>
        <v>0</v>
      </c>
      <c r="AP244" s="30">
        <f>G244*(1-0.472426471)</f>
        <v>0</v>
      </c>
      <c r="AQ244" s="31" t="s">
        <v>77</v>
      </c>
      <c r="AV244" s="30">
        <f t="shared" si="300"/>
        <v>0</v>
      </c>
      <c r="AW244" s="30">
        <f t="shared" si="301"/>
        <v>0</v>
      </c>
      <c r="AX244" s="30">
        <f t="shared" si="302"/>
        <v>0</v>
      </c>
      <c r="AY244" s="31" t="s">
        <v>645</v>
      </c>
      <c r="AZ244" s="31" t="s">
        <v>646</v>
      </c>
      <c r="BA244" s="10" t="s">
        <v>60</v>
      </c>
      <c r="BC244" s="30">
        <f t="shared" si="303"/>
        <v>0</v>
      </c>
      <c r="BD244" s="30">
        <f t="shared" si="304"/>
        <v>0</v>
      </c>
      <c r="BE244" s="30">
        <v>0</v>
      </c>
      <c r="BF244" s="30">
        <f>244</f>
        <v>244</v>
      </c>
      <c r="BH244" s="30">
        <f t="shared" si="305"/>
        <v>0</v>
      </c>
      <c r="BI244" s="30">
        <f t="shared" si="306"/>
        <v>0</v>
      </c>
      <c r="BJ244" s="30">
        <f t="shared" si="307"/>
        <v>0</v>
      </c>
      <c r="BK244" s="30"/>
      <c r="BL244" s="30">
        <v>771</v>
      </c>
      <c r="BW244" s="30">
        <v>12</v>
      </c>
      <c r="BX244" s="4" t="s">
        <v>681</v>
      </c>
    </row>
    <row r="245" spans="1:76" x14ac:dyDescent="0.25">
      <c r="A245" s="32" t="s">
        <v>682</v>
      </c>
      <c r="B245" s="33" t="s">
        <v>683</v>
      </c>
      <c r="C245" s="141" t="s">
        <v>684</v>
      </c>
      <c r="D245" s="142"/>
      <c r="E245" s="33" t="s">
        <v>64</v>
      </c>
      <c r="F245" s="34">
        <v>6.99</v>
      </c>
      <c r="G245" s="35">
        <v>0</v>
      </c>
      <c r="H245" s="34">
        <f t="shared" si="286"/>
        <v>0</v>
      </c>
      <c r="I245" s="34">
        <f t="shared" si="287"/>
        <v>0</v>
      </c>
      <c r="J245" s="34">
        <f t="shared" si="288"/>
        <v>0</v>
      </c>
      <c r="K245" s="36" t="s">
        <v>57</v>
      </c>
      <c r="Z245" s="30">
        <f t="shared" si="289"/>
        <v>0</v>
      </c>
      <c r="AB245" s="30">
        <f t="shared" si="290"/>
        <v>0</v>
      </c>
      <c r="AC245" s="30">
        <f t="shared" si="291"/>
        <v>0</v>
      </c>
      <c r="AD245" s="30">
        <f t="shared" si="292"/>
        <v>0</v>
      </c>
      <c r="AE245" s="30">
        <f t="shared" si="293"/>
        <v>0</v>
      </c>
      <c r="AF245" s="30">
        <f t="shared" si="294"/>
        <v>0</v>
      </c>
      <c r="AG245" s="30">
        <f t="shared" si="295"/>
        <v>0</v>
      </c>
      <c r="AH245" s="30">
        <f t="shared" si="296"/>
        <v>0</v>
      </c>
      <c r="AI245" s="10" t="s">
        <v>50</v>
      </c>
      <c r="AJ245" s="30">
        <f t="shared" si="297"/>
        <v>0</v>
      </c>
      <c r="AK245" s="30">
        <f t="shared" si="298"/>
        <v>0</v>
      </c>
      <c r="AL245" s="30">
        <f t="shared" si="299"/>
        <v>0</v>
      </c>
      <c r="AN245" s="30">
        <v>12</v>
      </c>
      <c r="AO245" s="30">
        <f>G245*0.628275303</f>
        <v>0</v>
      </c>
      <c r="AP245" s="30">
        <f>G245*(1-0.628275303)</f>
        <v>0</v>
      </c>
      <c r="AQ245" s="31" t="s">
        <v>77</v>
      </c>
      <c r="AV245" s="30">
        <f t="shared" si="300"/>
        <v>0</v>
      </c>
      <c r="AW245" s="30">
        <f t="shared" si="301"/>
        <v>0</v>
      </c>
      <c r="AX245" s="30">
        <f t="shared" si="302"/>
        <v>0</v>
      </c>
      <c r="AY245" s="31" t="s">
        <v>645</v>
      </c>
      <c r="AZ245" s="31" t="s">
        <v>646</v>
      </c>
      <c r="BA245" s="10" t="s">
        <v>60</v>
      </c>
      <c r="BC245" s="30">
        <f t="shared" si="303"/>
        <v>0</v>
      </c>
      <c r="BD245" s="30">
        <f t="shared" si="304"/>
        <v>0</v>
      </c>
      <c r="BE245" s="30">
        <v>0</v>
      </c>
      <c r="BF245" s="30">
        <f>245</f>
        <v>245</v>
      </c>
      <c r="BH245" s="30">
        <f t="shared" si="305"/>
        <v>0</v>
      </c>
      <c r="BI245" s="30">
        <f t="shared" si="306"/>
        <v>0</v>
      </c>
      <c r="BJ245" s="30">
        <f t="shared" si="307"/>
        <v>0</v>
      </c>
      <c r="BK245" s="30"/>
      <c r="BL245" s="30">
        <v>771</v>
      </c>
      <c r="BW245" s="30">
        <v>12</v>
      </c>
      <c r="BX245" s="4" t="s">
        <v>684</v>
      </c>
    </row>
    <row r="246" spans="1:76" x14ac:dyDescent="0.25">
      <c r="A246" s="32" t="s">
        <v>685</v>
      </c>
      <c r="B246" s="33" t="s">
        <v>686</v>
      </c>
      <c r="C246" s="141" t="s">
        <v>687</v>
      </c>
      <c r="D246" s="142"/>
      <c r="E246" s="33" t="s">
        <v>99</v>
      </c>
      <c r="F246" s="34">
        <v>12.7</v>
      </c>
      <c r="G246" s="35">
        <v>0</v>
      </c>
      <c r="H246" s="34">
        <f t="shared" si="286"/>
        <v>0</v>
      </c>
      <c r="I246" s="34">
        <f t="shared" si="287"/>
        <v>0</v>
      </c>
      <c r="J246" s="34">
        <f t="shared" si="288"/>
        <v>0</v>
      </c>
      <c r="K246" s="36" t="s">
        <v>57</v>
      </c>
      <c r="Z246" s="30">
        <f t="shared" si="289"/>
        <v>0</v>
      </c>
      <c r="AB246" s="30">
        <f t="shared" si="290"/>
        <v>0</v>
      </c>
      <c r="AC246" s="30">
        <f t="shared" si="291"/>
        <v>0</v>
      </c>
      <c r="AD246" s="30">
        <f t="shared" si="292"/>
        <v>0</v>
      </c>
      <c r="AE246" s="30">
        <f t="shared" si="293"/>
        <v>0</v>
      </c>
      <c r="AF246" s="30">
        <f t="shared" si="294"/>
        <v>0</v>
      </c>
      <c r="AG246" s="30">
        <f t="shared" si="295"/>
        <v>0</v>
      </c>
      <c r="AH246" s="30">
        <f t="shared" si="296"/>
        <v>0</v>
      </c>
      <c r="AI246" s="10" t="s">
        <v>50</v>
      </c>
      <c r="AJ246" s="30">
        <f t="shared" si="297"/>
        <v>0</v>
      </c>
      <c r="AK246" s="30">
        <f t="shared" si="298"/>
        <v>0</v>
      </c>
      <c r="AL246" s="30">
        <f t="shared" si="299"/>
        <v>0</v>
      </c>
      <c r="AN246" s="30">
        <v>12</v>
      </c>
      <c r="AO246" s="30">
        <f>G246*0.679130435</f>
        <v>0</v>
      </c>
      <c r="AP246" s="30">
        <f>G246*(1-0.679130435)</f>
        <v>0</v>
      </c>
      <c r="AQ246" s="31" t="s">
        <v>77</v>
      </c>
      <c r="AV246" s="30">
        <f t="shared" si="300"/>
        <v>0</v>
      </c>
      <c r="AW246" s="30">
        <f t="shared" si="301"/>
        <v>0</v>
      </c>
      <c r="AX246" s="30">
        <f t="shared" si="302"/>
        <v>0</v>
      </c>
      <c r="AY246" s="31" t="s">
        <v>645</v>
      </c>
      <c r="AZ246" s="31" t="s">
        <v>646</v>
      </c>
      <c r="BA246" s="10" t="s">
        <v>60</v>
      </c>
      <c r="BC246" s="30">
        <f t="shared" si="303"/>
        <v>0</v>
      </c>
      <c r="BD246" s="30">
        <f t="shared" si="304"/>
        <v>0</v>
      </c>
      <c r="BE246" s="30">
        <v>0</v>
      </c>
      <c r="BF246" s="30">
        <f>246</f>
        <v>246</v>
      </c>
      <c r="BH246" s="30">
        <f t="shared" si="305"/>
        <v>0</v>
      </c>
      <c r="BI246" s="30">
        <f t="shared" si="306"/>
        <v>0</v>
      </c>
      <c r="BJ246" s="30">
        <f t="shared" si="307"/>
        <v>0</v>
      </c>
      <c r="BK246" s="30"/>
      <c r="BL246" s="30">
        <v>771</v>
      </c>
      <c r="BW246" s="30">
        <v>12</v>
      </c>
      <c r="BX246" s="4" t="s">
        <v>687</v>
      </c>
    </row>
    <row r="247" spans="1:76" x14ac:dyDescent="0.25">
      <c r="A247" s="32" t="s">
        <v>688</v>
      </c>
      <c r="B247" s="33" t="s">
        <v>689</v>
      </c>
      <c r="C247" s="141" t="s">
        <v>690</v>
      </c>
      <c r="D247" s="142"/>
      <c r="E247" s="33" t="s">
        <v>64</v>
      </c>
      <c r="F247" s="34">
        <v>21.15</v>
      </c>
      <c r="G247" s="35">
        <v>0</v>
      </c>
      <c r="H247" s="34">
        <f t="shared" si="286"/>
        <v>0</v>
      </c>
      <c r="I247" s="34">
        <f t="shared" si="287"/>
        <v>0</v>
      </c>
      <c r="J247" s="34">
        <f t="shared" si="288"/>
        <v>0</v>
      </c>
      <c r="K247" s="36" t="s">
        <v>57</v>
      </c>
      <c r="Z247" s="30">
        <f t="shared" si="289"/>
        <v>0</v>
      </c>
      <c r="AB247" s="30">
        <f t="shared" si="290"/>
        <v>0</v>
      </c>
      <c r="AC247" s="30">
        <f t="shared" si="291"/>
        <v>0</v>
      </c>
      <c r="AD247" s="30">
        <f t="shared" si="292"/>
        <v>0</v>
      </c>
      <c r="AE247" s="30">
        <f t="shared" si="293"/>
        <v>0</v>
      </c>
      <c r="AF247" s="30">
        <f t="shared" si="294"/>
        <v>0</v>
      </c>
      <c r="AG247" s="30">
        <f t="shared" si="295"/>
        <v>0</v>
      </c>
      <c r="AH247" s="30">
        <f t="shared" si="296"/>
        <v>0</v>
      </c>
      <c r="AI247" s="10" t="s">
        <v>50</v>
      </c>
      <c r="AJ247" s="30">
        <f t="shared" si="297"/>
        <v>0</v>
      </c>
      <c r="AK247" s="30">
        <f t="shared" si="298"/>
        <v>0</v>
      </c>
      <c r="AL247" s="30">
        <f t="shared" si="299"/>
        <v>0</v>
      </c>
      <c r="AN247" s="30">
        <v>12</v>
      </c>
      <c r="AO247" s="30">
        <f>G247*0.518159531</f>
        <v>0</v>
      </c>
      <c r="AP247" s="30">
        <f>G247*(1-0.518159531)</f>
        <v>0</v>
      </c>
      <c r="AQ247" s="31" t="s">
        <v>77</v>
      </c>
      <c r="AV247" s="30">
        <f t="shared" si="300"/>
        <v>0</v>
      </c>
      <c r="AW247" s="30">
        <f t="shared" si="301"/>
        <v>0</v>
      </c>
      <c r="AX247" s="30">
        <f t="shared" si="302"/>
        <v>0</v>
      </c>
      <c r="AY247" s="31" t="s">
        <v>645</v>
      </c>
      <c r="AZ247" s="31" t="s">
        <v>646</v>
      </c>
      <c r="BA247" s="10" t="s">
        <v>60</v>
      </c>
      <c r="BC247" s="30">
        <f t="shared" si="303"/>
        <v>0</v>
      </c>
      <c r="BD247" s="30">
        <f t="shared" si="304"/>
        <v>0</v>
      </c>
      <c r="BE247" s="30">
        <v>0</v>
      </c>
      <c r="BF247" s="30">
        <f>247</f>
        <v>247</v>
      </c>
      <c r="BH247" s="30">
        <f t="shared" si="305"/>
        <v>0</v>
      </c>
      <c r="BI247" s="30">
        <f t="shared" si="306"/>
        <v>0</v>
      </c>
      <c r="BJ247" s="30">
        <f t="shared" si="307"/>
        <v>0</v>
      </c>
      <c r="BK247" s="30"/>
      <c r="BL247" s="30">
        <v>771</v>
      </c>
      <c r="BW247" s="30">
        <v>12</v>
      </c>
      <c r="BX247" s="4" t="s">
        <v>690</v>
      </c>
    </row>
    <row r="248" spans="1:76" x14ac:dyDescent="0.25">
      <c r="A248" s="32" t="s">
        <v>691</v>
      </c>
      <c r="B248" s="33" t="s">
        <v>692</v>
      </c>
      <c r="C248" s="141" t="s">
        <v>693</v>
      </c>
      <c r="D248" s="142"/>
      <c r="E248" s="33" t="s">
        <v>99</v>
      </c>
      <c r="F248" s="34">
        <v>15.22</v>
      </c>
      <c r="G248" s="35">
        <v>0</v>
      </c>
      <c r="H248" s="34">
        <f t="shared" si="286"/>
        <v>0</v>
      </c>
      <c r="I248" s="34">
        <f t="shared" si="287"/>
        <v>0</v>
      </c>
      <c r="J248" s="34">
        <f t="shared" si="288"/>
        <v>0</v>
      </c>
      <c r="K248" s="36" t="s">
        <v>57</v>
      </c>
      <c r="Z248" s="30">
        <f t="shared" si="289"/>
        <v>0</v>
      </c>
      <c r="AB248" s="30">
        <f t="shared" si="290"/>
        <v>0</v>
      </c>
      <c r="AC248" s="30">
        <f t="shared" si="291"/>
        <v>0</v>
      </c>
      <c r="AD248" s="30">
        <f t="shared" si="292"/>
        <v>0</v>
      </c>
      <c r="AE248" s="30">
        <f t="shared" si="293"/>
        <v>0</v>
      </c>
      <c r="AF248" s="30">
        <f t="shared" si="294"/>
        <v>0</v>
      </c>
      <c r="AG248" s="30">
        <f t="shared" si="295"/>
        <v>0</v>
      </c>
      <c r="AH248" s="30">
        <f t="shared" si="296"/>
        <v>0</v>
      </c>
      <c r="AI248" s="10" t="s">
        <v>50</v>
      </c>
      <c r="AJ248" s="30">
        <f t="shared" si="297"/>
        <v>0</v>
      </c>
      <c r="AK248" s="30">
        <f t="shared" si="298"/>
        <v>0</v>
      </c>
      <c r="AL248" s="30">
        <f t="shared" si="299"/>
        <v>0</v>
      </c>
      <c r="AN248" s="30">
        <v>12</v>
      </c>
      <c r="AO248" s="30">
        <f>G248*0.039648776</f>
        <v>0</v>
      </c>
      <c r="AP248" s="30">
        <f>G248*(1-0.039648776)</f>
        <v>0</v>
      </c>
      <c r="AQ248" s="31" t="s">
        <v>77</v>
      </c>
      <c r="AV248" s="30">
        <f t="shared" si="300"/>
        <v>0</v>
      </c>
      <c r="AW248" s="30">
        <f t="shared" si="301"/>
        <v>0</v>
      </c>
      <c r="AX248" s="30">
        <f t="shared" si="302"/>
        <v>0</v>
      </c>
      <c r="AY248" s="31" t="s">
        <v>645</v>
      </c>
      <c r="AZ248" s="31" t="s">
        <v>646</v>
      </c>
      <c r="BA248" s="10" t="s">
        <v>60</v>
      </c>
      <c r="BC248" s="30">
        <f t="shared" si="303"/>
        <v>0</v>
      </c>
      <c r="BD248" s="30">
        <f t="shared" si="304"/>
        <v>0</v>
      </c>
      <c r="BE248" s="30">
        <v>0</v>
      </c>
      <c r="BF248" s="30">
        <f>248</f>
        <v>248</v>
      </c>
      <c r="BH248" s="30">
        <f t="shared" si="305"/>
        <v>0</v>
      </c>
      <c r="BI248" s="30">
        <f t="shared" si="306"/>
        <v>0</v>
      </c>
      <c r="BJ248" s="30">
        <f t="shared" si="307"/>
        <v>0</v>
      </c>
      <c r="BK248" s="30"/>
      <c r="BL248" s="30">
        <v>771</v>
      </c>
      <c r="BW248" s="30">
        <v>12</v>
      </c>
      <c r="BX248" s="4" t="s">
        <v>693</v>
      </c>
    </row>
    <row r="249" spans="1:76" x14ac:dyDescent="0.25">
      <c r="A249" s="32" t="s">
        <v>694</v>
      </c>
      <c r="B249" s="33" t="s">
        <v>695</v>
      </c>
      <c r="C249" s="141" t="s">
        <v>696</v>
      </c>
      <c r="D249" s="142"/>
      <c r="E249" s="33" t="s">
        <v>109</v>
      </c>
      <c r="F249" s="34">
        <v>3.3410099999999998</v>
      </c>
      <c r="G249" s="35">
        <v>0</v>
      </c>
      <c r="H249" s="34">
        <f t="shared" si="286"/>
        <v>0</v>
      </c>
      <c r="I249" s="34">
        <f t="shared" si="287"/>
        <v>0</v>
      </c>
      <c r="J249" s="34">
        <f t="shared" si="288"/>
        <v>0</v>
      </c>
      <c r="K249" s="36" t="s">
        <v>57</v>
      </c>
      <c r="Z249" s="30">
        <f t="shared" si="289"/>
        <v>0</v>
      </c>
      <c r="AB249" s="30">
        <f t="shared" si="290"/>
        <v>0</v>
      </c>
      <c r="AC249" s="30">
        <f t="shared" si="291"/>
        <v>0</v>
      </c>
      <c r="AD249" s="30">
        <f t="shared" si="292"/>
        <v>0</v>
      </c>
      <c r="AE249" s="30">
        <f t="shared" si="293"/>
        <v>0</v>
      </c>
      <c r="AF249" s="30">
        <f t="shared" si="294"/>
        <v>0</v>
      </c>
      <c r="AG249" s="30">
        <f t="shared" si="295"/>
        <v>0</v>
      </c>
      <c r="AH249" s="30">
        <f t="shared" si="296"/>
        <v>0</v>
      </c>
      <c r="AI249" s="10" t="s">
        <v>50</v>
      </c>
      <c r="AJ249" s="30">
        <f t="shared" si="297"/>
        <v>0</v>
      </c>
      <c r="AK249" s="30">
        <f t="shared" si="298"/>
        <v>0</v>
      </c>
      <c r="AL249" s="30">
        <f t="shared" si="299"/>
        <v>0</v>
      </c>
      <c r="AN249" s="30">
        <v>12</v>
      </c>
      <c r="AO249" s="30">
        <f>G249*0</f>
        <v>0</v>
      </c>
      <c r="AP249" s="30">
        <f>G249*(1-0)</f>
        <v>0</v>
      </c>
      <c r="AQ249" s="31" t="s">
        <v>71</v>
      </c>
      <c r="AV249" s="30">
        <f t="shared" si="300"/>
        <v>0</v>
      </c>
      <c r="AW249" s="30">
        <f t="shared" si="301"/>
        <v>0</v>
      </c>
      <c r="AX249" s="30">
        <f t="shared" si="302"/>
        <v>0</v>
      </c>
      <c r="AY249" s="31" t="s">
        <v>645</v>
      </c>
      <c r="AZ249" s="31" t="s">
        <v>646</v>
      </c>
      <c r="BA249" s="10" t="s">
        <v>60</v>
      </c>
      <c r="BC249" s="30">
        <f t="shared" si="303"/>
        <v>0</v>
      </c>
      <c r="BD249" s="30">
        <f t="shared" si="304"/>
        <v>0</v>
      </c>
      <c r="BE249" s="30">
        <v>0</v>
      </c>
      <c r="BF249" s="30">
        <f>249</f>
        <v>249</v>
      </c>
      <c r="BH249" s="30">
        <f t="shared" si="305"/>
        <v>0</v>
      </c>
      <c r="BI249" s="30">
        <f t="shared" si="306"/>
        <v>0</v>
      </c>
      <c r="BJ249" s="30">
        <f t="shared" si="307"/>
        <v>0</v>
      </c>
      <c r="BK249" s="30"/>
      <c r="BL249" s="30">
        <v>771</v>
      </c>
      <c r="BW249" s="30">
        <v>12</v>
      </c>
      <c r="BX249" s="4" t="s">
        <v>696</v>
      </c>
    </row>
    <row r="250" spans="1:76" x14ac:dyDescent="0.25">
      <c r="A250" s="39" t="s">
        <v>50</v>
      </c>
      <c r="B250" s="40" t="s">
        <v>697</v>
      </c>
      <c r="C250" s="156" t="s">
        <v>698</v>
      </c>
      <c r="D250" s="157"/>
      <c r="E250" s="41" t="s">
        <v>4</v>
      </c>
      <c r="F250" s="41" t="s">
        <v>4</v>
      </c>
      <c r="G250" s="42" t="s">
        <v>4</v>
      </c>
      <c r="H250" s="43">
        <f>SUM(H251:H267)</f>
        <v>0</v>
      </c>
      <c r="I250" s="43">
        <f>SUM(I251:I267)</f>
        <v>0</v>
      </c>
      <c r="J250" s="43">
        <f>SUM(J251:J267)</f>
        <v>0</v>
      </c>
      <c r="K250" s="44" t="s">
        <v>50</v>
      </c>
      <c r="AI250" s="10" t="s">
        <v>50</v>
      </c>
      <c r="AS250" s="1">
        <f>SUM(AJ251:AJ267)</f>
        <v>0</v>
      </c>
      <c r="AT250" s="1">
        <f>SUM(AK251:AK267)</f>
        <v>0</v>
      </c>
      <c r="AU250" s="1">
        <f>SUM(AL251:AL267)</f>
        <v>0</v>
      </c>
    </row>
    <row r="251" spans="1:76" x14ac:dyDescent="0.25">
      <c r="A251" s="25" t="s">
        <v>699</v>
      </c>
      <c r="B251" s="26" t="s">
        <v>700</v>
      </c>
      <c r="C251" s="150" t="s">
        <v>701</v>
      </c>
      <c r="D251" s="151"/>
      <c r="E251" s="26" t="s">
        <v>64</v>
      </c>
      <c r="F251" s="27">
        <v>23.64</v>
      </c>
      <c r="G251" s="28">
        <v>0</v>
      </c>
      <c r="H251" s="27">
        <f>F251*AO251</f>
        <v>0</v>
      </c>
      <c r="I251" s="27">
        <f>F251*AP251</f>
        <v>0</v>
      </c>
      <c r="J251" s="27">
        <f>F251*G251</f>
        <v>0</v>
      </c>
      <c r="K251" s="29" t="s">
        <v>57</v>
      </c>
      <c r="Z251" s="30">
        <f>IF(AQ251="5",BJ251,0)</f>
        <v>0</v>
      </c>
      <c r="AB251" s="30">
        <f>IF(AQ251="1",BH251,0)</f>
        <v>0</v>
      </c>
      <c r="AC251" s="30">
        <f>IF(AQ251="1",BI251,0)</f>
        <v>0</v>
      </c>
      <c r="AD251" s="30">
        <f>IF(AQ251="7",BH251,0)</f>
        <v>0</v>
      </c>
      <c r="AE251" s="30">
        <f>IF(AQ251="7",BI251,0)</f>
        <v>0</v>
      </c>
      <c r="AF251" s="30">
        <f>IF(AQ251="2",BH251,0)</f>
        <v>0</v>
      </c>
      <c r="AG251" s="30">
        <f>IF(AQ251="2",BI251,0)</f>
        <v>0</v>
      </c>
      <c r="AH251" s="30">
        <f>IF(AQ251="0",BJ251,0)</f>
        <v>0</v>
      </c>
      <c r="AI251" s="10" t="s">
        <v>50</v>
      </c>
      <c r="AJ251" s="30">
        <f>IF(AN251=0,J251,0)</f>
        <v>0</v>
      </c>
      <c r="AK251" s="30">
        <f>IF(AN251=12,J251,0)</f>
        <v>0</v>
      </c>
      <c r="AL251" s="30">
        <f>IF(AN251=21,J251,0)</f>
        <v>0</v>
      </c>
      <c r="AN251" s="30">
        <v>12</v>
      </c>
      <c r="AO251" s="30">
        <f>G251*0</f>
        <v>0</v>
      </c>
      <c r="AP251" s="30">
        <f>G251*(1-0)</f>
        <v>0</v>
      </c>
      <c r="AQ251" s="31" t="s">
        <v>77</v>
      </c>
      <c r="AV251" s="30">
        <f>AW251+AX251</f>
        <v>0</v>
      </c>
      <c r="AW251" s="30">
        <f>F251*AO251</f>
        <v>0</v>
      </c>
      <c r="AX251" s="30">
        <f>F251*AP251</f>
        <v>0</v>
      </c>
      <c r="AY251" s="31" t="s">
        <v>702</v>
      </c>
      <c r="AZ251" s="31" t="s">
        <v>646</v>
      </c>
      <c r="BA251" s="10" t="s">
        <v>60</v>
      </c>
      <c r="BC251" s="30">
        <f>AW251+AX251</f>
        <v>0</v>
      </c>
      <c r="BD251" s="30">
        <f>G251/(100-BE251)*100</f>
        <v>0</v>
      </c>
      <c r="BE251" s="30">
        <v>0</v>
      </c>
      <c r="BF251" s="30">
        <f>251</f>
        <v>251</v>
      </c>
      <c r="BH251" s="30">
        <f>F251*AO251</f>
        <v>0</v>
      </c>
      <c r="BI251" s="30">
        <f>F251*AP251</f>
        <v>0</v>
      </c>
      <c r="BJ251" s="30">
        <f>F251*G251</f>
        <v>0</v>
      </c>
      <c r="BK251" s="30"/>
      <c r="BL251" s="30">
        <v>775</v>
      </c>
      <c r="BW251" s="30">
        <v>12</v>
      </c>
      <c r="BX251" s="4" t="s">
        <v>701</v>
      </c>
    </row>
    <row r="252" spans="1:76" ht="13.5" customHeight="1" x14ac:dyDescent="0.25">
      <c r="A252" s="37"/>
      <c r="B252" s="38" t="s">
        <v>84</v>
      </c>
      <c r="C252" s="152" t="s">
        <v>703</v>
      </c>
      <c r="D252" s="153"/>
      <c r="E252" s="153"/>
      <c r="F252" s="153"/>
      <c r="G252" s="154"/>
      <c r="H252" s="153"/>
      <c r="I252" s="153"/>
      <c r="J252" s="153"/>
      <c r="K252" s="155"/>
    </row>
    <row r="253" spans="1:76" x14ac:dyDescent="0.25">
      <c r="A253" s="25" t="s">
        <v>704</v>
      </c>
      <c r="B253" s="26" t="s">
        <v>705</v>
      </c>
      <c r="C253" s="150" t="s">
        <v>706</v>
      </c>
      <c r="D253" s="151"/>
      <c r="E253" s="26" t="s">
        <v>64</v>
      </c>
      <c r="F253" s="27">
        <v>6.44</v>
      </c>
      <c r="G253" s="28">
        <v>0</v>
      </c>
      <c r="H253" s="27">
        <f>F253*AO253</f>
        <v>0</v>
      </c>
      <c r="I253" s="27">
        <f>F253*AP253</f>
        <v>0</v>
      </c>
      <c r="J253" s="27">
        <f>F253*G253</f>
        <v>0</v>
      </c>
      <c r="K253" s="29" t="s">
        <v>57</v>
      </c>
      <c r="Z253" s="30">
        <f>IF(AQ253="5",BJ253,0)</f>
        <v>0</v>
      </c>
      <c r="AB253" s="30">
        <f>IF(AQ253="1",BH253,0)</f>
        <v>0</v>
      </c>
      <c r="AC253" s="30">
        <f>IF(AQ253="1",BI253,0)</f>
        <v>0</v>
      </c>
      <c r="AD253" s="30">
        <f>IF(AQ253="7",BH253,0)</f>
        <v>0</v>
      </c>
      <c r="AE253" s="30">
        <f>IF(AQ253="7",BI253,0)</f>
        <v>0</v>
      </c>
      <c r="AF253" s="30">
        <f>IF(AQ253="2",BH253,0)</f>
        <v>0</v>
      </c>
      <c r="AG253" s="30">
        <f>IF(AQ253="2",BI253,0)</f>
        <v>0</v>
      </c>
      <c r="AH253" s="30">
        <f>IF(AQ253="0",BJ253,0)</f>
        <v>0</v>
      </c>
      <c r="AI253" s="10" t="s">
        <v>50</v>
      </c>
      <c r="AJ253" s="30">
        <f>IF(AN253=0,J253,0)</f>
        <v>0</v>
      </c>
      <c r="AK253" s="30">
        <f>IF(AN253=12,J253,0)</f>
        <v>0</v>
      </c>
      <c r="AL253" s="30">
        <f>IF(AN253=21,J253,0)</f>
        <v>0</v>
      </c>
      <c r="AN253" s="30">
        <v>12</v>
      </c>
      <c r="AO253" s="30">
        <f>G253*0</f>
        <v>0</v>
      </c>
      <c r="AP253" s="30">
        <f>G253*(1-0)</f>
        <v>0</v>
      </c>
      <c r="AQ253" s="31" t="s">
        <v>77</v>
      </c>
      <c r="AV253" s="30">
        <f>AW253+AX253</f>
        <v>0</v>
      </c>
      <c r="AW253" s="30">
        <f>F253*AO253</f>
        <v>0</v>
      </c>
      <c r="AX253" s="30">
        <f>F253*AP253</f>
        <v>0</v>
      </c>
      <c r="AY253" s="31" t="s">
        <v>702</v>
      </c>
      <c r="AZ253" s="31" t="s">
        <v>646</v>
      </c>
      <c r="BA253" s="10" t="s">
        <v>60</v>
      </c>
      <c r="BC253" s="30">
        <f>AW253+AX253</f>
        <v>0</v>
      </c>
      <c r="BD253" s="30">
        <f>G253/(100-BE253)*100</f>
        <v>0</v>
      </c>
      <c r="BE253" s="30">
        <v>0</v>
      </c>
      <c r="BF253" s="30">
        <f>253</f>
        <v>253</v>
      </c>
      <c r="BH253" s="30">
        <f>F253*AO253</f>
        <v>0</v>
      </c>
      <c r="BI253" s="30">
        <f>F253*AP253</f>
        <v>0</v>
      </c>
      <c r="BJ253" s="30">
        <f>F253*G253</f>
        <v>0</v>
      </c>
      <c r="BK253" s="30"/>
      <c r="BL253" s="30">
        <v>775</v>
      </c>
      <c r="BW253" s="30">
        <v>12</v>
      </c>
      <c r="BX253" s="4" t="s">
        <v>706</v>
      </c>
    </row>
    <row r="254" spans="1:76" ht="13.5" customHeight="1" x14ac:dyDescent="0.25">
      <c r="A254" s="37"/>
      <c r="B254" s="38" t="s">
        <v>84</v>
      </c>
      <c r="C254" s="152" t="s">
        <v>707</v>
      </c>
      <c r="D254" s="153"/>
      <c r="E254" s="153"/>
      <c r="F254" s="153"/>
      <c r="G254" s="154"/>
      <c r="H254" s="153"/>
      <c r="I254" s="153"/>
      <c r="J254" s="153"/>
      <c r="K254" s="155"/>
    </row>
    <row r="255" spans="1:76" x14ac:dyDescent="0.25">
      <c r="A255" s="25" t="s">
        <v>708</v>
      </c>
      <c r="B255" s="26" t="s">
        <v>709</v>
      </c>
      <c r="C255" s="150" t="s">
        <v>710</v>
      </c>
      <c r="D255" s="151"/>
      <c r="E255" s="26" t="s">
        <v>64</v>
      </c>
      <c r="F255" s="27">
        <v>6.44</v>
      </c>
      <c r="G255" s="28">
        <v>0</v>
      </c>
      <c r="H255" s="27">
        <f>F255*AO255</f>
        <v>0</v>
      </c>
      <c r="I255" s="27">
        <f>F255*AP255</f>
        <v>0</v>
      </c>
      <c r="J255" s="27">
        <f>F255*G255</f>
        <v>0</v>
      </c>
      <c r="K255" s="29" t="s">
        <v>57</v>
      </c>
      <c r="Z255" s="30">
        <f>IF(AQ255="5",BJ255,0)</f>
        <v>0</v>
      </c>
      <c r="AB255" s="30">
        <f>IF(AQ255="1",BH255,0)</f>
        <v>0</v>
      </c>
      <c r="AC255" s="30">
        <f>IF(AQ255="1",BI255,0)</f>
        <v>0</v>
      </c>
      <c r="AD255" s="30">
        <f>IF(AQ255="7",BH255,0)</f>
        <v>0</v>
      </c>
      <c r="AE255" s="30">
        <f>IF(AQ255="7",BI255,0)</f>
        <v>0</v>
      </c>
      <c r="AF255" s="30">
        <f>IF(AQ255="2",BH255,0)</f>
        <v>0</v>
      </c>
      <c r="AG255" s="30">
        <f>IF(AQ255="2",BI255,0)</f>
        <v>0</v>
      </c>
      <c r="AH255" s="30">
        <f>IF(AQ255="0",BJ255,0)</f>
        <v>0</v>
      </c>
      <c r="AI255" s="10" t="s">
        <v>50</v>
      </c>
      <c r="AJ255" s="30">
        <f>IF(AN255=0,J255,0)</f>
        <v>0</v>
      </c>
      <c r="AK255" s="30">
        <f>IF(AN255=12,J255,0)</f>
        <v>0</v>
      </c>
      <c r="AL255" s="30">
        <f>IF(AN255=21,J255,0)</f>
        <v>0</v>
      </c>
      <c r="AN255" s="30">
        <v>12</v>
      </c>
      <c r="AO255" s="30">
        <f>G255*0</f>
        <v>0</v>
      </c>
      <c r="AP255" s="30">
        <f>G255*(1-0)</f>
        <v>0</v>
      </c>
      <c r="AQ255" s="31" t="s">
        <v>77</v>
      </c>
      <c r="AV255" s="30">
        <f>AW255+AX255</f>
        <v>0</v>
      </c>
      <c r="AW255" s="30">
        <f>F255*AO255</f>
        <v>0</v>
      </c>
      <c r="AX255" s="30">
        <f>F255*AP255</f>
        <v>0</v>
      </c>
      <c r="AY255" s="31" t="s">
        <v>702</v>
      </c>
      <c r="AZ255" s="31" t="s">
        <v>646</v>
      </c>
      <c r="BA255" s="10" t="s">
        <v>60</v>
      </c>
      <c r="BC255" s="30">
        <f>AW255+AX255</f>
        <v>0</v>
      </c>
      <c r="BD255" s="30">
        <f>G255/(100-BE255)*100</f>
        <v>0</v>
      </c>
      <c r="BE255" s="30">
        <v>0</v>
      </c>
      <c r="BF255" s="30">
        <f>255</f>
        <v>255</v>
      </c>
      <c r="BH255" s="30">
        <f>F255*AO255</f>
        <v>0</v>
      </c>
      <c r="BI255" s="30">
        <f>F255*AP255</f>
        <v>0</v>
      </c>
      <c r="BJ255" s="30">
        <f>F255*G255</f>
        <v>0</v>
      </c>
      <c r="BK255" s="30"/>
      <c r="BL255" s="30">
        <v>775</v>
      </c>
      <c r="BW255" s="30">
        <v>12</v>
      </c>
      <c r="BX255" s="4" t="s">
        <v>710</v>
      </c>
    </row>
    <row r="256" spans="1:76" x14ac:dyDescent="0.25">
      <c r="A256" s="32" t="s">
        <v>711</v>
      </c>
      <c r="B256" s="33" t="s">
        <v>111</v>
      </c>
      <c r="C256" s="141" t="s">
        <v>112</v>
      </c>
      <c r="D256" s="142"/>
      <c r="E256" s="33" t="s">
        <v>109</v>
      </c>
      <c r="F256" s="34">
        <v>1.2284200000000001</v>
      </c>
      <c r="G256" s="35">
        <v>0</v>
      </c>
      <c r="H256" s="34">
        <f>F256*AO256</f>
        <v>0</v>
      </c>
      <c r="I256" s="34">
        <f>F256*AP256</f>
        <v>0</v>
      </c>
      <c r="J256" s="34">
        <f>F256*G256</f>
        <v>0</v>
      </c>
      <c r="K256" s="36" t="s">
        <v>57</v>
      </c>
      <c r="Z256" s="30">
        <f>IF(AQ256="5",BJ256,0)</f>
        <v>0</v>
      </c>
      <c r="AB256" s="30">
        <f>IF(AQ256="1",BH256,0)</f>
        <v>0</v>
      </c>
      <c r="AC256" s="30">
        <f>IF(AQ256="1",BI256,0)</f>
        <v>0</v>
      </c>
      <c r="AD256" s="30">
        <f>IF(AQ256="7",BH256,0)</f>
        <v>0</v>
      </c>
      <c r="AE256" s="30">
        <f>IF(AQ256="7",BI256,0)</f>
        <v>0</v>
      </c>
      <c r="AF256" s="30">
        <f>IF(AQ256="2",BH256,0)</f>
        <v>0</v>
      </c>
      <c r="AG256" s="30">
        <f>IF(AQ256="2",BI256,0)</f>
        <v>0</v>
      </c>
      <c r="AH256" s="30">
        <f>IF(AQ256="0",BJ256,0)</f>
        <v>0</v>
      </c>
      <c r="AI256" s="10" t="s">
        <v>50</v>
      </c>
      <c r="AJ256" s="30">
        <f>IF(AN256=0,J256,0)</f>
        <v>0</v>
      </c>
      <c r="AK256" s="30">
        <f>IF(AN256=12,J256,0)</f>
        <v>0</v>
      </c>
      <c r="AL256" s="30">
        <f>IF(AN256=21,J256,0)</f>
        <v>0</v>
      </c>
      <c r="AN256" s="30">
        <v>12</v>
      </c>
      <c r="AO256" s="30">
        <f>G256*0.010795514</f>
        <v>0</v>
      </c>
      <c r="AP256" s="30">
        <f>G256*(1-0.010795514)</f>
        <v>0</v>
      </c>
      <c r="AQ256" s="31" t="s">
        <v>71</v>
      </c>
      <c r="AV256" s="30">
        <f>AW256+AX256</f>
        <v>0</v>
      </c>
      <c r="AW256" s="30">
        <f>F256*AO256</f>
        <v>0</v>
      </c>
      <c r="AX256" s="30">
        <f>F256*AP256</f>
        <v>0</v>
      </c>
      <c r="AY256" s="31" t="s">
        <v>702</v>
      </c>
      <c r="AZ256" s="31" t="s">
        <v>646</v>
      </c>
      <c r="BA256" s="10" t="s">
        <v>60</v>
      </c>
      <c r="BC256" s="30">
        <f>AW256+AX256</f>
        <v>0</v>
      </c>
      <c r="BD256" s="30">
        <f>G256/(100-BE256)*100</f>
        <v>0</v>
      </c>
      <c r="BE256" s="30">
        <v>0</v>
      </c>
      <c r="BF256" s="30">
        <f>256</f>
        <v>256</v>
      </c>
      <c r="BH256" s="30">
        <f>F256*AO256</f>
        <v>0</v>
      </c>
      <c r="BI256" s="30">
        <f>F256*AP256</f>
        <v>0</v>
      </c>
      <c r="BJ256" s="30">
        <f>F256*G256</f>
        <v>0</v>
      </c>
      <c r="BK256" s="30"/>
      <c r="BL256" s="30">
        <v>775</v>
      </c>
      <c r="BW256" s="30">
        <v>12</v>
      </c>
      <c r="BX256" s="4" t="s">
        <v>112</v>
      </c>
    </row>
    <row r="257" spans="1:76" x14ac:dyDescent="0.25">
      <c r="A257" s="32" t="s">
        <v>712</v>
      </c>
      <c r="B257" s="33" t="s">
        <v>713</v>
      </c>
      <c r="C257" s="141" t="s">
        <v>714</v>
      </c>
      <c r="D257" s="142"/>
      <c r="E257" s="33" t="s">
        <v>109</v>
      </c>
      <c r="F257" s="34">
        <v>8.2739999999999994E-2</v>
      </c>
      <c r="G257" s="35">
        <v>0</v>
      </c>
      <c r="H257" s="34">
        <f>F257*AO257</f>
        <v>0</v>
      </c>
      <c r="I257" s="34">
        <f>F257*AP257</f>
        <v>0</v>
      </c>
      <c r="J257" s="34">
        <f>F257*G257</f>
        <v>0</v>
      </c>
      <c r="K257" s="36" t="s">
        <v>57</v>
      </c>
      <c r="Z257" s="30">
        <f>IF(AQ257="5",BJ257,0)</f>
        <v>0</v>
      </c>
      <c r="AB257" s="30">
        <f>IF(AQ257="1",BH257,0)</f>
        <v>0</v>
      </c>
      <c r="AC257" s="30">
        <f>IF(AQ257="1",BI257,0)</f>
        <v>0</v>
      </c>
      <c r="AD257" s="30">
        <f>IF(AQ257="7",BH257,0)</f>
        <v>0</v>
      </c>
      <c r="AE257" s="30">
        <f>IF(AQ257="7",BI257,0)</f>
        <v>0</v>
      </c>
      <c r="AF257" s="30">
        <f>IF(AQ257="2",BH257,0)</f>
        <v>0</v>
      </c>
      <c r="AG257" s="30">
        <f>IF(AQ257="2",BI257,0)</f>
        <v>0</v>
      </c>
      <c r="AH257" s="30">
        <f>IF(AQ257="0",BJ257,0)</f>
        <v>0</v>
      </c>
      <c r="AI257" s="10" t="s">
        <v>50</v>
      </c>
      <c r="AJ257" s="30">
        <f>IF(AN257=0,J257,0)</f>
        <v>0</v>
      </c>
      <c r="AK257" s="30">
        <f>IF(AN257=12,J257,0)</f>
        <v>0</v>
      </c>
      <c r="AL257" s="30">
        <f>IF(AN257=21,J257,0)</f>
        <v>0</v>
      </c>
      <c r="AN257" s="30">
        <v>12</v>
      </c>
      <c r="AO257" s="30">
        <f>G257*0</f>
        <v>0</v>
      </c>
      <c r="AP257" s="30">
        <f>G257*(1-0)</f>
        <v>0</v>
      </c>
      <c r="AQ257" s="31" t="s">
        <v>71</v>
      </c>
      <c r="AV257" s="30">
        <f>AW257+AX257</f>
        <v>0</v>
      </c>
      <c r="AW257" s="30">
        <f>F257*AO257</f>
        <v>0</v>
      </c>
      <c r="AX257" s="30">
        <f>F257*AP257</f>
        <v>0</v>
      </c>
      <c r="AY257" s="31" t="s">
        <v>702</v>
      </c>
      <c r="AZ257" s="31" t="s">
        <v>646</v>
      </c>
      <c r="BA257" s="10" t="s">
        <v>60</v>
      </c>
      <c r="BC257" s="30">
        <f>AW257+AX257</f>
        <v>0</v>
      </c>
      <c r="BD257" s="30">
        <f>G257/(100-BE257)*100</f>
        <v>0</v>
      </c>
      <c r="BE257" s="30">
        <v>0</v>
      </c>
      <c r="BF257" s="30">
        <f>257</f>
        <v>257</v>
      </c>
      <c r="BH257" s="30">
        <f>F257*AO257</f>
        <v>0</v>
      </c>
      <c r="BI257" s="30">
        <f>F257*AP257</f>
        <v>0</v>
      </c>
      <c r="BJ257" s="30">
        <f>F257*G257</f>
        <v>0</v>
      </c>
      <c r="BK257" s="30"/>
      <c r="BL257" s="30">
        <v>775</v>
      </c>
      <c r="BW257" s="30">
        <v>12</v>
      </c>
      <c r="BX257" s="4" t="s">
        <v>714</v>
      </c>
    </row>
    <row r="258" spans="1:76" x14ac:dyDescent="0.25">
      <c r="A258" s="32" t="s">
        <v>715</v>
      </c>
      <c r="B258" s="33" t="s">
        <v>716</v>
      </c>
      <c r="C258" s="141" t="s">
        <v>717</v>
      </c>
      <c r="D258" s="142"/>
      <c r="E258" s="33" t="s">
        <v>109</v>
      </c>
      <c r="F258" s="34">
        <v>1.0143</v>
      </c>
      <c r="G258" s="35">
        <v>0</v>
      </c>
      <c r="H258" s="34">
        <f>F258*AO258</f>
        <v>0</v>
      </c>
      <c r="I258" s="34">
        <f>F258*AP258</f>
        <v>0</v>
      </c>
      <c r="J258" s="34">
        <f>F258*G258</f>
        <v>0</v>
      </c>
      <c r="K258" s="36" t="s">
        <v>57</v>
      </c>
      <c r="Z258" s="30">
        <f>IF(AQ258="5",BJ258,0)</f>
        <v>0</v>
      </c>
      <c r="AB258" s="30">
        <f>IF(AQ258="1",BH258,0)</f>
        <v>0</v>
      </c>
      <c r="AC258" s="30">
        <f>IF(AQ258="1",BI258,0)</f>
        <v>0</v>
      </c>
      <c r="AD258" s="30">
        <f>IF(AQ258="7",BH258,0)</f>
        <v>0</v>
      </c>
      <c r="AE258" s="30">
        <f>IF(AQ258="7",BI258,0)</f>
        <v>0</v>
      </c>
      <c r="AF258" s="30">
        <f>IF(AQ258="2",BH258,0)</f>
        <v>0</v>
      </c>
      <c r="AG258" s="30">
        <f>IF(AQ258="2",BI258,0)</f>
        <v>0</v>
      </c>
      <c r="AH258" s="30">
        <f>IF(AQ258="0",BJ258,0)</f>
        <v>0</v>
      </c>
      <c r="AI258" s="10" t="s">
        <v>50</v>
      </c>
      <c r="AJ258" s="30">
        <f>IF(AN258=0,J258,0)</f>
        <v>0</v>
      </c>
      <c r="AK258" s="30">
        <f>IF(AN258=12,J258,0)</f>
        <v>0</v>
      </c>
      <c r="AL258" s="30">
        <f>IF(AN258=21,J258,0)</f>
        <v>0</v>
      </c>
      <c r="AN258" s="30">
        <v>12</v>
      </c>
      <c r="AO258" s="30">
        <f>G258*0</f>
        <v>0</v>
      </c>
      <c r="AP258" s="30">
        <f>G258*(1-0)</f>
        <v>0</v>
      </c>
      <c r="AQ258" s="31" t="s">
        <v>71</v>
      </c>
      <c r="AV258" s="30">
        <f>AW258+AX258</f>
        <v>0</v>
      </c>
      <c r="AW258" s="30">
        <f>F258*AO258</f>
        <v>0</v>
      </c>
      <c r="AX258" s="30">
        <f>F258*AP258</f>
        <v>0</v>
      </c>
      <c r="AY258" s="31" t="s">
        <v>702</v>
      </c>
      <c r="AZ258" s="31" t="s">
        <v>646</v>
      </c>
      <c r="BA258" s="10" t="s">
        <v>60</v>
      </c>
      <c r="BC258" s="30">
        <f>AW258+AX258</f>
        <v>0</v>
      </c>
      <c r="BD258" s="30">
        <f>G258/(100-BE258)*100</f>
        <v>0</v>
      </c>
      <c r="BE258" s="30">
        <v>0</v>
      </c>
      <c r="BF258" s="30">
        <f>258</f>
        <v>258</v>
      </c>
      <c r="BH258" s="30">
        <f>F258*AO258</f>
        <v>0</v>
      </c>
      <c r="BI258" s="30">
        <f>F258*AP258</f>
        <v>0</v>
      </c>
      <c r="BJ258" s="30">
        <f>F258*G258</f>
        <v>0</v>
      </c>
      <c r="BK258" s="30"/>
      <c r="BL258" s="30">
        <v>775</v>
      </c>
      <c r="BW258" s="30">
        <v>12</v>
      </c>
      <c r="BX258" s="4" t="s">
        <v>717</v>
      </c>
    </row>
    <row r="259" spans="1:76" x14ac:dyDescent="0.25">
      <c r="A259" s="32" t="s">
        <v>718</v>
      </c>
      <c r="B259" s="33" t="s">
        <v>719</v>
      </c>
      <c r="C259" s="141" t="s">
        <v>720</v>
      </c>
      <c r="D259" s="142"/>
      <c r="E259" s="33" t="s">
        <v>64</v>
      </c>
      <c r="F259" s="34">
        <v>9.56</v>
      </c>
      <c r="G259" s="35">
        <v>0</v>
      </c>
      <c r="H259" s="34">
        <f>F259*AO259</f>
        <v>0</v>
      </c>
      <c r="I259" s="34">
        <f>F259*AP259</f>
        <v>0</v>
      </c>
      <c r="J259" s="34">
        <f>F259*G259</f>
        <v>0</v>
      </c>
      <c r="K259" s="36" t="s">
        <v>57</v>
      </c>
      <c r="Z259" s="30">
        <f>IF(AQ259="5",BJ259,0)</f>
        <v>0</v>
      </c>
      <c r="AB259" s="30">
        <f>IF(AQ259="1",BH259,0)</f>
        <v>0</v>
      </c>
      <c r="AC259" s="30">
        <f>IF(AQ259="1",BI259,0)</f>
        <v>0</v>
      </c>
      <c r="AD259" s="30">
        <f>IF(AQ259="7",BH259,0)</f>
        <v>0</v>
      </c>
      <c r="AE259" s="30">
        <f>IF(AQ259="7",BI259,0)</f>
        <v>0</v>
      </c>
      <c r="AF259" s="30">
        <f>IF(AQ259="2",BH259,0)</f>
        <v>0</v>
      </c>
      <c r="AG259" s="30">
        <f>IF(AQ259="2",BI259,0)</f>
        <v>0</v>
      </c>
      <c r="AH259" s="30">
        <f>IF(AQ259="0",BJ259,0)</f>
        <v>0</v>
      </c>
      <c r="AI259" s="10" t="s">
        <v>50</v>
      </c>
      <c r="AJ259" s="30">
        <f>IF(AN259=0,J259,0)</f>
        <v>0</v>
      </c>
      <c r="AK259" s="30">
        <f>IF(AN259=12,J259,0)</f>
        <v>0</v>
      </c>
      <c r="AL259" s="30">
        <f>IF(AN259=21,J259,0)</f>
        <v>0</v>
      </c>
      <c r="AN259" s="30">
        <v>12</v>
      </c>
      <c r="AO259" s="30">
        <f>G259*0.79517757</f>
        <v>0</v>
      </c>
      <c r="AP259" s="30">
        <f>G259*(1-0.79517757)</f>
        <v>0</v>
      </c>
      <c r="AQ259" s="31" t="s">
        <v>77</v>
      </c>
      <c r="AV259" s="30">
        <f>AW259+AX259</f>
        <v>0</v>
      </c>
      <c r="AW259" s="30">
        <f>F259*AO259</f>
        <v>0</v>
      </c>
      <c r="AX259" s="30">
        <f>F259*AP259</f>
        <v>0</v>
      </c>
      <c r="AY259" s="31" t="s">
        <v>702</v>
      </c>
      <c r="AZ259" s="31" t="s">
        <v>646</v>
      </c>
      <c r="BA259" s="10" t="s">
        <v>60</v>
      </c>
      <c r="BC259" s="30">
        <f>AW259+AX259</f>
        <v>0</v>
      </c>
      <c r="BD259" s="30">
        <f>G259/(100-BE259)*100</f>
        <v>0</v>
      </c>
      <c r="BE259" s="30">
        <v>0</v>
      </c>
      <c r="BF259" s="30">
        <f>259</f>
        <v>259</v>
      </c>
      <c r="BH259" s="30">
        <f>F259*AO259</f>
        <v>0</v>
      </c>
      <c r="BI259" s="30">
        <f>F259*AP259</f>
        <v>0</v>
      </c>
      <c r="BJ259" s="30">
        <f>F259*G259</f>
        <v>0</v>
      </c>
      <c r="BK259" s="30"/>
      <c r="BL259" s="30">
        <v>775</v>
      </c>
      <c r="BW259" s="30">
        <v>12</v>
      </c>
      <c r="BX259" s="4" t="s">
        <v>720</v>
      </c>
    </row>
    <row r="260" spans="1:76" ht="13.5" customHeight="1" x14ac:dyDescent="0.25">
      <c r="A260" s="37"/>
      <c r="B260" s="38" t="s">
        <v>84</v>
      </c>
      <c r="C260" s="152" t="s">
        <v>721</v>
      </c>
      <c r="D260" s="153"/>
      <c r="E260" s="153"/>
      <c r="F260" s="153"/>
      <c r="G260" s="154"/>
      <c r="H260" s="153"/>
      <c r="I260" s="153"/>
      <c r="J260" s="153"/>
      <c r="K260" s="155"/>
    </row>
    <row r="261" spans="1:76" x14ac:dyDescent="0.25">
      <c r="A261" s="25" t="s">
        <v>722</v>
      </c>
      <c r="B261" s="26" t="s">
        <v>723</v>
      </c>
      <c r="C261" s="150" t="s">
        <v>724</v>
      </c>
      <c r="D261" s="151"/>
      <c r="E261" s="26" t="s">
        <v>99</v>
      </c>
      <c r="F261" s="27">
        <v>13.52</v>
      </c>
      <c r="G261" s="28">
        <v>0</v>
      </c>
      <c r="H261" s="27">
        <f t="shared" ref="H261:H267" si="308">F261*AO261</f>
        <v>0</v>
      </c>
      <c r="I261" s="27">
        <f t="shared" ref="I261:I267" si="309">F261*AP261</f>
        <v>0</v>
      </c>
      <c r="J261" s="27">
        <f t="shared" ref="J261:J267" si="310">F261*G261</f>
        <v>0</v>
      </c>
      <c r="K261" s="29" t="s">
        <v>116</v>
      </c>
      <c r="Z261" s="30">
        <f t="shared" ref="Z261:Z267" si="311">IF(AQ261="5",BJ261,0)</f>
        <v>0</v>
      </c>
      <c r="AB261" s="30">
        <f t="shared" ref="AB261:AB267" si="312">IF(AQ261="1",BH261,0)</f>
        <v>0</v>
      </c>
      <c r="AC261" s="30">
        <f t="shared" ref="AC261:AC267" si="313">IF(AQ261="1",BI261,0)</f>
        <v>0</v>
      </c>
      <c r="AD261" s="30">
        <f t="shared" ref="AD261:AD267" si="314">IF(AQ261="7",BH261,0)</f>
        <v>0</v>
      </c>
      <c r="AE261" s="30">
        <f t="shared" ref="AE261:AE267" si="315">IF(AQ261="7",BI261,0)</f>
        <v>0</v>
      </c>
      <c r="AF261" s="30">
        <f t="shared" ref="AF261:AF267" si="316">IF(AQ261="2",BH261,0)</f>
        <v>0</v>
      </c>
      <c r="AG261" s="30">
        <f t="shared" ref="AG261:AG267" si="317">IF(AQ261="2",BI261,0)</f>
        <v>0</v>
      </c>
      <c r="AH261" s="30">
        <f t="shared" ref="AH261:AH267" si="318">IF(AQ261="0",BJ261,0)</f>
        <v>0</v>
      </c>
      <c r="AI261" s="10" t="s">
        <v>50</v>
      </c>
      <c r="AJ261" s="30">
        <f t="shared" ref="AJ261:AJ267" si="319">IF(AN261=0,J261,0)</f>
        <v>0</v>
      </c>
      <c r="AK261" s="30">
        <f t="shared" ref="AK261:AK267" si="320">IF(AN261=12,J261,0)</f>
        <v>0</v>
      </c>
      <c r="AL261" s="30">
        <f t="shared" ref="AL261:AL267" si="321">IF(AN261=21,J261,0)</f>
        <v>0</v>
      </c>
      <c r="AN261" s="30">
        <v>12</v>
      </c>
      <c r="AO261" s="30">
        <f>G261*0.006243386</f>
        <v>0</v>
      </c>
      <c r="AP261" s="30">
        <f>G261*(1-0.006243386)</f>
        <v>0</v>
      </c>
      <c r="AQ261" s="31" t="s">
        <v>77</v>
      </c>
      <c r="AV261" s="30">
        <f t="shared" ref="AV261:AV267" si="322">AW261+AX261</f>
        <v>0</v>
      </c>
      <c r="AW261" s="30">
        <f t="shared" ref="AW261:AW267" si="323">F261*AO261</f>
        <v>0</v>
      </c>
      <c r="AX261" s="30">
        <f t="shared" ref="AX261:AX267" si="324">F261*AP261</f>
        <v>0</v>
      </c>
      <c r="AY261" s="31" t="s">
        <v>702</v>
      </c>
      <c r="AZ261" s="31" t="s">
        <v>646</v>
      </c>
      <c r="BA261" s="10" t="s">
        <v>60</v>
      </c>
      <c r="BC261" s="30">
        <f t="shared" ref="BC261:BC267" si="325">AW261+AX261</f>
        <v>0</v>
      </c>
      <c r="BD261" s="30">
        <f t="shared" ref="BD261:BD267" si="326">G261/(100-BE261)*100</f>
        <v>0</v>
      </c>
      <c r="BE261" s="30">
        <v>0</v>
      </c>
      <c r="BF261" s="30">
        <f>261</f>
        <v>261</v>
      </c>
      <c r="BH261" s="30">
        <f t="shared" ref="BH261:BH267" si="327">F261*AO261</f>
        <v>0</v>
      </c>
      <c r="BI261" s="30">
        <f t="shared" ref="BI261:BI267" si="328">F261*AP261</f>
        <v>0</v>
      </c>
      <c r="BJ261" s="30">
        <f t="shared" ref="BJ261:BJ267" si="329">F261*G261</f>
        <v>0</v>
      </c>
      <c r="BK261" s="30"/>
      <c r="BL261" s="30">
        <v>775</v>
      </c>
      <c r="BW261" s="30">
        <v>12</v>
      </c>
      <c r="BX261" s="4" t="s">
        <v>724</v>
      </c>
    </row>
    <row r="262" spans="1:76" x14ac:dyDescent="0.25">
      <c r="A262" s="32" t="s">
        <v>725</v>
      </c>
      <c r="B262" s="33" t="s">
        <v>726</v>
      </c>
      <c r="C262" s="141" t="s">
        <v>727</v>
      </c>
      <c r="D262" s="142"/>
      <c r="E262" s="33" t="s">
        <v>99</v>
      </c>
      <c r="F262" s="34">
        <v>14.872</v>
      </c>
      <c r="G262" s="35">
        <v>0</v>
      </c>
      <c r="H262" s="34">
        <f t="shared" si="308"/>
        <v>0</v>
      </c>
      <c r="I262" s="34">
        <f t="shared" si="309"/>
        <v>0</v>
      </c>
      <c r="J262" s="34">
        <f t="shared" si="310"/>
        <v>0</v>
      </c>
      <c r="K262" s="36" t="s">
        <v>57</v>
      </c>
      <c r="Z262" s="30">
        <f t="shared" si="311"/>
        <v>0</v>
      </c>
      <c r="AB262" s="30">
        <f t="shared" si="312"/>
        <v>0</v>
      </c>
      <c r="AC262" s="30">
        <f t="shared" si="313"/>
        <v>0</v>
      </c>
      <c r="AD262" s="30">
        <f t="shared" si="314"/>
        <v>0</v>
      </c>
      <c r="AE262" s="30">
        <f t="shared" si="315"/>
        <v>0</v>
      </c>
      <c r="AF262" s="30">
        <f t="shared" si="316"/>
        <v>0</v>
      </c>
      <c r="AG262" s="30">
        <f t="shared" si="317"/>
        <v>0</v>
      </c>
      <c r="AH262" s="30">
        <f t="shared" si="318"/>
        <v>0</v>
      </c>
      <c r="AI262" s="10" t="s">
        <v>50</v>
      </c>
      <c r="AJ262" s="30">
        <f t="shared" si="319"/>
        <v>0</v>
      </c>
      <c r="AK262" s="30">
        <f t="shared" si="320"/>
        <v>0</v>
      </c>
      <c r="AL262" s="30">
        <f t="shared" si="321"/>
        <v>0</v>
      </c>
      <c r="AN262" s="30">
        <v>12</v>
      </c>
      <c r="AO262" s="30">
        <f>G262*1</f>
        <v>0</v>
      </c>
      <c r="AP262" s="30">
        <f>G262*(1-1)</f>
        <v>0</v>
      </c>
      <c r="AQ262" s="31" t="s">
        <v>77</v>
      </c>
      <c r="AV262" s="30">
        <f t="shared" si="322"/>
        <v>0</v>
      </c>
      <c r="AW262" s="30">
        <f t="shared" si="323"/>
        <v>0</v>
      </c>
      <c r="AX262" s="30">
        <f t="shared" si="324"/>
        <v>0</v>
      </c>
      <c r="AY262" s="31" t="s">
        <v>702</v>
      </c>
      <c r="AZ262" s="31" t="s">
        <v>646</v>
      </c>
      <c r="BA262" s="10" t="s">
        <v>60</v>
      </c>
      <c r="BC262" s="30">
        <f t="shared" si="325"/>
        <v>0</v>
      </c>
      <c r="BD262" s="30">
        <f t="shared" si="326"/>
        <v>0</v>
      </c>
      <c r="BE262" s="30">
        <v>0</v>
      </c>
      <c r="BF262" s="30">
        <f>262</f>
        <v>262</v>
      </c>
      <c r="BH262" s="30">
        <f t="shared" si="327"/>
        <v>0</v>
      </c>
      <c r="BI262" s="30">
        <f t="shared" si="328"/>
        <v>0</v>
      </c>
      <c r="BJ262" s="30">
        <f t="shared" si="329"/>
        <v>0</v>
      </c>
      <c r="BK262" s="30"/>
      <c r="BL262" s="30">
        <v>775</v>
      </c>
      <c r="BW262" s="30">
        <v>12</v>
      </c>
      <c r="BX262" s="4" t="s">
        <v>727</v>
      </c>
    </row>
    <row r="263" spans="1:76" x14ac:dyDescent="0.25">
      <c r="A263" s="32" t="s">
        <v>728</v>
      </c>
      <c r="B263" s="33" t="s">
        <v>729</v>
      </c>
      <c r="C263" s="141" t="s">
        <v>730</v>
      </c>
      <c r="D263" s="142"/>
      <c r="E263" s="33" t="s">
        <v>56</v>
      </c>
      <c r="F263" s="34">
        <v>1</v>
      </c>
      <c r="G263" s="35">
        <v>0</v>
      </c>
      <c r="H263" s="34">
        <f t="shared" si="308"/>
        <v>0</v>
      </c>
      <c r="I263" s="34">
        <f t="shared" si="309"/>
        <v>0</v>
      </c>
      <c r="J263" s="34">
        <f t="shared" si="310"/>
        <v>0</v>
      </c>
      <c r="K263" s="36" t="s">
        <v>57</v>
      </c>
      <c r="Z263" s="30">
        <f t="shared" si="311"/>
        <v>0</v>
      </c>
      <c r="AB263" s="30">
        <f t="shared" si="312"/>
        <v>0</v>
      </c>
      <c r="AC263" s="30">
        <f t="shared" si="313"/>
        <v>0</v>
      </c>
      <c r="AD263" s="30">
        <f t="shared" si="314"/>
        <v>0</v>
      </c>
      <c r="AE263" s="30">
        <f t="shared" si="315"/>
        <v>0</v>
      </c>
      <c r="AF263" s="30">
        <f t="shared" si="316"/>
        <v>0</v>
      </c>
      <c r="AG263" s="30">
        <f t="shared" si="317"/>
        <v>0</v>
      </c>
      <c r="AH263" s="30">
        <f t="shared" si="318"/>
        <v>0</v>
      </c>
      <c r="AI263" s="10" t="s">
        <v>50</v>
      </c>
      <c r="AJ263" s="30">
        <f t="shared" si="319"/>
        <v>0</v>
      </c>
      <c r="AK263" s="30">
        <f t="shared" si="320"/>
        <v>0</v>
      </c>
      <c r="AL263" s="30">
        <f t="shared" si="321"/>
        <v>0</v>
      </c>
      <c r="AN263" s="30">
        <v>12</v>
      </c>
      <c r="AO263" s="30">
        <f>G263*0.669698734</f>
        <v>0</v>
      </c>
      <c r="AP263" s="30">
        <f>G263*(1-0.669698734)</f>
        <v>0</v>
      </c>
      <c r="AQ263" s="31" t="s">
        <v>77</v>
      </c>
      <c r="AV263" s="30">
        <f t="shared" si="322"/>
        <v>0</v>
      </c>
      <c r="AW263" s="30">
        <f t="shared" si="323"/>
        <v>0</v>
      </c>
      <c r="AX263" s="30">
        <f t="shared" si="324"/>
        <v>0</v>
      </c>
      <c r="AY263" s="31" t="s">
        <v>702</v>
      </c>
      <c r="AZ263" s="31" t="s">
        <v>646</v>
      </c>
      <c r="BA263" s="10" t="s">
        <v>60</v>
      </c>
      <c r="BC263" s="30">
        <f t="shared" si="325"/>
        <v>0</v>
      </c>
      <c r="BD263" s="30">
        <f t="shared" si="326"/>
        <v>0</v>
      </c>
      <c r="BE263" s="30">
        <v>0</v>
      </c>
      <c r="BF263" s="30">
        <f>263</f>
        <v>263</v>
      </c>
      <c r="BH263" s="30">
        <f t="shared" si="327"/>
        <v>0</v>
      </c>
      <c r="BI263" s="30">
        <f t="shared" si="328"/>
        <v>0</v>
      </c>
      <c r="BJ263" s="30">
        <f t="shared" si="329"/>
        <v>0</v>
      </c>
      <c r="BK263" s="30"/>
      <c r="BL263" s="30">
        <v>775</v>
      </c>
      <c r="BW263" s="30">
        <v>12</v>
      </c>
      <c r="BX263" s="4" t="s">
        <v>730</v>
      </c>
    </row>
    <row r="264" spans="1:76" x14ac:dyDescent="0.25">
      <c r="A264" s="32" t="s">
        <v>731</v>
      </c>
      <c r="B264" s="33" t="s">
        <v>732</v>
      </c>
      <c r="C264" s="141" t="s">
        <v>733</v>
      </c>
      <c r="D264" s="142"/>
      <c r="E264" s="33" t="s">
        <v>64</v>
      </c>
      <c r="F264" s="34">
        <v>70.61</v>
      </c>
      <c r="G264" s="35">
        <v>0</v>
      </c>
      <c r="H264" s="34">
        <f t="shared" si="308"/>
        <v>0</v>
      </c>
      <c r="I264" s="34">
        <f t="shared" si="309"/>
        <v>0</v>
      </c>
      <c r="J264" s="34">
        <f t="shared" si="310"/>
        <v>0</v>
      </c>
      <c r="K264" s="36" t="s">
        <v>57</v>
      </c>
      <c r="Z264" s="30">
        <f t="shared" si="311"/>
        <v>0</v>
      </c>
      <c r="AB264" s="30">
        <f t="shared" si="312"/>
        <v>0</v>
      </c>
      <c r="AC264" s="30">
        <f t="shared" si="313"/>
        <v>0</v>
      </c>
      <c r="AD264" s="30">
        <f t="shared" si="314"/>
        <v>0</v>
      </c>
      <c r="AE264" s="30">
        <f t="shared" si="315"/>
        <v>0</v>
      </c>
      <c r="AF264" s="30">
        <f t="shared" si="316"/>
        <v>0</v>
      </c>
      <c r="AG264" s="30">
        <f t="shared" si="317"/>
        <v>0</v>
      </c>
      <c r="AH264" s="30">
        <f t="shared" si="318"/>
        <v>0</v>
      </c>
      <c r="AI264" s="10" t="s">
        <v>50</v>
      </c>
      <c r="AJ264" s="30">
        <f t="shared" si="319"/>
        <v>0</v>
      </c>
      <c r="AK264" s="30">
        <f t="shared" si="320"/>
        <v>0</v>
      </c>
      <c r="AL264" s="30">
        <f t="shared" si="321"/>
        <v>0</v>
      </c>
      <c r="AN264" s="30">
        <v>12</v>
      </c>
      <c r="AO264" s="30">
        <f>G264*0.120342205</f>
        <v>0</v>
      </c>
      <c r="AP264" s="30">
        <f>G264*(1-0.120342205)</f>
        <v>0</v>
      </c>
      <c r="AQ264" s="31" t="s">
        <v>77</v>
      </c>
      <c r="AV264" s="30">
        <f t="shared" si="322"/>
        <v>0</v>
      </c>
      <c r="AW264" s="30">
        <f t="shared" si="323"/>
        <v>0</v>
      </c>
      <c r="AX264" s="30">
        <f t="shared" si="324"/>
        <v>0</v>
      </c>
      <c r="AY264" s="31" t="s">
        <v>702</v>
      </c>
      <c r="AZ264" s="31" t="s">
        <v>646</v>
      </c>
      <c r="BA264" s="10" t="s">
        <v>60</v>
      </c>
      <c r="BC264" s="30">
        <f t="shared" si="325"/>
        <v>0</v>
      </c>
      <c r="BD264" s="30">
        <f t="shared" si="326"/>
        <v>0</v>
      </c>
      <c r="BE264" s="30">
        <v>0</v>
      </c>
      <c r="BF264" s="30">
        <f>264</f>
        <v>264</v>
      </c>
      <c r="BH264" s="30">
        <f t="shared" si="327"/>
        <v>0</v>
      </c>
      <c r="BI264" s="30">
        <f t="shared" si="328"/>
        <v>0</v>
      </c>
      <c r="BJ264" s="30">
        <f t="shared" si="329"/>
        <v>0</v>
      </c>
      <c r="BK264" s="30"/>
      <c r="BL264" s="30">
        <v>775</v>
      </c>
      <c r="BW264" s="30">
        <v>12</v>
      </c>
      <c r="BX264" s="4" t="s">
        <v>733</v>
      </c>
    </row>
    <row r="265" spans="1:76" x14ac:dyDescent="0.25">
      <c r="A265" s="32" t="s">
        <v>734</v>
      </c>
      <c r="B265" s="33" t="s">
        <v>735</v>
      </c>
      <c r="C265" s="141" t="s">
        <v>736</v>
      </c>
      <c r="D265" s="142"/>
      <c r="E265" s="33" t="s">
        <v>64</v>
      </c>
      <c r="F265" s="34">
        <v>70.61</v>
      </c>
      <c r="G265" s="35">
        <v>0</v>
      </c>
      <c r="H265" s="34">
        <f t="shared" si="308"/>
        <v>0</v>
      </c>
      <c r="I265" s="34">
        <f t="shared" si="309"/>
        <v>0</v>
      </c>
      <c r="J265" s="34">
        <f t="shared" si="310"/>
        <v>0</v>
      </c>
      <c r="K265" s="36" t="s">
        <v>57</v>
      </c>
      <c r="Z265" s="30">
        <f t="shared" si="311"/>
        <v>0</v>
      </c>
      <c r="AB265" s="30">
        <f t="shared" si="312"/>
        <v>0</v>
      </c>
      <c r="AC265" s="30">
        <f t="shared" si="313"/>
        <v>0</v>
      </c>
      <c r="AD265" s="30">
        <f t="shared" si="314"/>
        <v>0</v>
      </c>
      <c r="AE265" s="30">
        <f t="shared" si="315"/>
        <v>0</v>
      </c>
      <c r="AF265" s="30">
        <f t="shared" si="316"/>
        <v>0</v>
      </c>
      <c r="AG265" s="30">
        <f t="shared" si="317"/>
        <v>0</v>
      </c>
      <c r="AH265" s="30">
        <f t="shared" si="318"/>
        <v>0</v>
      </c>
      <c r="AI265" s="10" t="s">
        <v>50</v>
      </c>
      <c r="AJ265" s="30">
        <f t="shared" si="319"/>
        <v>0</v>
      </c>
      <c r="AK265" s="30">
        <f t="shared" si="320"/>
        <v>0</v>
      </c>
      <c r="AL265" s="30">
        <f t="shared" si="321"/>
        <v>0</v>
      </c>
      <c r="AN265" s="30">
        <v>12</v>
      </c>
      <c r="AO265" s="30">
        <f>G265*0.212577254</f>
        <v>0</v>
      </c>
      <c r="AP265" s="30">
        <f>G265*(1-0.212577254)</f>
        <v>0</v>
      </c>
      <c r="AQ265" s="31" t="s">
        <v>77</v>
      </c>
      <c r="AV265" s="30">
        <f t="shared" si="322"/>
        <v>0</v>
      </c>
      <c r="AW265" s="30">
        <f t="shared" si="323"/>
        <v>0</v>
      </c>
      <c r="AX265" s="30">
        <f t="shared" si="324"/>
        <v>0</v>
      </c>
      <c r="AY265" s="31" t="s">
        <v>702</v>
      </c>
      <c r="AZ265" s="31" t="s">
        <v>646</v>
      </c>
      <c r="BA265" s="10" t="s">
        <v>60</v>
      </c>
      <c r="BC265" s="30">
        <f t="shared" si="325"/>
        <v>0</v>
      </c>
      <c r="BD265" s="30">
        <f t="shared" si="326"/>
        <v>0</v>
      </c>
      <c r="BE265" s="30">
        <v>0</v>
      </c>
      <c r="BF265" s="30">
        <f>265</f>
        <v>265</v>
      </c>
      <c r="BH265" s="30">
        <f t="shared" si="327"/>
        <v>0</v>
      </c>
      <c r="BI265" s="30">
        <f t="shared" si="328"/>
        <v>0</v>
      </c>
      <c r="BJ265" s="30">
        <f t="shared" si="329"/>
        <v>0</v>
      </c>
      <c r="BK265" s="30"/>
      <c r="BL265" s="30">
        <v>775</v>
      </c>
      <c r="BW265" s="30">
        <v>12</v>
      </c>
      <c r="BX265" s="4" t="s">
        <v>736</v>
      </c>
    </row>
    <row r="266" spans="1:76" x14ac:dyDescent="0.25">
      <c r="A266" s="32" t="s">
        <v>737</v>
      </c>
      <c r="B266" s="33" t="s">
        <v>738</v>
      </c>
      <c r="C266" s="141" t="s">
        <v>739</v>
      </c>
      <c r="D266" s="142"/>
      <c r="E266" s="33" t="s">
        <v>99</v>
      </c>
      <c r="F266" s="34">
        <v>69.182000000000002</v>
      </c>
      <c r="G266" s="35">
        <v>0</v>
      </c>
      <c r="H266" s="34">
        <f t="shared" si="308"/>
        <v>0</v>
      </c>
      <c r="I266" s="34">
        <f t="shared" si="309"/>
        <v>0</v>
      </c>
      <c r="J266" s="34">
        <f t="shared" si="310"/>
        <v>0</v>
      </c>
      <c r="K266" s="36" t="s">
        <v>57</v>
      </c>
      <c r="Z266" s="30">
        <f t="shared" si="311"/>
        <v>0</v>
      </c>
      <c r="AB266" s="30">
        <f t="shared" si="312"/>
        <v>0</v>
      </c>
      <c r="AC266" s="30">
        <f t="shared" si="313"/>
        <v>0</v>
      </c>
      <c r="AD266" s="30">
        <f t="shared" si="314"/>
        <v>0</v>
      </c>
      <c r="AE266" s="30">
        <f t="shared" si="315"/>
        <v>0</v>
      </c>
      <c r="AF266" s="30">
        <f t="shared" si="316"/>
        <v>0</v>
      </c>
      <c r="AG266" s="30">
        <f t="shared" si="317"/>
        <v>0</v>
      </c>
      <c r="AH266" s="30">
        <f t="shared" si="318"/>
        <v>0</v>
      </c>
      <c r="AI266" s="10" t="s">
        <v>50</v>
      </c>
      <c r="AJ266" s="30">
        <f t="shared" si="319"/>
        <v>0</v>
      </c>
      <c r="AK266" s="30">
        <f t="shared" si="320"/>
        <v>0</v>
      </c>
      <c r="AL266" s="30">
        <f t="shared" si="321"/>
        <v>0</v>
      </c>
      <c r="AN266" s="30">
        <v>12</v>
      </c>
      <c r="AO266" s="30">
        <f>G266*0.613901186</f>
        <v>0</v>
      </c>
      <c r="AP266" s="30">
        <f>G266*(1-0.613901186)</f>
        <v>0</v>
      </c>
      <c r="AQ266" s="31" t="s">
        <v>77</v>
      </c>
      <c r="AV266" s="30">
        <f t="shared" si="322"/>
        <v>0</v>
      </c>
      <c r="AW266" s="30">
        <f t="shared" si="323"/>
        <v>0</v>
      </c>
      <c r="AX266" s="30">
        <f t="shared" si="324"/>
        <v>0</v>
      </c>
      <c r="AY266" s="31" t="s">
        <v>702</v>
      </c>
      <c r="AZ266" s="31" t="s">
        <v>646</v>
      </c>
      <c r="BA266" s="10" t="s">
        <v>60</v>
      </c>
      <c r="BC266" s="30">
        <f t="shared" si="325"/>
        <v>0</v>
      </c>
      <c r="BD266" s="30">
        <f t="shared" si="326"/>
        <v>0</v>
      </c>
      <c r="BE266" s="30">
        <v>0</v>
      </c>
      <c r="BF266" s="30">
        <f>266</f>
        <v>266</v>
      </c>
      <c r="BH266" s="30">
        <f t="shared" si="327"/>
        <v>0</v>
      </c>
      <c r="BI266" s="30">
        <f t="shared" si="328"/>
        <v>0</v>
      </c>
      <c r="BJ266" s="30">
        <f t="shared" si="329"/>
        <v>0</v>
      </c>
      <c r="BK266" s="30"/>
      <c r="BL266" s="30">
        <v>775</v>
      </c>
      <c r="BW266" s="30">
        <v>12</v>
      </c>
      <c r="BX266" s="4" t="s">
        <v>739</v>
      </c>
    </row>
    <row r="267" spans="1:76" x14ac:dyDescent="0.25">
      <c r="A267" s="32" t="s">
        <v>740</v>
      </c>
      <c r="B267" s="33" t="s">
        <v>741</v>
      </c>
      <c r="C267" s="141" t="s">
        <v>742</v>
      </c>
      <c r="D267" s="142"/>
      <c r="E267" s="33" t="s">
        <v>109</v>
      </c>
      <c r="F267" s="34">
        <v>9.9690000000000001E-2</v>
      </c>
      <c r="G267" s="35">
        <v>0</v>
      </c>
      <c r="H267" s="34">
        <f t="shared" si="308"/>
        <v>0</v>
      </c>
      <c r="I267" s="34">
        <f t="shared" si="309"/>
        <v>0</v>
      </c>
      <c r="J267" s="34">
        <f t="shared" si="310"/>
        <v>0</v>
      </c>
      <c r="K267" s="36" t="s">
        <v>57</v>
      </c>
      <c r="Z267" s="30">
        <f t="shared" si="311"/>
        <v>0</v>
      </c>
      <c r="AB267" s="30">
        <f t="shared" si="312"/>
        <v>0</v>
      </c>
      <c r="AC267" s="30">
        <f t="shared" si="313"/>
        <v>0</v>
      </c>
      <c r="AD267" s="30">
        <f t="shared" si="314"/>
        <v>0</v>
      </c>
      <c r="AE267" s="30">
        <f t="shared" si="315"/>
        <v>0</v>
      </c>
      <c r="AF267" s="30">
        <f t="shared" si="316"/>
        <v>0</v>
      </c>
      <c r="AG267" s="30">
        <f t="shared" si="317"/>
        <v>0</v>
      </c>
      <c r="AH267" s="30">
        <f t="shared" si="318"/>
        <v>0</v>
      </c>
      <c r="AI267" s="10" t="s">
        <v>50</v>
      </c>
      <c r="AJ267" s="30">
        <f t="shared" si="319"/>
        <v>0</v>
      </c>
      <c r="AK267" s="30">
        <f t="shared" si="320"/>
        <v>0</v>
      </c>
      <c r="AL267" s="30">
        <f t="shared" si="321"/>
        <v>0</v>
      </c>
      <c r="AN267" s="30">
        <v>12</v>
      </c>
      <c r="AO267" s="30">
        <f>G267*0</f>
        <v>0</v>
      </c>
      <c r="AP267" s="30">
        <f>G267*(1-0)</f>
        <v>0</v>
      </c>
      <c r="AQ267" s="31" t="s">
        <v>71</v>
      </c>
      <c r="AV267" s="30">
        <f t="shared" si="322"/>
        <v>0</v>
      </c>
      <c r="AW267" s="30">
        <f t="shared" si="323"/>
        <v>0</v>
      </c>
      <c r="AX267" s="30">
        <f t="shared" si="324"/>
        <v>0</v>
      </c>
      <c r="AY267" s="31" t="s">
        <v>702</v>
      </c>
      <c r="AZ267" s="31" t="s">
        <v>646</v>
      </c>
      <c r="BA267" s="10" t="s">
        <v>60</v>
      </c>
      <c r="BC267" s="30">
        <f t="shared" si="325"/>
        <v>0</v>
      </c>
      <c r="BD267" s="30">
        <f t="shared" si="326"/>
        <v>0</v>
      </c>
      <c r="BE267" s="30">
        <v>0</v>
      </c>
      <c r="BF267" s="30">
        <f>267</f>
        <v>267</v>
      </c>
      <c r="BH267" s="30">
        <f t="shared" si="327"/>
        <v>0</v>
      </c>
      <c r="BI267" s="30">
        <f t="shared" si="328"/>
        <v>0</v>
      </c>
      <c r="BJ267" s="30">
        <f t="shared" si="329"/>
        <v>0</v>
      </c>
      <c r="BK267" s="30"/>
      <c r="BL267" s="30">
        <v>775</v>
      </c>
      <c r="BW267" s="30">
        <v>12</v>
      </c>
      <c r="BX267" s="4" t="s">
        <v>742</v>
      </c>
    </row>
    <row r="268" spans="1:76" x14ac:dyDescent="0.25">
      <c r="A268" s="39" t="s">
        <v>50</v>
      </c>
      <c r="B268" s="40" t="s">
        <v>743</v>
      </c>
      <c r="C268" s="156" t="s">
        <v>744</v>
      </c>
      <c r="D268" s="157"/>
      <c r="E268" s="41" t="s">
        <v>4</v>
      </c>
      <c r="F268" s="41" t="s">
        <v>4</v>
      </c>
      <c r="G268" s="42" t="s">
        <v>4</v>
      </c>
      <c r="H268" s="43">
        <f>SUM(H269:H274)</f>
        <v>0</v>
      </c>
      <c r="I268" s="43">
        <f>SUM(I269:I274)</f>
        <v>0</v>
      </c>
      <c r="J268" s="43">
        <f>SUM(J269:J274)</f>
        <v>0</v>
      </c>
      <c r="K268" s="44" t="s">
        <v>50</v>
      </c>
      <c r="AI268" s="10" t="s">
        <v>50</v>
      </c>
      <c r="AS268" s="1">
        <f>SUM(AJ269:AJ274)</f>
        <v>0</v>
      </c>
      <c r="AT268" s="1">
        <f>SUM(AK269:AK274)</f>
        <v>0</v>
      </c>
      <c r="AU268" s="1">
        <f>SUM(AL269:AL274)</f>
        <v>0</v>
      </c>
    </row>
    <row r="269" spans="1:76" x14ac:dyDescent="0.25">
      <c r="A269" s="25" t="s">
        <v>745</v>
      </c>
      <c r="B269" s="26" t="s">
        <v>746</v>
      </c>
      <c r="C269" s="150" t="s">
        <v>747</v>
      </c>
      <c r="D269" s="151"/>
      <c r="E269" s="26" t="s">
        <v>64</v>
      </c>
      <c r="F269" s="27">
        <v>74.927999999999997</v>
      </c>
      <c r="G269" s="28">
        <v>0</v>
      </c>
      <c r="H269" s="27">
        <f>F269*AO269</f>
        <v>0</v>
      </c>
      <c r="I269" s="27">
        <f>F269*AP269</f>
        <v>0</v>
      </c>
      <c r="J269" s="27">
        <f>F269*G269</f>
        <v>0</v>
      </c>
      <c r="K269" s="29" t="s">
        <v>57</v>
      </c>
      <c r="Z269" s="30">
        <f>IF(AQ269="5",BJ269,0)</f>
        <v>0</v>
      </c>
      <c r="AB269" s="30">
        <f>IF(AQ269="1",BH269,0)</f>
        <v>0</v>
      </c>
      <c r="AC269" s="30">
        <f>IF(AQ269="1",BI269,0)</f>
        <v>0</v>
      </c>
      <c r="AD269" s="30">
        <f>IF(AQ269="7",BH269,0)</f>
        <v>0</v>
      </c>
      <c r="AE269" s="30">
        <f>IF(AQ269="7",BI269,0)</f>
        <v>0</v>
      </c>
      <c r="AF269" s="30">
        <f>IF(AQ269="2",BH269,0)</f>
        <v>0</v>
      </c>
      <c r="AG269" s="30">
        <f>IF(AQ269="2",BI269,0)</f>
        <v>0</v>
      </c>
      <c r="AH269" s="30">
        <f>IF(AQ269="0",BJ269,0)</f>
        <v>0</v>
      </c>
      <c r="AI269" s="10" t="s">
        <v>50</v>
      </c>
      <c r="AJ269" s="30">
        <f>IF(AN269=0,J269,0)</f>
        <v>0</v>
      </c>
      <c r="AK269" s="30">
        <f>IF(AN269=12,J269,0)</f>
        <v>0</v>
      </c>
      <c r="AL269" s="30">
        <f>IF(AN269=21,J269,0)</f>
        <v>0</v>
      </c>
      <c r="AN269" s="30">
        <v>12</v>
      </c>
      <c r="AO269" s="30">
        <f>G269*0.130410552</f>
        <v>0</v>
      </c>
      <c r="AP269" s="30">
        <f>G269*(1-0.130410552)</f>
        <v>0</v>
      </c>
      <c r="AQ269" s="31" t="s">
        <v>77</v>
      </c>
      <c r="AV269" s="30">
        <f>AW269+AX269</f>
        <v>0</v>
      </c>
      <c r="AW269" s="30">
        <f>F269*AO269</f>
        <v>0</v>
      </c>
      <c r="AX269" s="30">
        <f>F269*AP269</f>
        <v>0</v>
      </c>
      <c r="AY269" s="31" t="s">
        <v>748</v>
      </c>
      <c r="AZ269" s="31" t="s">
        <v>749</v>
      </c>
      <c r="BA269" s="10" t="s">
        <v>60</v>
      </c>
      <c r="BC269" s="30">
        <f>AW269+AX269</f>
        <v>0</v>
      </c>
      <c r="BD269" s="30">
        <f>G269/(100-BE269)*100</f>
        <v>0</v>
      </c>
      <c r="BE269" s="30">
        <v>0</v>
      </c>
      <c r="BF269" s="30">
        <f>269</f>
        <v>269</v>
      </c>
      <c r="BH269" s="30">
        <f>F269*AO269</f>
        <v>0</v>
      </c>
      <c r="BI269" s="30">
        <f>F269*AP269</f>
        <v>0</v>
      </c>
      <c r="BJ269" s="30">
        <f>F269*G269</f>
        <v>0</v>
      </c>
      <c r="BK269" s="30"/>
      <c r="BL269" s="30">
        <v>783</v>
      </c>
      <c r="BW269" s="30">
        <v>12</v>
      </c>
      <c r="BX269" s="4" t="s">
        <v>747</v>
      </c>
    </row>
    <row r="270" spans="1:76" ht="13.5" customHeight="1" x14ac:dyDescent="0.25">
      <c r="A270" s="37"/>
      <c r="B270" s="38" t="s">
        <v>84</v>
      </c>
      <c r="C270" s="152" t="s">
        <v>750</v>
      </c>
      <c r="D270" s="153"/>
      <c r="E270" s="153"/>
      <c r="F270" s="153"/>
      <c r="G270" s="154"/>
      <c r="H270" s="153"/>
      <c r="I270" s="153"/>
      <c r="J270" s="153"/>
      <c r="K270" s="155"/>
    </row>
    <row r="271" spans="1:76" x14ac:dyDescent="0.25">
      <c r="A271" s="25" t="s">
        <v>751</v>
      </c>
      <c r="B271" s="26" t="s">
        <v>752</v>
      </c>
      <c r="C271" s="150" t="s">
        <v>753</v>
      </c>
      <c r="D271" s="151"/>
      <c r="E271" s="26" t="s">
        <v>64</v>
      </c>
      <c r="F271" s="27">
        <v>77.763000000000005</v>
      </c>
      <c r="G271" s="28">
        <v>0</v>
      </c>
      <c r="H271" s="27">
        <f>F271*AO271</f>
        <v>0</v>
      </c>
      <c r="I271" s="27">
        <f>F271*AP271</f>
        <v>0</v>
      </c>
      <c r="J271" s="27">
        <f>F271*G271</f>
        <v>0</v>
      </c>
      <c r="K271" s="29" t="s">
        <v>57</v>
      </c>
      <c r="Z271" s="30">
        <f>IF(AQ271="5",BJ271,0)</f>
        <v>0</v>
      </c>
      <c r="AB271" s="30">
        <f>IF(AQ271="1",BH271,0)</f>
        <v>0</v>
      </c>
      <c r="AC271" s="30">
        <f>IF(AQ271="1",BI271,0)</f>
        <v>0</v>
      </c>
      <c r="AD271" s="30">
        <f>IF(AQ271="7",BH271,0)</f>
        <v>0</v>
      </c>
      <c r="AE271" s="30">
        <f>IF(AQ271="7",BI271,0)</f>
        <v>0</v>
      </c>
      <c r="AF271" s="30">
        <f>IF(AQ271="2",BH271,0)</f>
        <v>0</v>
      </c>
      <c r="AG271" s="30">
        <f>IF(AQ271="2",BI271,0)</f>
        <v>0</v>
      </c>
      <c r="AH271" s="30">
        <f>IF(AQ271="0",BJ271,0)</f>
        <v>0</v>
      </c>
      <c r="AI271" s="10" t="s">
        <v>50</v>
      </c>
      <c r="AJ271" s="30">
        <f>IF(AN271=0,J271,0)</f>
        <v>0</v>
      </c>
      <c r="AK271" s="30">
        <f>IF(AN271=12,J271,0)</f>
        <v>0</v>
      </c>
      <c r="AL271" s="30">
        <f>IF(AN271=21,J271,0)</f>
        <v>0</v>
      </c>
      <c r="AN271" s="30">
        <v>12</v>
      </c>
      <c r="AO271" s="30">
        <f>G271*0.220028019</f>
        <v>0</v>
      </c>
      <c r="AP271" s="30">
        <f>G271*(1-0.220028019)</f>
        <v>0</v>
      </c>
      <c r="AQ271" s="31" t="s">
        <v>77</v>
      </c>
      <c r="AV271" s="30">
        <f>AW271+AX271</f>
        <v>0</v>
      </c>
      <c r="AW271" s="30">
        <f>F271*AO271</f>
        <v>0</v>
      </c>
      <c r="AX271" s="30">
        <f>F271*AP271</f>
        <v>0</v>
      </c>
      <c r="AY271" s="31" t="s">
        <v>748</v>
      </c>
      <c r="AZ271" s="31" t="s">
        <v>749</v>
      </c>
      <c r="BA271" s="10" t="s">
        <v>60</v>
      </c>
      <c r="BC271" s="30">
        <f>AW271+AX271</f>
        <v>0</v>
      </c>
      <c r="BD271" s="30">
        <f>G271/(100-BE271)*100</f>
        <v>0</v>
      </c>
      <c r="BE271" s="30">
        <v>0</v>
      </c>
      <c r="BF271" s="30">
        <f>271</f>
        <v>271</v>
      </c>
      <c r="BH271" s="30">
        <f>F271*AO271</f>
        <v>0</v>
      </c>
      <c r="BI271" s="30">
        <f>F271*AP271</f>
        <v>0</v>
      </c>
      <c r="BJ271" s="30">
        <f>F271*G271</f>
        <v>0</v>
      </c>
      <c r="BK271" s="30"/>
      <c r="BL271" s="30">
        <v>783</v>
      </c>
      <c r="BW271" s="30">
        <v>12</v>
      </c>
      <c r="BX271" s="4" t="s">
        <v>753</v>
      </c>
    </row>
    <row r="272" spans="1:76" x14ac:dyDescent="0.25">
      <c r="A272" s="32" t="s">
        <v>754</v>
      </c>
      <c r="B272" s="33" t="s">
        <v>755</v>
      </c>
      <c r="C272" s="141" t="s">
        <v>756</v>
      </c>
      <c r="D272" s="142"/>
      <c r="E272" s="33" t="s">
        <v>64</v>
      </c>
      <c r="F272" s="34">
        <v>1.75</v>
      </c>
      <c r="G272" s="35">
        <v>0</v>
      </c>
      <c r="H272" s="34">
        <f>F272*AO272</f>
        <v>0</v>
      </c>
      <c r="I272" s="34">
        <f>F272*AP272</f>
        <v>0</v>
      </c>
      <c r="J272" s="34">
        <f>F272*G272</f>
        <v>0</v>
      </c>
      <c r="K272" s="36" t="s">
        <v>57</v>
      </c>
      <c r="Z272" s="30">
        <f>IF(AQ272="5",BJ272,0)</f>
        <v>0</v>
      </c>
      <c r="AB272" s="30">
        <f>IF(AQ272="1",BH272,0)</f>
        <v>0</v>
      </c>
      <c r="AC272" s="30">
        <f>IF(AQ272="1",BI272,0)</f>
        <v>0</v>
      </c>
      <c r="AD272" s="30">
        <f>IF(AQ272="7",BH272,0)</f>
        <v>0</v>
      </c>
      <c r="AE272" s="30">
        <f>IF(AQ272="7",BI272,0)</f>
        <v>0</v>
      </c>
      <c r="AF272" s="30">
        <f>IF(AQ272="2",BH272,0)</f>
        <v>0</v>
      </c>
      <c r="AG272" s="30">
        <f>IF(AQ272="2",BI272,0)</f>
        <v>0</v>
      </c>
      <c r="AH272" s="30">
        <f>IF(AQ272="0",BJ272,0)</f>
        <v>0</v>
      </c>
      <c r="AI272" s="10" t="s">
        <v>50</v>
      </c>
      <c r="AJ272" s="30">
        <f>IF(AN272=0,J272,0)</f>
        <v>0</v>
      </c>
      <c r="AK272" s="30">
        <f>IF(AN272=12,J272,0)</f>
        <v>0</v>
      </c>
      <c r="AL272" s="30">
        <f>IF(AN272=21,J272,0)</f>
        <v>0</v>
      </c>
      <c r="AN272" s="30">
        <v>12</v>
      </c>
      <c r="AO272" s="30">
        <f>G272*0.178658139</f>
        <v>0</v>
      </c>
      <c r="AP272" s="30">
        <f>G272*(1-0.178658139)</f>
        <v>0</v>
      </c>
      <c r="AQ272" s="31" t="s">
        <v>77</v>
      </c>
      <c r="AV272" s="30">
        <f>AW272+AX272</f>
        <v>0</v>
      </c>
      <c r="AW272" s="30">
        <f>F272*AO272</f>
        <v>0</v>
      </c>
      <c r="AX272" s="30">
        <f>F272*AP272</f>
        <v>0</v>
      </c>
      <c r="AY272" s="31" t="s">
        <v>748</v>
      </c>
      <c r="AZ272" s="31" t="s">
        <v>749</v>
      </c>
      <c r="BA272" s="10" t="s">
        <v>60</v>
      </c>
      <c r="BC272" s="30">
        <f>AW272+AX272</f>
        <v>0</v>
      </c>
      <c r="BD272" s="30">
        <f>G272/(100-BE272)*100</f>
        <v>0</v>
      </c>
      <c r="BE272" s="30">
        <v>0</v>
      </c>
      <c r="BF272" s="30">
        <f>272</f>
        <v>272</v>
      </c>
      <c r="BH272" s="30">
        <f>F272*AO272</f>
        <v>0</v>
      </c>
      <c r="BI272" s="30">
        <f>F272*AP272</f>
        <v>0</v>
      </c>
      <c r="BJ272" s="30">
        <f>F272*G272</f>
        <v>0</v>
      </c>
      <c r="BK272" s="30"/>
      <c r="BL272" s="30">
        <v>783</v>
      </c>
      <c r="BW272" s="30">
        <v>12</v>
      </c>
      <c r="BX272" s="4" t="s">
        <v>756</v>
      </c>
    </row>
    <row r="273" spans="1:76" ht="13.5" customHeight="1" x14ac:dyDescent="0.25">
      <c r="A273" s="37"/>
      <c r="B273" s="38" t="s">
        <v>84</v>
      </c>
      <c r="C273" s="152" t="s">
        <v>757</v>
      </c>
      <c r="D273" s="153"/>
      <c r="E273" s="153"/>
      <c r="F273" s="153"/>
      <c r="G273" s="154"/>
      <c r="H273" s="153"/>
      <c r="I273" s="153"/>
      <c r="J273" s="153"/>
      <c r="K273" s="155"/>
    </row>
    <row r="274" spans="1:76" x14ac:dyDescent="0.25">
      <c r="A274" s="25" t="s">
        <v>758</v>
      </c>
      <c r="B274" s="26" t="s">
        <v>759</v>
      </c>
      <c r="C274" s="150" t="s">
        <v>760</v>
      </c>
      <c r="D274" s="151"/>
      <c r="E274" s="26" t="s">
        <v>99</v>
      </c>
      <c r="F274" s="27">
        <v>7.5</v>
      </c>
      <c r="G274" s="28">
        <v>0</v>
      </c>
      <c r="H274" s="27">
        <f>F274*AO274</f>
        <v>0</v>
      </c>
      <c r="I274" s="27">
        <f>F274*AP274</f>
        <v>0</v>
      </c>
      <c r="J274" s="27">
        <f>F274*G274</f>
        <v>0</v>
      </c>
      <c r="K274" s="29" t="s">
        <v>57</v>
      </c>
      <c r="Z274" s="30">
        <f>IF(AQ274="5",BJ274,0)</f>
        <v>0</v>
      </c>
      <c r="AB274" s="30">
        <f>IF(AQ274="1",BH274,0)</f>
        <v>0</v>
      </c>
      <c r="AC274" s="30">
        <f>IF(AQ274="1",BI274,0)</f>
        <v>0</v>
      </c>
      <c r="AD274" s="30">
        <f>IF(AQ274="7",BH274,0)</f>
        <v>0</v>
      </c>
      <c r="AE274" s="30">
        <f>IF(AQ274="7",BI274,0)</f>
        <v>0</v>
      </c>
      <c r="AF274" s="30">
        <f>IF(AQ274="2",BH274,0)</f>
        <v>0</v>
      </c>
      <c r="AG274" s="30">
        <f>IF(AQ274="2",BI274,0)</f>
        <v>0</v>
      </c>
      <c r="AH274" s="30">
        <f>IF(AQ274="0",BJ274,0)</f>
        <v>0</v>
      </c>
      <c r="AI274" s="10" t="s">
        <v>50</v>
      </c>
      <c r="AJ274" s="30">
        <f>IF(AN274=0,J274,0)</f>
        <v>0</v>
      </c>
      <c r="AK274" s="30">
        <f>IF(AN274=12,J274,0)</f>
        <v>0</v>
      </c>
      <c r="AL274" s="30">
        <f>IF(AN274=21,J274,0)</f>
        <v>0</v>
      </c>
      <c r="AN274" s="30">
        <v>12</v>
      </c>
      <c r="AO274" s="30">
        <f>G274*0.189303079</f>
        <v>0</v>
      </c>
      <c r="AP274" s="30">
        <f>G274*(1-0.189303079)</f>
        <v>0</v>
      </c>
      <c r="AQ274" s="31" t="s">
        <v>77</v>
      </c>
      <c r="AV274" s="30">
        <f>AW274+AX274</f>
        <v>0</v>
      </c>
      <c r="AW274" s="30">
        <f>F274*AO274</f>
        <v>0</v>
      </c>
      <c r="AX274" s="30">
        <f>F274*AP274</f>
        <v>0</v>
      </c>
      <c r="AY274" s="31" t="s">
        <v>748</v>
      </c>
      <c r="AZ274" s="31" t="s">
        <v>749</v>
      </c>
      <c r="BA274" s="10" t="s">
        <v>60</v>
      </c>
      <c r="BC274" s="30">
        <f>AW274+AX274</f>
        <v>0</v>
      </c>
      <c r="BD274" s="30">
        <f>G274/(100-BE274)*100</f>
        <v>0</v>
      </c>
      <c r="BE274" s="30">
        <v>0</v>
      </c>
      <c r="BF274" s="30">
        <f>274</f>
        <v>274</v>
      </c>
      <c r="BH274" s="30">
        <f>F274*AO274</f>
        <v>0</v>
      </c>
      <c r="BI274" s="30">
        <f>F274*AP274</f>
        <v>0</v>
      </c>
      <c r="BJ274" s="30">
        <f>F274*G274</f>
        <v>0</v>
      </c>
      <c r="BK274" s="30"/>
      <c r="BL274" s="30">
        <v>783</v>
      </c>
      <c r="BW274" s="30">
        <v>12</v>
      </c>
      <c r="BX274" s="4" t="s">
        <v>760</v>
      </c>
    </row>
    <row r="275" spans="1:76" x14ac:dyDescent="0.25">
      <c r="A275" s="39" t="s">
        <v>50</v>
      </c>
      <c r="B275" s="40" t="s">
        <v>761</v>
      </c>
      <c r="C275" s="156" t="s">
        <v>762</v>
      </c>
      <c r="D275" s="157"/>
      <c r="E275" s="41" t="s">
        <v>4</v>
      </c>
      <c r="F275" s="41" t="s">
        <v>4</v>
      </c>
      <c r="G275" s="42" t="s">
        <v>4</v>
      </c>
      <c r="H275" s="43">
        <f>SUM(H276:H278)</f>
        <v>0</v>
      </c>
      <c r="I275" s="43">
        <f>SUM(I276:I278)</f>
        <v>0</v>
      </c>
      <c r="J275" s="43">
        <f>SUM(J276:J278)</f>
        <v>0</v>
      </c>
      <c r="K275" s="44" t="s">
        <v>50</v>
      </c>
      <c r="AI275" s="10" t="s">
        <v>50</v>
      </c>
      <c r="AS275" s="1">
        <f>SUM(AJ276:AJ278)</f>
        <v>0</v>
      </c>
      <c r="AT275" s="1">
        <f>SUM(AK276:AK278)</f>
        <v>0</v>
      </c>
      <c r="AU275" s="1">
        <f>SUM(AL276:AL278)</f>
        <v>0</v>
      </c>
    </row>
    <row r="276" spans="1:76" x14ac:dyDescent="0.25">
      <c r="A276" s="25" t="s">
        <v>763</v>
      </c>
      <c r="B276" s="26" t="s">
        <v>764</v>
      </c>
      <c r="C276" s="150" t="s">
        <v>765</v>
      </c>
      <c r="D276" s="151"/>
      <c r="E276" s="26" t="s">
        <v>64</v>
      </c>
      <c r="F276" s="27">
        <v>363.83170000000001</v>
      </c>
      <c r="G276" s="28">
        <v>0</v>
      </c>
      <c r="H276" s="27">
        <f>F276*AO276</f>
        <v>0</v>
      </c>
      <c r="I276" s="27">
        <f>F276*AP276</f>
        <v>0</v>
      </c>
      <c r="J276" s="27">
        <f>F276*G276</f>
        <v>0</v>
      </c>
      <c r="K276" s="29" t="s">
        <v>57</v>
      </c>
      <c r="Z276" s="30">
        <f>IF(AQ276="5",BJ276,0)</f>
        <v>0</v>
      </c>
      <c r="AB276" s="30">
        <f>IF(AQ276="1",BH276,0)</f>
        <v>0</v>
      </c>
      <c r="AC276" s="30">
        <f>IF(AQ276="1",BI276,0)</f>
        <v>0</v>
      </c>
      <c r="AD276" s="30">
        <f>IF(AQ276="7",BH276,0)</f>
        <v>0</v>
      </c>
      <c r="AE276" s="30">
        <f>IF(AQ276="7",BI276,0)</f>
        <v>0</v>
      </c>
      <c r="AF276" s="30">
        <f>IF(AQ276="2",BH276,0)</f>
        <v>0</v>
      </c>
      <c r="AG276" s="30">
        <f>IF(AQ276="2",BI276,0)</f>
        <v>0</v>
      </c>
      <c r="AH276" s="30">
        <f>IF(AQ276="0",BJ276,0)</f>
        <v>0</v>
      </c>
      <c r="AI276" s="10" t="s">
        <v>50</v>
      </c>
      <c r="AJ276" s="30">
        <f>IF(AN276=0,J276,0)</f>
        <v>0</v>
      </c>
      <c r="AK276" s="30">
        <f>IF(AN276=12,J276,0)</f>
        <v>0</v>
      </c>
      <c r="AL276" s="30">
        <f>IF(AN276=21,J276,0)</f>
        <v>0</v>
      </c>
      <c r="AN276" s="30">
        <v>12</v>
      </c>
      <c r="AO276" s="30">
        <f>G276*0.002552796</f>
        <v>0</v>
      </c>
      <c r="AP276" s="30">
        <f>G276*(1-0.002552796)</f>
        <v>0</v>
      </c>
      <c r="AQ276" s="31" t="s">
        <v>77</v>
      </c>
      <c r="AV276" s="30">
        <f>AW276+AX276</f>
        <v>0</v>
      </c>
      <c r="AW276" s="30">
        <f>F276*AO276</f>
        <v>0</v>
      </c>
      <c r="AX276" s="30">
        <f>F276*AP276</f>
        <v>0</v>
      </c>
      <c r="AY276" s="31" t="s">
        <v>766</v>
      </c>
      <c r="AZ276" s="31" t="s">
        <v>749</v>
      </c>
      <c r="BA276" s="10" t="s">
        <v>60</v>
      </c>
      <c r="BC276" s="30">
        <f>AW276+AX276</f>
        <v>0</v>
      </c>
      <c r="BD276" s="30">
        <f>G276/(100-BE276)*100</f>
        <v>0</v>
      </c>
      <c r="BE276" s="30">
        <v>0</v>
      </c>
      <c r="BF276" s="30">
        <f>276</f>
        <v>276</v>
      </c>
      <c r="BH276" s="30">
        <f>F276*AO276</f>
        <v>0</v>
      </c>
      <c r="BI276" s="30">
        <f>F276*AP276</f>
        <v>0</v>
      </c>
      <c r="BJ276" s="30">
        <f>F276*G276</f>
        <v>0</v>
      </c>
      <c r="BK276" s="30"/>
      <c r="BL276" s="30">
        <v>784</v>
      </c>
      <c r="BW276" s="30">
        <v>12</v>
      </c>
      <c r="BX276" s="4" t="s">
        <v>765</v>
      </c>
    </row>
    <row r="277" spans="1:76" ht="13.5" customHeight="1" x14ac:dyDescent="0.25">
      <c r="A277" s="37"/>
      <c r="B277" s="38" t="s">
        <v>84</v>
      </c>
      <c r="C277" s="152" t="s">
        <v>767</v>
      </c>
      <c r="D277" s="153"/>
      <c r="E277" s="153"/>
      <c r="F277" s="153"/>
      <c r="G277" s="154"/>
      <c r="H277" s="153"/>
      <c r="I277" s="153"/>
      <c r="J277" s="153"/>
      <c r="K277" s="155"/>
    </row>
    <row r="278" spans="1:76" x14ac:dyDescent="0.25">
      <c r="A278" s="25" t="s">
        <v>768</v>
      </c>
      <c r="B278" s="26" t="s">
        <v>769</v>
      </c>
      <c r="C278" s="150" t="s">
        <v>770</v>
      </c>
      <c r="D278" s="151"/>
      <c r="E278" s="26" t="s">
        <v>64</v>
      </c>
      <c r="F278" s="27">
        <v>403.69159999999999</v>
      </c>
      <c r="G278" s="28">
        <v>0</v>
      </c>
      <c r="H278" s="27">
        <f>F278*AO278</f>
        <v>0</v>
      </c>
      <c r="I278" s="27">
        <f>F278*AP278</f>
        <v>0</v>
      </c>
      <c r="J278" s="27">
        <f>F278*G278</f>
        <v>0</v>
      </c>
      <c r="K278" s="29" t="s">
        <v>57</v>
      </c>
      <c r="Z278" s="30">
        <f>IF(AQ278="5",BJ278,0)</f>
        <v>0</v>
      </c>
      <c r="AB278" s="30">
        <f>IF(AQ278="1",BH278,0)</f>
        <v>0</v>
      </c>
      <c r="AC278" s="30">
        <f>IF(AQ278="1",BI278,0)</f>
        <v>0</v>
      </c>
      <c r="AD278" s="30">
        <f>IF(AQ278="7",BH278,0)</f>
        <v>0</v>
      </c>
      <c r="AE278" s="30">
        <f>IF(AQ278="7",BI278,0)</f>
        <v>0</v>
      </c>
      <c r="AF278" s="30">
        <f>IF(AQ278="2",BH278,0)</f>
        <v>0</v>
      </c>
      <c r="AG278" s="30">
        <f>IF(AQ278="2",BI278,0)</f>
        <v>0</v>
      </c>
      <c r="AH278" s="30">
        <f>IF(AQ278="0",BJ278,0)</f>
        <v>0</v>
      </c>
      <c r="AI278" s="10" t="s">
        <v>50</v>
      </c>
      <c r="AJ278" s="30">
        <f>IF(AN278=0,J278,0)</f>
        <v>0</v>
      </c>
      <c r="AK278" s="30">
        <f>IF(AN278=12,J278,0)</f>
        <v>0</v>
      </c>
      <c r="AL278" s="30">
        <f>IF(AN278=21,J278,0)</f>
        <v>0</v>
      </c>
      <c r="AN278" s="30">
        <v>12</v>
      </c>
      <c r="AO278" s="30">
        <f>G278*0.249417505</f>
        <v>0</v>
      </c>
      <c r="AP278" s="30">
        <f>G278*(1-0.249417505)</f>
        <v>0</v>
      </c>
      <c r="AQ278" s="31" t="s">
        <v>77</v>
      </c>
      <c r="AV278" s="30">
        <f>AW278+AX278</f>
        <v>0</v>
      </c>
      <c r="AW278" s="30">
        <f>F278*AO278</f>
        <v>0</v>
      </c>
      <c r="AX278" s="30">
        <f>F278*AP278</f>
        <v>0</v>
      </c>
      <c r="AY278" s="31" t="s">
        <v>766</v>
      </c>
      <c r="AZ278" s="31" t="s">
        <v>749</v>
      </c>
      <c r="BA278" s="10" t="s">
        <v>60</v>
      </c>
      <c r="BC278" s="30">
        <f>AW278+AX278</f>
        <v>0</v>
      </c>
      <c r="BD278" s="30">
        <f>G278/(100-BE278)*100</f>
        <v>0</v>
      </c>
      <c r="BE278" s="30">
        <v>0</v>
      </c>
      <c r="BF278" s="30">
        <f>278</f>
        <v>278</v>
      </c>
      <c r="BH278" s="30">
        <f>F278*AO278</f>
        <v>0</v>
      </c>
      <c r="BI278" s="30">
        <f>F278*AP278</f>
        <v>0</v>
      </c>
      <c r="BJ278" s="30">
        <f>F278*G278</f>
        <v>0</v>
      </c>
      <c r="BK278" s="30"/>
      <c r="BL278" s="30">
        <v>784</v>
      </c>
      <c r="BW278" s="30">
        <v>12</v>
      </c>
      <c r="BX278" s="4" t="s">
        <v>770</v>
      </c>
    </row>
    <row r="279" spans="1:76" x14ac:dyDescent="0.25">
      <c r="A279" s="39" t="s">
        <v>50</v>
      </c>
      <c r="B279" s="40" t="s">
        <v>771</v>
      </c>
      <c r="C279" s="156" t="s">
        <v>772</v>
      </c>
      <c r="D279" s="157"/>
      <c r="E279" s="41" t="s">
        <v>4</v>
      </c>
      <c r="F279" s="41" t="s">
        <v>4</v>
      </c>
      <c r="G279" s="42" t="s">
        <v>4</v>
      </c>
      <c r="H279" s="43">
        <f>SUM(H280:H317)</f>
        <v>0</v>
      </c>
      <c r="I279" s="43">
        <f>SUM(I280:I317)</f>
        <v>0</v>
      </c>
      <c r="J279" s="43">
        <f>SUM(J280:J317)</f>
        <v>0</v>
      </c>
      <c r="K279" s="44" t="s">
        <v>50</v>
      </c>
      <c r="AI279" s="10" t="s">
        <v>50</v>
      </c>
      <c r="AS279" s="1">
        <f>SUM(AJ280:AJ317)</f>
        <v>0</v>
      </c>
      <c r="AT279" s="1">
        <f>SUM(AK280:AK317)</f>
        <v>0</v>
      </c>
      <c r="AU279" s="1">
        <f>SUM(AL280:AL317)</f>
        <v>0</v>
      </c>
    </row>
    <row r="280" spans="1:76" x14ac:dyDescent="0.25">
      <c r="A280" s="25" t="s">
        <v>773</v>
      </c>
      <c r="B280" s="26" t="s">
        <v>774</v>
      </c>
      <c r="C280" s="150" t="s">
        <v>775</v>
      </c>
      <c r="D280" s="151"/>
      <c r="E280" s="26" t="s">
        <v>776</v>
      </c>
      <c r="F280" s="27">
        <v>1</v>
      </c>
      <c r="G280" s="28">
        <v>0</v>
      </c>
      <c r="H280" s="27">
        <f t="shared" ref="H280:H292" si="330">F280*AO280</f>
        <v>0</v>
      </c>
      <c r="I280" s="27">
        <f t="shared" ref="I280:I292" si="331">F280*AP280</f>
        <v>0</v>
      </c>
      <c r="J280" s="27">
        <f t="shared" ref="J280:J292" si="332">F280*G280</f>
        <v>0</v>
      </c>
      <c r="K280" s="29" t="s">
        <v>57</v>
      </c>
      <c r="Z280" s="30">
        <f t="shared" ref="Z280:Z292" si="333">IF(AQ280="5",BJ280,0)</f>
        <v>0</v>
      </c>
      <c r="AB280" s="30">
        <f t="shared" ref="AB280:AB292" si="334">IF(AQ280="1",BH280,0)</f>
        <v>0</v>
      </c>
      <c r="AC280" s="30">
        <f t="shared" ref="AC280:AC292" si="335">IF(AQ280="1",BI280,0)</f>
        <v>0</v>
      </c>
      <c r="AD280" s="30">
        <f t="shared" ref="AD280:AD292" si="336">IF(AQ280="7",BH280,0)</f>
        <v>0</v>
      </c>
      <c r="AE280" s="30">
        <f t="shared" ref="AE280:AE292" si="337">IF(AQ280="7",BI280,0)</f>
        <v>0</v>
      </c>
      <c r="AF280" s="30">
        <f t="shared" ref="AF280:AF292" si="338">IF(AQ280="2",BH280,0)</f>
        <v>0</v>
      </c>
      <c r="AG280" s="30">
        <f t="shared" ref="AG280:AG292" si="339">IF(AQ280="2",BI280,0)</f>
        <v>0</v>
      </c>
      <c r="AH280" s="30">
        <f t="shared" ref="AH280:AH292" si="340">IF(AQ280="0",BJ280,0)</f>
        <v>0</v>
      </c>
      <c r="AI280" s="10" t="s">
        <v>50</v>
      </c>
      <c r="AJ280" s="30">
        <f t="shared" ref="AJ280:AJ292" si="341">IF(AN280=0,J280,0)</f>
        <v>0</v>
      </c>
      <c r="AK280" s="30">
        <f t="shared" ref="AK280:AK292" si="342">IF(AN280=12,J280,0)</f>
        <v>0</v>
      </c>
      <c r="AL280" s="30">
        <f t="shared" ref="AL280:AL292" si="343">IF(AN280=21,J280,0)</f>
        <v>0</v>
      </c>
      <c r="AN280" s="30">
        <v>12</v>
      </c>
      <c r="AO280" s="30">
        <f>G280*0.080773714</f>
        <v>0</v>
      </c>
      <c r="AP280" s="30">
        <f>G280*(1-0.080773714)</f>
        <v>0</v>
      </c>
      <c r="AQ280" s="31" t="s">
        <v>61</v>
      </c>
      <c r="AV280" s="30">
        <f t="shared" ref="AV280:AV292" si="344">AW280+AX280</f>
        <v>0</v>
      </c>
      <c r="AW280" s="30">
        <f t="shared" ref="AW280:AW292" si="345">F280*AO280</f>
        <v>0</v>
      </c>
      <c r="AX280" s="30">
        <f t="shared" ref="AX280:AX292" si="346">F280*AP280</f>
        <v>0</v>
      </c>
      <c r="AY280" s="31" t="s">
        <v>777</v>
      </c>
      <c r="AZ280" s="31" t="s">
        <v>778</v>
      </c>
      <c r="BA280" s="10" t="s">
        <v>60</v>
      </c>
      <c r="BC280" s="30">
        <f t="shared" ref="BC280:BC292" si="347">AW280+AX280</f>
        <v>0</v>
      </c>
      <c r="BD280" s="30">
        <f t="shared" ref="BD280:BD292" si="348">G280/(100-BE280)*100</f>
        <v>0</v>
      </c>
      <c r="BE280" s="30">
        <v>0</v>
      </c>
      <c r="BF280" s="30">
        <f>280</f>
        <v>280</v>
      </c>
      <c r="BH280" s="30">
        <f t="shared" ref="BH280:BH292" si="349">F280*AO280</f>
        <v>0</v>
      </c>
      <c r="BI280" s="30">
        <f t="shared" ref="BI280:BI292" si="350">F280*AP280</f>
        <v>0</v>
      </c>
      <c r="BJ280" s="30">
        <f t="shared" ref="BJ280:BJ292" si="351">F280*G280</f>
        <v>0</v>
      </c>
      <c r="BK280" s="30"/>
      <c r="BL280" s="30"/>
      <c r="BW280" s="30">
        <v>12</v>
      </c>
      <c r="BX280" s="4" t="s">
        <v>775</v>
      </c>
    </row>
    <row r="281" spans="1:76" x14ac:dyDescent="0.25">
      <c r="A281" s="32" t="s">
        <v>779</v>
      </c>
      <c r="B281" s="33" t="s">
        <v>780</v>
      </c>
      <c r="C281" s="141" t="s">
        <v>781</v>
      </c>
      <c r="D281" s="142"/>
      <c r="E281" s="33" t="s">
        <v>56</v>
      </c>
      <c r="F281" s="34">
        <v>1</v>
      </c>
      <c r="G281" s="35">
        <v>0</v>
      </c>
      <c r="H281" s="34">
        <f t="shared" si="330"/>
        <v>0</v>
      </c>
      <c r="I281" s="34">
        <f t="shared" si="331"/>
        <v>0</v>
      </c>
      <c r="J281" s="34">
        <f t="shared" si="332"/>
        <v>0</v>
      </c>
      <c r="K281" s="36" t="s">
        <v>57</v>
      </c>
      <c r="Z281" s="30">
        <f t="shared" si="333"/>
        <v>0</v>
      </c>
      <c r="AB281" s="30">
        <f t="shared" si="334"/>
        <v>0</v>
      </c>
      <c r="AC281" s="30">
        <f t="shared" si="335"/>
        <v>0</v>
      </c>
      <c r="AD281" s="30">
        <f t="shared" si="336"/>
        <v>0</v>
      </c>
      <c r="AE281" s="30">
        <f t="shared" si="337"/>
        <v>0</v>
      </c>
      <c r="AF281" s="30">
        <f t="shared" si="338"/>
        <v>0</v>
      </c>
      <c r="AG281" s="30">
        <f t="shared" si="339"/>
        <v>0</v>
      </c>
      <c r="AH281" s="30">
        <f t="shared" si="340"/>
        <v>0</v>
      </c>
      <c r="AI281" s="10" t="s">
        <v>50</v>
      </c>
      <c r="AJ281" s="30">
        <f t="shared" si="341"/>
        <v>0</v>
      </c>
      <c r="AK281" s="30">
        <f t="shared" si="342"/>
        <v>0</v>
      </c>
      <c r="AL281" s="30">
        <f t="shared" si="343"/>
        <v>0</v>
      </c>
      <c r="AN281" s="30">
        <v>12</v>
      </c>
      <c r="AO281" s="30">
        <f>G281*0</f>
        <v>0</v>
      </c>
      <c r="AP281" s="30">
        <f>G281*(1-0)</f>
        <v>0</v>
      </c>
      <c r="AQ281" s="31" t="s">
        <v>61</v>
      </c>
      <c r="AV281" s="30">
        <f t="shared" si="344"/>
        <v>0</v>
      </c>
      <c r="AW281" s="30">
        <f t="shared" si="345"/>
        <v>0</v>
      </c>
      <c r="AX281" s="30">
        <f t="shared" si="346"/>
        <v>0</v>
      </c>
      <c r="AY281" s="31" t="s">
        <v>777</v>
      </c>
      <c r="AZ281" s="31" t="s">
        <v>778</v>
      </c>
      <c r="BA281" s="10" t="s">
        <v>60</v>
      </c>
      <c r="BC281" s="30">
        <f t="shared" si="347"/>
        <v>0</v>
      </c>
      <c r="BD281" s="30">
        <f t="shared" si="348"/>
        <v>0</v>
      </c>
      <c r="BE281" s="30">
        <v>0</v>
      </c>
      <c r="BF281" s="30">
        <f>281</f>
        <v>281</v>
      </c>
      <c r="BH281" s="30">
        <f t="shared" si="349"/>
        <v>0</v>
      </c>
      <c r="BI281" s="30">
        <f t="shared" si="350"/>
        <v>0</v>
      </c>
      <c r="BJ281" s="30">
        <f t="shared" si="351"/>
        <v>0</v>
      </c>
      <c r="BK281" s="30"/>
      <c r="BL281" s="30"/>
      <c r="BW281" s="30">
        <v>12</v>
      </c>
      <c r="BX281" s="4" t="s">
        <v>781</v>
      </c>
    </row>
    <row r="282" spans="1:76" x14ac:dyDescent="0.25">
      <c r="A282" s="32" t="s">
        <v>782</v>
      </c>
      <c r="B282" s="33" t="s">
        <v>783</v>
      </c>
      <c r="C282" s="141" t="s">
        <v>784</v>
      </c>
      <c r="D282" s="142"/>
      <c r="E282" s="33" t="s">
        <v>56</v>
      </c>
      <c r="F282" s="34">
        <v>1</v>
      </c>
      <c r="G282" s="35">
        <v>0</v>
      </c>
      <c r="H282" s="34">
        <f t="shared" si="330"/>
        <v>0</v>
      </c>
      <c r="I282" s="34">
        <f t="shared" si="331"/>
        <v>0</v>
      </c>
      <c r="J282" s="34">
        <f t="shared" si="332"/>
        <v>0</v>
      </c>
      <c r="K282" s="36" t="s">
        <v>57</v>
      </c>
      <c r="Z282" s="30">
        <f t="shared" si="333"/>
        <v>0</v>
      </c>
      <c r="AB282" s="30">
        <f t="shared" si="334"/>
        <v>0</v>
      </c>
      <c r="AC282" s="30">
        <f t="shared" si="335"/>
        <v>0</v>
      </c>
      <c r="AD282" s="30">
        <f t="shared" si="336"/>
        <v>0</v>
      </c>
      <c r="AE282" s="30">
        <f t="shared" si="337"/>
        <v>0</v>
      </c>
      <c r="AF282" s="30">
        <f t="shared" si="338"/>
        <v>0</v>
      </c>
      <c r="AG282" s="30">
        <f t="shared" si="339"/>
        <v>0</v>
      </c>
      <c r="AH282" s="30">
        <f t="shared" si="340"/>
        <v>0</v>
      </c>
      <c r="AI282" s="10" t="s">
        <v>50</v>
      </c>
      <c r="AJ282" s="30">
        <f t="shared" si="341"/>
        <v>0</v>
      </c>
      <c r="AK282" s="30">
        <f t="shared" si="342"/>
        <v>0</v>
      </c>
      <c r="AL282" s="30">
        <f t="shared" si="343"/>
        <v>0</v>
      </c>
      <c r="AN282" s="30">
        <v>12</v>
      </c>
      <c r="AO282" s="30">
        <f>G282*1</f>
        <v>0</v>
      </c>
      <c r="AP282" s="30">
        <f>G282*(1-1)</f>
        <v>0</v>
      </c>
      <c r="AQ282" s="31" t="s">
        <v>53</v>
      </c>
      <c r="AV282" s="30">
        <f t="shared" si="344"/>
        <v>0</v>
      </c>
      <c r="AW282" s="30">
        <f t="shared" si="345"/>
        <v>0</v>
      </c>
      <c r="AX282" s="30">
        <f t="shared" si="346"/>
        <v>0</v>
      </c>
      <c r="AY282" s="31" t="s">
        <v>777</v>
      </c>
      <c r="AZ282" s="31" t="s">
        <v>778</v>
      </c>
      <c r="BA282" s="10" t="s">
        <v>60</v>
      </c>
      <c r="BC282" s="30">
        <f t="shared" si="347"/>
        <v>0</v>
      </c>
      <c r="BD282" s="30">
        <f t="shared" si="348"/>
        <v>0</v>
      </c>
      <c r="BE282" s="30">
        <v>0</v>
      </c>
      <c r="BF282" s="30">
        <f>282</f>
        <v>282</v>
      </c>
      <c r="BH282" s="30">
        <f t="shared" si="349"/>
        <v>0</v>
      </c>
      <c r="BI282" s="30">
        <f t="shared" si="350"/>
        <v>0</v>
      </c>
      <c r="BJ282" s="30">
        <f t="shared" si="351"/>
        <v>0</v>
      </c>
      <c r="BK282" s="30"/>
      <c r="BL282" s="30"/>
      <c r="BW282" s="30">
        <v>12</v>
      </c>
      <c r="BX282" s="4" t="s">
        <v>784</v>
      </c>
    </row>
    <row r="283" spans="1:76" x14ac:dyDescent="0.25">
      <c r="A283" s="32" t="s">
        <v>785</v>
      </c>
      <c r="B283" s="33" t="s">
        <v>786</v>
      </c>
      <c r="C283" s="141" t="s">
        <v>787</v>
      </c>
      <c r="D283" s="142"/>
      <c r="E283" s="33" t="s">
        <v>56</v>
      </c>
      <c r="F283" s="34">
        <v>1</v>
      </c>
      <c r="G283" s="35">
        <v>0</v>
      </c>
      <c r="H283" s="34">
        <f t="shared" si="330"/>
        <v>0</v>
      </c>
      <c r="I283" s="34">
        <f t="shared" si="331"/>
        <v>0</v>
      </c>
      <c r="J283" s="34">
        <f t="shared" si="332"/>
        <v>0</v>
      </c>
      <c r="K283" s="36" t="s">
        <v>57</v>
      </c>
      <c r="Z283" s="30">
        <f t="shared" si="333"/>
        <v>0</v>
      </c>
      <c r="AB283" s="30">
        <f t="shared" si="334"/>
        <v>0</v>
      </c>
      <c r="AC283" s="30">
        <f t="shared" si="335"/>
        <v>0</v>
      </c>
      <c r="AD283" s="30">
        <f t="shared" si="336"/>
        <v>0</v>
      </c>
      <c r="AE283" s="30">
        <f t="shared" si="337"/>
        <v>0</v>
      </c>
      <c r="AF283" s="30">
        <f t="shared" si="338"/>
        <v>0</v>
      </c>
      <c r="AG283" s="30">
        <f t="shared" si="339"/>
        <v>0</v>
      </c>
      <c r="AH283" s="30">
        <f t="shared" si="340"/>
        <v>0</v>
      </c>
      <c r="AI283" s="10" t="s">
        <v>50</v>
      </c>
      <c r="AJ283" s="30">
        <f t="shared" si="341"/>
        <v>0</v>
      </c>
      <c r="AK283" s="30">
        <f t="shared" si="342"/>
        <v>0</v>
      </c>
      <c r="AL283" s="30">
        <f t="shared" si="343"/>
        <v>0</v>
      </c>
      <c r="AN283" s="30">
        <v>12</v>
      </c>
      <c r="AO283" s="30">
        <f>G283*0</f>
        <v>0</v>
      </c>
      <c r="AP283" s="30">
        <f>G283*(1-0)</f>
        <v>0</v>
      </c>
      <c r="AQ283" s="31" t="s">
        <v>61</v>
      </c>
      <c r="AV283" s="30">
        <f t="shared" si="344"/>
        <v>0</v>
      </c>
      <c r="AW283" s="30">
        <f t="shared" si="345"/>
        <v>0</v>
      </c>
      <c r="AX283" s="30">
        <f t="shared" si="346"/>
        <v>0</v>
      </c>
      <c r="AY283" s="31" t="s">
        <v>777</v>
      </c>
      <c r="AZ283" s="31" t="s">
        <v>778</v>
      </c>
      <c r="BA283" s="10" t="s">
        <v>60</v>
      </c>
      <c r="BC283" s="30">
        <f t="shared" si="347"/>
        <v>0</v>
      </c>
      <c r="BD283" s="30">
        <f t="shared" si="348"/>
        <v>0</v>
      </c>
      <c r="BE283" s="30">
        <v>0</v>
      </c>
      <c r="BF283" s="30">
        <f>283</f>
        <v>283</v>
      </c>
      <c r="BH283" s="30">
        <f t="shared" si="349"/>
        <v>0</v>
      </c>
      <c r="BI283" s="30">
        <f t="shared" si="350"/>
        <v>0</v>
      </c>
      <c r="BJ283" s="30">
        <f t="shared" si="351"/>
        <v>0</v>
      </c>
      <c r="BK283" s="30"/>
      <c r="BL283" s="30"/>
      <c r="BW283" s="30">
        <v>12</v>
      </c>
      <c r="BX283" s="4" t="s">
        <v>787</v>
      </c>
    </row>
    <row r="284" spans="1:76" x14ac:dyDescent="0.25">
      <c r="A284" s="32" t="s">
        <v>788</v>
      </c>
      <c r="B284" s="33" t="s">
        <v>789</v>
      </c>
      <c r="C284" s="141" t="s">
        <v>790</v>
      </c>
      <c r="D284" s="142"/>
      <c r="E284" s="33" t="s">
        <v>56</v>
      </c>
      <c r="F284" s="34">
        <v>1</v>
      </c>
      <c r="G284" s="35">
        <v>0</v>
      </c>
      <c r="H284" s="34">
        <f t="shared" si="330"/>
        <v>0</v>
      </c>
      <c r="I284" s="34">
        <f t="shared" si="331"/>
        <v>0</v>
      </c>
      <c r="J284" s="34">
        <f t="shared" si="332"/>
        <v>0</v>
      </c>
      <c r="K284" s="36" t="s">
        <v>57</v>
      </c>
      <c r="Z284" s="30">
        <f t="shared" si="333"/>
        <v>0</v>
      </c>
      <c r="AB284" s="30">
        <f t="shared" si="334"/>
        <v>0</v>
      </c>
      <c r="AC284" s="30">
        <f t="shared" si="335"/>
        <v>0</v>
      </c>
      <c r="AD284" s="30">
        <f t="shared" si="336"/>
        <v>0</v>
      </c>
      <c r="AE284" s="30">
        <f t="shared" si="337"/>
        <v>0</v>
      </c>
      <c r="AF284" s="30">
        <f t="shared" si="338"/>
        <v>0</v>
      </c>
      <c r="AG284" s="30">
        <f t="shared" si="339"/>
        <v>0</v>
      </c>
      <c r="AH284" s="30">
        <f t="shared" si="340"/>
        <v>0</v>
      </c>
      <c r="AI284" s="10" t="s">
        <v>50</v>
      </c>
      <c r="AJ284" s="30">
        <f t="shared" si="341"/>
        <v>0</v>
      </c>
      <c r="AK284" s="30">
        <f t="shared" si="342"/>
        <v>0</v>
      </c>
      <c r="AL284" s="30">
        <f t="shared" si="343"/>
        <v>0</v>
      </c>
      <c r="AN284" s="30">
        <v>12</v>
      </c>
      <c r="AO284" s="30">
        <f>G284*1</f>
        <v>0</v>
      </c>
      <c r="AP284" s="30">
        <f>G284*(1-1)</f>
        <v>0</v>
      </c>
      <c r="AQ284" s="31" t="s">
        <v>53</v>
      </c>
      <c r="AV284" s="30">
        <f t="shared" si="344"/>
        <v>0</v>
      </c>
      <c r="AW284" s="30">
        <f t="shared" si="345"/>
        <v>0</v>
      </c>
      <c r="AX284" s="30">
        <f t="shared" si="346"/>
        <v>0</v>
      </c>
      <c r="AY284" s="31" t="s">
        <v>777</v>
      </c>
      <c r="AZ284" s="31" t="s">
        <v>778</v>
      </c>
      <c r="BA284" s="10" t="s">
        <v>60</v>
      </c>
      <c r="BC284" s="30">
        <f t="shared" si="347"/>
        <v>0</v>
      </c>
      <c r="BD284" s="30">
        <f t="shared" si="348"/>
        <v>0</v>
      </c>
      <c r="BE284" s="30">
        <v>0</v>
      </c>
      <c r="BF284" s="30">
        <f>284</f>
        <v>284</v>
      </c>
      <c r="BH284" s="30">
        <f t="shared" si="349"/>
        <v>0</v>
      </c>
      <c r="BI284" s="30">
        <f t="shared" si="350"/>
        <v>0</v>
      </c>
      <c r="BJ284" s="30">
        <f t="shared" si="351"/>
        <v>0</v>
      </c>
      <c r="BK284" s="30"/>
      <c r="BL284" s="30"/>
      <c r="BW284" s="30">
        <v>12</v>
      </c>
      <c r="BX284" s="4" t="s">
        <v>790</v>
      </c>
    </row>
    <row r="285" spans="1:76" x14ac:dyDescent="0.25">
      <c r="A285" s="32" t="s">
        <v>791</v>
      </c>
      <c r="B285" s="33" t="s">
        <v>792</v>
      </c>
      <c r="C285" s="141" t="s">
        <v>793</v>
      </c>
      <c r="D285" s="142"/>
      <c r="E285" s="33" t="s">
        <v>56</v>
      </c>
      <c r="F285" s="34">
        <v>1</v>
      </c>
      <c r="G285" s="35">
        <v>0</v>
      </c>
      <c r="H285" s="34">
        <f t="shared" si="330"/>
        <v>0</v>
      </c>
      <c r="I285" s="34">
        <f t="shared" si="331"/>
        <v>0</v>
      </c>
      <c r="J285" s="34">
        <f t="shared" si="332"/>
        <v>0</v>
      </c>
      <c r="K285" s="36" t="s">
        <v>57</v>
      </c>
      <c r="Z285" s="30">
        <f t="shared" si="333"/>
        <v>0</v>
      </c>
      <c r="AB285" s="30">
        <f t="shared" si="334"/>
        <v>0</v>
      </c>
      <c r="AC285" s="30">
        <f t="shared" si="335"/>
        <v>0</v>
      </c>
      <c r="AD285" s="30">
        <f t="shared" si="336"/>
        <v>0</v>
      </c>
      <c r="AE285" s="30">
        <f t="shared" si="337"/>
        <v>0</v>
      </c>
      <c r="AF285" s="30">
        <f t="shared" si="338"/>
        <v>0</v>
      </c>
      <c r="AG285" s="30">
        <f t="shared" si="339"/>
        <v>0</v>
      </c>
      <c r="AH285" s="30">
        <f t="shared" si="340"/>
        <v>0</v>
      </c>
      <c r="AI285" s="10" t="s">
        <v>50</v>
      </c>
      <c r="AJ285" s="30">
        <f t="shared" si="341"/>
        <v>0</v>
      </c>
      <c r="AK285" s="30">
        <f t="shared" si="342"/>
        <v>0</v>
      </c>
      <c r="AL285" s="30">
        <f t="shared" si="343"/>
        <v>0</v>
      </c>
      <c r="AN285" s="30">
        <v>12</v>
      </c>
      <c r="AO285" s="30">
        <f>G285*0</f>
        <v>0</v>
      </c>
      <c r="AP285" s="30">
        <f>G285*(1-0)</f>
        <v>0</v>
      </c>
      <c r="AQ285" s="31" t="s">
        <v>61</v>
      </c>
      <c r="AV285" s="30">
        <f t="shared" si="344"/>
        <v>0</v>
      </c>
      <c r="AW285" s="30">
        <f t="shared" si="345"/>
        <v>0</v>
      </c>
      <c r="AX285" s="30">
        <f t="shared" si="346"/>
        <v>0</v>
      </c>
      <c r="AY285" s="31" t="s">
        <v>777</v>
      </c>
      <c r="AZ285" s="31" t="s">
        <v>778</v>
      </c>
      <c r="BA285" s="10" t="s">
        <v>60</v>
      </c>
      <c r="BC285" s="30">
        <f t="shared" si="347"/>
        <v>0</v>
      </c>
      <c r="BD285" s="30">
        <f t="shared" si="348"/>
        <v>0</v>
      </c>
      <c r="BE285" s="30">
        <v>0</v>
      </c>
      <c r="BF285" s="30">
        <f>285</f>
        <v>285</v>
      </c>
      <c r="BH285" s="30">
        <f t="shared" si="349"/>
        <v>0</v>
      </c>
      <c r="BI285" s="30">
        <f t="shared" si="350"/>
        <v>0</v>
      </c>
      <c r="BJ285" s="30">
        <f t="shared" si="351"/>
        <v>0</v>
      </c>
      <c r="BK285" s="30"/>
      <c r="BL285" s="30"/>
      <c r="BW285" s="30">
        <v>12</v>
      </c>
      <c r="BX285" s="4" t="s">
        <v>793</v>
      </c>
    </row>
    <row r="286" spans="1:76" x14ac:dyDescent="0.25">
      <c r="A286" s="32" t="s">
        <v>794</v>
      </c>
      <c r="B286" s="33" t="s">
        <v>795</v>
      </c>
      <c r="C286" s="141" t="s">
        <v>796</v>
      </c>
      <c r="D286" s="142"/>
      <c r="E286" s="33" t="s">
        <v>56</v>
      </c>
      <c r="F286" s="34">
        <v>1</v>
      </c>
      <c r="G286" s="35">
        <v>0</v>
      </c>
      <c r="H286" s="34">
        <f t="shared" si="330"/>
        <v>0</v>
      </c>
      <c r="I286" s="34">
        <f t="shared" si="331"/>
        <v>0</v>
      </c>
      <c r="J286" s="34">
        <f t="shared" si="332"/>
        <v>0</v>
      </c>
      <c r="K286" s="36" t="s">
        <v>57</v>
      </c>
      <c r="Z286" s="30">
        <f t="shared" si="333"/>
        <v>0</v>
      </c>
      <c r="AB286" s="30">
        <f t="shared" si="334"/>
        <v>0</v>
      </c>
      <c r="AC286" s="30">
        <f t="shared" si="335"/>
        <v>0</v>
      </c>
      <c r="AD286" s="30">
        <f t="shared" si="336"/>
        <v>0</v>
      </c>
      <c r="AE286" s="30">
        <f t="shared" si="337"/>
        <v>0</v>
      </c>
      <c r="AF286" s="30">
        <f t="shared" si="338"/>
        <v>0</v>
      </c>
      <c r="AG286" s="30">
        <f t="shared" si="339"/>
        <v>0</v>
      </c>
      <c r="AH286" s="30">
        <f t="shared" si="340"/>
        <v>0</v>
      </c>
      <c r="AI286" s="10" t="s">
        <v>50</v>
      </c>
      <c r="AJ286" s="30">
        <f t="shared" si="341"/>
        <v>0</v>
      </c>
      <c r="AK286" s="30">
        <f t="shared" si="342"/>
        <v>0</v>
      </c>
      <c r="AL286" s="30">
        <f t="shared" si="343"/>
        <v>0</v>
      </c>
      <c r="AN286" s="30">
        <v>12</v>
      </c>
      <c r="AO286" s="30">
        <f>G286*1</f>
        <v>0</v>
      </c>
      <c r="AP286" s="30">
        <f>G286*(1-1)</f>
        <v>0</v>
      </c>
      <c r="AQ286" s="31" t="s">
        <v>53</v>
      </c>
      <c r="AV286" s="30">
        <f t="shared" si="344"/>
        <v>0</v>
      </c>
      <c r="AW286" s="30">
        <f t="shared" si="345"/>
        <v>0</v>
      </c>
      <c r="AX286" s="30">
        <f t="shared" si="346"/>
        <v>0</v>
      </c>
      <c r="AY286" s="31" t="s">
        <v>777</v>
      </c>
      <c r="AZ286" s="31" t="s">
        <v>778</v>
      </c>
      <c r="BA286" s="10" t="s">
        <v>60</v>
      </c>
      <c r="BC286" s="30">
        <f t="shared" si="347"/>
        <v>0</v>
      </c>
      <c r="BD286" s="30">
        <f t="shared" si="348"/>
        <v>0</v>
      </c>
      <c r="BE286" s="30">
        <v>0</v>
      </c>
      <c r="BF286" s="30">
        <f>286</f>
        <v>286</v>
      </c>
      <c r="BH286" s="30">
        <f t="shared" si="349"/>
        <v>0</v>
      </c>
      <c r="BI286" s="30">
        <f t="shared" si="350"/>
        <v>0</v>
      </c>
      <c r="BJ286" s="30">
        <f t="shared" si="351"/>
        <v>0</v>
      </c>
      <c r="BK286" s="30"/>
      <c r="BL286" s="30"/>
      <c r="BW286" s="30">
        <v>12</v>
      </c>
      <c r="BX286" s="4" t="s">
        <v>796</v>
      </c>
    </row>
    <row r="287" spans="1:76" x14ac:dyDescent="0.25">
      <c r="A287" s="32" t="s">
        <v>797</v>
      </c>
      <c r="B287" s="33" t="s">
        <v>798</v>
      </c>
      <c r="C287" s="141" t="s">
        <v>799</v>
      </c>
      <c r="D287" s="142"/>
      <c r="E287" s="33" t="s">
        <v>56</v>
      </c>
      <c r="F287" s="34">
        <v>13</v>
      </c>
      <c r="G287" s="35">
        <v>0</v>
      </c>
      <c r="H287" s="34">
        <f t="shared" si="330"/>
        <v>0</v>
      </c>
      <c r="I287" s="34">
        <f t="shared" si="331"/>
        <v>0</v>
      </c>
      <c r="J287" s="34">
        <f t="shared" si="332"/>
        <v>0</v>
      </c>
      <c r="K287" s="36" t="s">
        <v>57</v>
      </c>
      <c r="Z287" s="30">
        <f t="shared" si="333"/>
        <v>0</v>
      </c>
      <c r="AB287" s="30">
        <f t="shared" si="334"/>
        <v>0</v>
      </c>
      <c r="AC287" s="30">
        <f t="shared" si="335"/>
        <v>0</v>
      </c>
      <c r="AD287" s="30">
        <f t="shared" si="336"/>
        <v>0</v>
      </c>
      <c r="AE287" s="30">
        <f t="shared" si="337"/>
        <v>0</v>
      </c>
      <c r="AF287" s="30">
        <f t="shared" si="338"/>
        <v>0</v>
      </c>
      <c r="AG287" s="30">
        <f t="shared" si="339"/>
        <v>0</v>
      </c>
      <c r="AH287" s="30">
        <f t="shared" si="340"/>
        <v>0</v>
      </c>
      <c r="AI287" s="10" t="s">
        <v>50</v>
      </c>
      <c r="AJ287" s="30">
        <f t="shared" si="341"/>
        <v>0</v>
      </c>
      <c r="AK287" s="30">
        <f t="shared" si="342"/>
        <v>0</v>
      </c>
      <c r="AL287" s="30">
        <f t="shared" si="343"/>
        <v>0</v>
      </c>
      <c r="AN287" s="30">
        <v>12</v>
      </c>
      <c r="AO287" s="30">
        <f>G287*0</f>
        <v>0</v>
      </c>
      <c r="AP287" s="30">
        <f>G287*(1-0)</f>
        <v>0</v>
      </c>
      <c r="AQ287" s="31" t="s">
        <v>61</v>
      </c>
      <c r="AV287" s="30">
        <f t="shared" si="344"/>
        <v>0</v>
      </c>
      <c r="AW287" s="30">
        <f t="shared" si="345"/>
        <v>0</v>
      </c>
      <c r="AX287" s="30">
        <f t="shared" si="346"/>
        <v>0</v>
      </c>
      <c r="AY287" s="31" t="s">
        <v>777</v>
      </c>
      <c r="AZ287" s="31" t="s">
        <v>778</v>
      </c>
      <c r="BA287" s="10" t="s">
        <v>60</v>
      </c>
      <c r="BC287" s="30">
        <f t="shared" si="347"/>
        <v>0</v>
      </c>
      <c r="BD287" s="30">
        <f t="shared" si="348"/>
        <v>0</v>
      </c>
      <c r="BE287" s="30">
        <v>0</v>
      </c>
      <c r="BF287" s="30">
        <f>287</f>
        <v>287</v>
      </c>
      <c r="BH287" s="30">
        <f t="shared" si="349"/>
        <v>0</v>
      </c>
      <c r="BI287" s="30">
        <f t="shared" si="350"/>
        <v>0</v>
      </c>
      <c r="BJ287" s="30">
        <f t="shared" si="351"/>
        <v>0</v>
      </c>
      <c r="BK287" s="30"/>
      <c r="BL287" s="30"/>
      <c r="BW287" s="30">
        <v>12</v>
      </c>
      <c r="BX287" s="4" t="s">
        <v>799</v>
      </c>
    </row>
    <row r="288" spans="1:76" x14ac:dyDescent="0.25">
      <c r="A288" s="32" t="s">
        <v>800</v>
      </c>
      <c r="B288" s="33" t="s">
        <v>801</v>
      </c>
      <c r="C288" s="141" t="s">
        <v>802</v>
      </c>
      <c r="D288" s="142"/>
      <c r="E288" s="33" t="s">
        <v>56</v>
      </c>
      <c r="F288" s="34">
        <v>2</v>
      </c>
      <c r="G288" s="35">
        <v>0</v>
      </c>
      <c r="H288" s="34">
        <f t="shared" si="330"/>
        <v>0</v>
      </c>
      <c r="I288" s="34">
        <f t="shared" si="331"/>
        <v>0</v>
      </c>
      <c r="J288" s="34">
        <f t="shared" si="332"/>
        <v>0</v>
      </c>
      <c r="K288" s="36" t="s">
        <v>57</v>
      </c>
      <c r="Z288" s="30">
        <f t="shared" si="333"/>
        <v>0</v>
      </c>
      <c r="AB288" s="30">
        <f t="shared" si="334"/>
        <v>0</v>
      </c>
      <c r="AC288" s="30">
        <f t="shared" si="335"/>
        <v>0</v>
      </c>
      <c r="AD288" s="30">
        <f t="shared" si="336"/>
        <v>0</v>
      </c>
      <c r="AE288" s="30">
        <f t="shared" si="337"/>
        <v>0</v>
      </c>
      <c r="AF288" s="30">
        <f t="shared" si="338"/>
        <v>0</v>
      </c>
      <c r="AG288" s="30">
        <f t="shared" si="339"/>
        <v>0</v>
      </c>
      <c r="AH288" s="30">
        <f t="shared" si="340"/>
        <v>0</v>
      </c>
      <c r="AI288" s="10" t="s">
        <v>50</v>
      </c>
      <c r="AJ288" s="30">
        <f t="shared" si="341"/>
        <v>0</v>
      </c>
      <c r="AK288" s="30">
        <f t="shared" si="342"/>
        <v>0</v>
      </c>
      <c r="AL288" s="30">
        <f t="shared" si="343"/>
        <v>0</v>
      </c>
      <c r="AN288" s="30">
        <v>12</v>
      </c>
      <c r="AO288" s="30">
        <f>G288*1</f>
        <v>0</v>
      </c>
      <c r="AP288" s="30">
        <f>G288*(1-1)</f>
        <v>0</v>
      </c>
      <c r="AQ288" s="31" t="s">
        <v>53</v>
      </c>
      <c r="AV288" s="30">
        <f t="shared" si="344"/>
        <v>0</v>
      </c>
      <c r="AW288" s="30">
        <f t="shared" si="345"/>
        <v>0</v>
      </c>
      <c r="AX288" s="30">
        <f t="shared" si="346"/>
        <v>0</v>
      </c>
      <c r="AY288" s="31" t="s">
        <v>777</v>
      </c>
      <c r="AZ288" s="31" t="s">
        <v>778</v>
      </c>
      <c r="BA288" s="10" t="s">
        <v>60</v>
      </c>
      <c r="BC288" s="30">
        <f t="shared" si="347"/>
        <v>0</v>
      </c>
      <c r="BD288" s="30">
        <f t="shared" si="348"/>
        <v>0</v>
      </c>
      <c r="BE288" s="30">
        <v>0</v>
      </c>
      <c r="BF288" s="30">
        <f>288</f>
        <v>288</v>
      </c>
      <c r="BH288" s="30">
        <f t="shared" si="349"/>
        <v>0</v>
      </c>
      <c r="BI288" s="30">
        <f t="shared" si="350"/>
        <v>0</v>
      </c>
      <c r="BJ288" s="30">
        <f t="shared" si="351"/>
        <v>0</v>
      </c>
      <c r="BK288" s="30"/>
      <c r="BL288" s="30"/>
      <c r="BW288" s="30">
        <v>12</v>
      </c>
      <c r="BX288" s="4" t="s">
        <v>802</v>
      </c>
    </row>
    <row r="289" spans="1:76" x14ac:dyDescent="0.25">
      <c r="A289" s="32" t="s">
        <v>803</v>
      </c>
      <c r="B289" s="33" t="s">
        <v>804</v>
      </c>
      <c r="C289" s="141" t="s">
        <v>805</v>
      </c>
      <c r="D289" s="142"/>
      <c r="E289" s="33" t="s">
        <v>56</v>
      </c>
      <c r="F289" s="34">
        <v>2</v>
      </c>
      <c r="G289" s="35">
        <v>0</v>
      </c>
      <c r="H289" s="34">
        <f t="shared" si="330"/>
        <v>0</v>
      </c>
      <c r="I289" s="34">
        <f t="shared" si="331"/>
        <v>0</v>
      </c>
      <c r="J289" s="34">
        <f t="shared" si="332"/>
        <v>0</v>
      </c>
      <c r="K289" s="36" t="s">
        <v>57</v>
      </c>
      <c r="Z289" s="30">
        <f t="shared" si="333"/>
        <v>0</v>
      </c>
      <c r="AB289" s="30">
        <f t="shared" si="334"/>
        <v>0</v>
      </c>
      <c r="AC289" s="30">
        <f t="shared" si="335"/>
        <v>0</v>
      </c>
      <c r="AD289" s="30">
        <f t="shared" si="336"/>
        <v>0</v>
      </c>
      <c r="AE289" s="30">
        <f t="shared" si="337"/>
        <v>0</v>
      </c>
      <c r="AF289" s="30">
        <f t="shared" si="338"/>
        <v>0</v>
      </c>
      <c r="AG289" s="30">
        <f t="shared" si="339"/>
        <v>0</v>
      </c>
      <c r="AH289" s="30">
        <f t="shared" si="340"/>
        <v>0</v>
      </c>
      <c r="AI289" s="10" t="s">
        <v>50</v>
      </c>
      <c r="AJ289" s="30">
        <f t="shared" si="341"/>
        <v>0</v>
      </c>
      <c r="AK289" s="30">
        <f t="shared" si="342"/>
        <v>0</v>
      </c>
      <c r="AL289" s="30">
        <f t="shared" si="343"/>
        <v>0</v>
      </c>
      <c r="AN289" s="30">
        <v>12</v>
      </c>
      <c r="AO289" s="30">
        <f>G289*1</f>
        <v>0</v>
      </c>
      <c r="AP289" s="30">
        <f>G289*(1-1)</f>
        <v>0</v>
      </c>
      <c r="AQ289" s="31" t="s">
        <v>53</v>
      </c>
      <c r="AV289" s="30">
        <f t="shared" si="344"/>
        <v>0</v>
      </c>
      <c r="AW289" s="30">
        <f t="shared" si="345"/>
        <v>0</v>
      </c>
      <c r="AX289" s="30">
        <f t="shared" si="346"/>
        <v>0</v>
      </c>
      <c r="AY289" s="31" t="s">
        <v>777</v>
      </c>
      <c r="AZ289" s="31" t="s">
        <v>778</v>
      </c>
      <c r="BA289" s="10" t="s">
        <v>60</v>
      </c>
      <c r="BC289" s="30">
        <f t="shared" si="347"/>
        <v>0</v>
      </c>
      <c r="BD289" s="30">
        <f t="shared" si="348"/>
        <v>0</v>
      </c>
      <c r="BE289" s="30">
        <v>0</v>
      </c>
      <c r="BF289" s="30">
        <f>289</f>
        <v>289</v>
      </c>
      <c r="BH289" s="30">
        <f t="shared" si="349"/>
        <v>0</v>
      </c>
      <c r="BI289" s="30">
        <f t="shared" si="350"/>
        <v>0</v>
      </c>
      <c r="BJ289" s="30">
        <f t="shared" si="351"/>
        <v>0</v>
      </c>
      <c r="BK289" s="30"/>
      <c r="BL289" s="30"/>
      <c r="BW289" s="30">
        <v>12</v>
      </c>
      <c r="BX289" s="4" t="s">
        <v>805</v>
      </c>
    </row>
    <row r="290" spans="1:76" x14ac:dyDescent="0.25">
      <c r="A290" s="32" t="s">
        <v>806</v>
      </c>
      <c r="B290" s="33" t="s">
        <v>807</v>
      </c>
      <c r="C290" s="141" t="s">
        <v>808</v>
      </c>
      <c r="D290" s="142"/>
      <c r="E290" s="33" t="s">
        <v>56</v>
      </c>
      <c r="F290" s="34">
        <v>9</v>
      </c>
      <c r="G290" s="35">
        <v>0</v>
      </c>
      <c r="H290" s="34">
        <f t="shared" si="330"/>
        <v>0</v>
      </c>
      <c r="I290" s="34">
        <f t="shared" si="331"/>
        <v>0</v>
      </c>
      <c r="J290" s="34">
        <f t="shared" si="332"/>
        <v>0</v>
      </c>
      <c r="K290" s="36" t="s">
        <v>57</v>
      </c>
      <c r="Z290" s="30">
        <f t="shared" si="333"/>
        <v>0</v>
      </c>
      <c r="AB290" s="30">
        <f t="shared" si="334"/>
        <v>0</v>
      </c>
      <c r="AC290" s="30">
        <f t="shared" si="335"/>
        <v>0</v>
      </c>
      <c r="AD290" s="30">
        <f t="shared" si="336"/>
        <v>0</v>
      </c>
      <c r="AE290" s="30">
        <f t="shared" si="337"/>
        <v>0</v>
      </c>
      <c r="AF290" s="30">
        <f t="shared" si="338"/>
        <v>0</v>
      </c>
      <c r="AG290" s="30">
        <f t="shared" si="339"/>
        <v>0</v>
      </c>
      <c r="AH290" s="30">
        <f t="shared" si="340"/>
        <v>0</v>
      </c>
      <c r="AI290" s="10" t="s">
        <v>50</v>
      </c>
      <c r="AJ290" s="30">
        <f t="shared" si="341"/>
        <v>0</v>
      </c>
      <c r="AK290" s="30">
        <f t="shared" si="342"/>
        <v>0</v>
      </c>
      <c r="AL290" s="30">
        <f t="shared" si="343"/>
        <v>0</v>
      </c>
      <c r="AN290" s="30">
        <v>12</v>
      </c>
      <c r="AO290" s="30">
        <f>G290*1</f>
        <v>0</v>
      </c>
      <c r="AP290" s="30">
        <f>G290*(1-1)</f>
        <v>0</v>
      </c>
      <c r="AQ290" s="31" t="s">
        <v>53</v>
      </c>
      <c r="AV290" s="30">
        <f t="shared" si="344"/>
        <v>0</v>
      </c>
      <c r="AW290" s="30">
        <f t="shared" si="345"/>
        <v>0</v>
      </c>
      <c r="AX290" s="30">
        <f t="shared" si="346"/>
        <v>0</v>
      </c>
      <c r="AY290" s="31" t="s">
        <v>777</v>
      </c>
      <c r="AZ290" s="31" t="s">
        <v>778</v>
      </c>
      <c r="BA290" s="10" t="s">
        <v>60</v>
      </c>
      <c r="BC290" s="30">
        <f t="shared" si="347"/>
        <v>0</v>
      </c>
      <c r="BD290" s="30">
        <f t="shared" si="348"/>
        <v>0</v>
      </c>
      <c r="BE290" s="30">
        <v>0</v>
      </c>
      <c r="BF290" s="30">
        <f>290</f>
        <v>290</v>
      </c>
      <c r="BH290" s="30">
        <f t="shared" si="349"/>
        <v>0</v>
      </c>
      <c r="BI290" s="30">
        <f t="shared" si="350"/>
        <v>0</v>
      </c>
      <c r="BJ290" s="30">
        <f t="shared" si="351"/>
        <v>0</v>
      </c>
      <c r="BK290" s="30"/>
      <c r="BL290" s="30"/>
      <c r="BW290" s="30">
        <v>12</v>
      </c>
      <c r="BX290" s="4" t="s">
        <v>808</v>
      </c>
    </row>
    <row r="291" spans="1:76" x14ac:dyDescent="0.25">
      <c r="A291" s="32" t="s">
        <v>809</v>
      </c>
      <c r="B291" s="33" t="s">
        <v>810</v>
      </c>
      <c r="C291" s="141" t="s">
        <v>811</v>
      </c>
      <c r="D291" s="142"/>
      <c r="E291" s="33" t="s">
        <v>56</v>
      </c>
      <c r="F291" s="34">
        <v>1</v>
      </c>
      <c r="G291" s="35">
        <v>0</v>
      </c>
      <c r="H291" s="34">
        <f t="shared" si="330"/>
        <v>0</v>
      </c>
      <c r="I291" s="34">
        <f t="shared" si="331"/>
        <v>0</v>
      </c>
      <c r="J291" s="34">
        <f t="shared" si="332"/>
        <v>0</v>
      </c>
      <c r="K291" s="36" t="s">
        <v>57</v>
      </c>
      <c r="Z291" s="30">
        <f t="shared" si="333"/>
        <v>0</v>
      </c>
      <c r="AB291" s="30">
        <f t="shared" si="334"/>
        <v>0</v>
      </c>
      <c r="AC291" s="30">
        <f t="shared" si="335"/>
        <v>0</v>
      </c>
      <c r="AD291" s="30">
        <f t="shared" si="336"/>
        <v>0</v>
      </c>
      <c r="AE291" s="30">
        <f t="shared" si="337"/>
        <v>0</v>
      </c>
      <c r="AF291" s="30">
        <f t="shared" si="338"/>
        <v>0</v>
      </c>
      <c r="AG291" s="30">
        <f t="shared" si="339"/>
        <v>0</v>
      </c>
      <c r="AH291" s="30">
        <f t="shared" si="340"/>
        <v>0</v>
      </c>
      <c r="AI291" s="10" t="s">
        <v>50</v>
      </c>
      <c r="AJ291" s="30">
        <f t="shared" si="341"/>
        <v>0</v>
      </c>
      <c r="AK291" s="30">
        <f t="shared" si="342"/>
        <v>0</v>
      </c>
      <c r="AL291" s="30">
        <f t="shared" si="343"/>
        <v>0</v>
      </c>
      <c r="AN291" s="30">
        <v>12</v>
      </c>
      <c r="AO291" s="30">
        <f>G291*1</f>
        <v>0</v>
      </c>
      <c r="AP291" s="30">
        <f>G291*(1-1)</f>
        <v>0</v>
      </c>
      <c r="AQ291" s="31" t="s">
        <v>53</v>
      </c>
      <c r="AV291" s="30">
        <f t="shared" si="344"/>
        <v>0</v>
      </c>
      <c r="AW291" s="30">
        <f t="shared" si="345"/>
        <v>0</v>
      </c>
      <c r="AX291" s="30">
        <f t="shared" si="346"/>
        <v>0</v>
      </c>
      <c r="AY291" s="31" t="s">
        <v>777</v>
      </c>
      <c r="AZ291" s="31" t="s">
        <v>778</v>
      </c>
      <c r="BA291" s="10" t="s">
        <v>60</v>
      </c>
      <c r="BC291" s="30">
        <f t="shared" si="347"/>
        <v>0</v>
      </c>
      <c r="BD291" s="30">
        <f t="shared" si="348"/>
        <v>0</v>
      </c>
      <c r="BE291" s="30">
        <v>0</v>
      </c>
      <c r="BF291" s="30">
        <f>291</f>
        <v>291</v>
      </c>
      <c r="BH291" s="30">
        <f t="shared" si="349"/>
        <v>0</v>
      </c>
      <c r="BI291" s="30">
        <f t="shared" si="350"/>
        <v>0</v>
      </c>
      <c r="BJ291" s="30">
        <f t="shared" si="351"/>
        <v>0</v>
      </c>
      <c r="BK291" s="30"/>
      <c r="BL291" s="30"/>
      <c r="BW291" s="30">
        <v>12</v>
      </c>
      <c r="BX291" s="4" t="s">
        <v>811</v>
      </c>
    </row>
    <row r="292" spans="1:76" x14ac:dyDescent="0.25">
      <c r="A292" s="32" t="s">
        <v>812</v>
      </c>
      <c r="B292" s="33" t="s">
        <v>813</v>
      </c>
      <c r="C292" s="141" t="s">
        <v>814</v>
      </c>
      <c r="D292" s="142"/>
      <c r="E292" s="33" t="s">
        <v>56</v>
      </c>
      <c r="F292" s="34">
        <v>43</v>
      </c>
      <c r="G292" s="35">
        <v>0</v>
      </c>
      <c r="H292" s="34">
        <f t="shared" si="330"/>
        <v>0</v>
      </c>
      <c r="I292" s="34">
        <f t="shared" si="331"/>
        <v>0</v>
      </c>
      <c r="J292" s="34">
        <f t="shared" si="332"/>
        <v>0</v>
      </c>
      <c r="K292" s="36" t="s">
        <v>57</v>
      </c>
      <c r="Z292" s="30">
        <f t="shared" si="333"/>
        <v>0</v>
      </c>
      <c r="AB292" s="30">
        <f t="shared" si="334"/>
        <v>0</v>
      </c>
      <c r="AC292" s="30">
        <f t="shared" si="335"/>
        <v>0</v>
      </c>
      <c r="AD292" s="30">
        <f t="shared" si="336"/>
        <v>0</v>
      </c>
      <c r="AE292" s="30">
        <f t="shared" si="337"/>
        <v>0</v>
      </c>
      <c r="AF292" s="30">
        <f t="shared" si="338"/>
        <v>0</v>
      </c>
      <c r="AG292" s="30">
        <f t="shared" si="339"/>
        <v>0</v>
      </c>
      <c r="AH292" s="30">
        <f t="shared" si="340"/>
        <v>0</v>
      </c>
      <c r="AI292" s="10" t="s">
        <v>50</v>
      </c>
      <c r="AJ292" s="30">
        <f t="shared" si="341"/>
        <v>0</v>
      </c>
      <c r="AK292" s="30">
        <f t="shared" si="342"/>
        <v>0</v>
      </c>
      <c r="AL292" s="30">
        <f t="shared" si="343"/>
        <v>0</v>
      </c>
      <c r="AN292" s="30">
        <v>12</v>
      </c>
      <c r="AO292" s="30">
        <f>G292*0.567125382</f>
        <v>0</v>
      </c>
      <c r="AP292" s="30">
        <f>G292*(1-0.567125382)</f>
        <v>0</v>
      </c>
      <c r="AQ292" s="31" t="s">
        <v>61</v>
      </c>
      <c r="AV292" s="30">
        <f t="shared" si="344"/>
        <v>0</v>
      </c>
      <c r="AW292" s="30">
        <f t="shared" si="345"/>
        <v>0</v>
      </c>
      <c r="AX292" s="30">
        <f t="shared" si="346"/>
        <v>0</v>
      </c>
      <c r="AY292" s="31" t="s">
        <v>777</v>
      </c>
      <c r="AZ292" s="31" t="s">
        <v>778</v>
      </c>
      <c r="BA292" s="10" t="s">
        <v>60</v>
      </c>
      <c r="BC292" s="30">
        <f t="shared" si="347"/>
        <v>0</v>
      </c>
      <c r="BD292" s="30">
        <f t="shared" si="348"/>
        <v>0</v>
      </c>
      <c r="BE292" s="30">
        <v>0</v>
      </c>
      <c r="BF292" s="30">
        <f>292</f>
        <v>292</v>
      </c>
      <c r="BH292" s="30">
        <f t="shared" si="349"/>
        <v>0</v>
      </c>
      <c r="BI292" s="30">
        <f t="shared" si="350"/>
        <v>0</v>
      </c>
      <c r="BJ292" s="30">
        <f t="shared" si="351"/>
        <v>0</v>
      </c>
      <c r="BK292" s="30"/>
      <c r="BL292" s="30"/>
      <c r="BW292" s="30">
        <v>12</v>
      </c>
      <c r="BX292" s="4" t="s">
        <v>814</v>
      </c>
    </row>
    <row r="293" spans="1:76" ht="13.5" customHeight="1" x14ac:dyDescent="0.25">
      <c r="A293" s="37"/>
      <c r="B293" s="38" t="s">
        <v>84</v>
      </c>
      <c r="C293" s="152" t="s">
        <v>815</v>
      </c>
      <c r="D293" s="153"/>
      <c r="E293" s="153"/>
      <c r="F293" s="153"/>
      <c r="G293" s="154"/>
      <c r="H293" s="153"/>
      <c r="I293" s="153"/>
      <c r="J293" s="153"/>
      <c r="K293" s="155"/>
    </row>
    <row r="294" spans="1:76" x14ac:dyDescent="0.25">
      <c r="A294" s="25" t="s">
        <v>816</v>
      </c>
      <c r="B294" s="26" t="s">
        <v>817</v>
      </c>
      <c r="C294" s="150" t="s">
        <v>818</v>
      </c>
      <c r="D294" s="151"/>
      <c r="E294" s="26" t="s">
        <v>56</v>
      </c>
      <c r="F294" s="27">
        <v>8</v>
      </c>
      <c r="G294" s="28">
        <v>0</v>
      </c>
      <c r="H294" s="27">
        <f>F294*AO294</f>
        <v>0</v>
      </c>
      <c r="I294" s="27">
        <f>F294*AP294</f>
        <v>0</v>
      </c>
      <c r="J294" s="27">
        <f>F294*G294</f>
        <v>0</v>
      </c>
      <c r="K294" s="29" t="s">
        <v>57</v>
      </c>
      <c r="Z294" s="30">
        <f>IF(AQ294="5",BJ294,0)</f>
        <v>0</v>
      </c>
      <c r="AB294" s="30">
        <f>IF(AQ294="1",BH294,0)</f>
        <v>0</v>
      </c>
      <c r="AC294" s="30">
        <f>IF(AQ294="1",BI294,0)</f>
        <v>0</v>
      </c>
      <c r="AD294" s="30">
        <f>IF(AQ294="7",BH294,0)</f>
        <v>0</v>
      </c>
      <c r="AE294" s="30">
        <f>IF(AQ294="7",BI294,0)</f>
        <v>0</v>
      </c>
      <c r="AF294" s="30">
        <f>IF(AQ294="2",BH294,0)</f>
        <v>0</v>
      </c>
      <c r="AG294" s="30">
        <f>IF(AQ294="2",BI294,0)</f>
        <v>0</v>
      </c>
      <c r="AH294" s="30">
        <f>IF(AQ294="0",BJ294,0)</f>
        <v>0</v>
      </c>
      <c r="AI294" s="10" t="s">
        <v>50</v>
      </c>
      <c r="AJ294" s="30">
        <f>IF(AN294=0,J294,0)</f>
        <v>0</v>
      </c>
      <c r="AK294" s="30">
        <f>IF(AN294=12,J294,0)</f>
        <v>0</v>
      </c>
      <c r="AL294" s="30">
        <f>IF(AN294=21,J294,0)</f>
        <v>0</v>
      </c>
      <c r="AN294" s="30">
        <v>12</v>
      </c>
      <c r="AO294" s="30">
        <f>G294*0.766569338</f>
        <v>0</v>
      </c>
      <c r="AP294" s="30">
        <f>G294*(1-0.766569338)</f>
        <v>0</v>
      </c>
      <c r="AQ294" s="31" t="s">
        <v>61</v>
      </c>
      <c r="AV294" s="30">
        <f>AW294+AX294</f>
        <v>0</v>
      </c>
      <c r="AW294" s="30">
        <f>F294*AO294</f>
        <v>0</v>
      </c>
      <c r="AX294" s="30">
        <f>F294*AP294</f>
        <v>0</v>
      </c>
      <c r="AY294" s="31" t="s">
        <v>777</v>
      </c>
      <c r="AZ294" s="31" t="s">
        <v>778</v>
      </c>
      <c r="BA294" s="10" t="s">
        <v>60</v>
      </c>
      <c r="BC294" s="30">
        <f>AW294+AX294</f>
        <v>0</v>
      </c>
      <c r="BD294" s="30">
        <f>G294/(100-BE294)*100</f>
        <v>0</v>
      </c>
      <c r="BE294" s="30">
        <v>0</v>
      </c>
      <c r="BF294" s="30">
        <f>294</f>
        <v>294</v>
      </c>
      <c r="BH294" s="30">
        <f>F294*AO294</f>
        <v>0</v>
      </c>
      <c r="BI294" s="30">
        <f>F294*AP294</f>
        <v>0</v>
      </c>
      <c r="BJ294" s="30">
        <f>F294*G294</f>
        <v>0</v>
      </c>
      <c r="BK294" s="30"/>
      <c r="BL294" s="30"/>
      <c r="BW294" s="30">
        <v>12</v>
      </c>
      <c r="BX294" s="4" t="s">
        <v>818</v>
      </c>
    </row>
    <row r="295" spans="1:76" ht="13.5" customHeight="1" x14ac:dyDescent="0.25">
      <c r="A295" s="37"/>
      <c r="B295" s="38" t="s">
        <v>84</v>
      </c>
      <c r="C295" s="152" t="s">
        <v>819</v>
      </c>
      <c r="D295" s="153"/>
      <c r="E295" s="153"/>
      <c r="F295" s="153"/>
      <c r="G295" s="154"/>
      <c r="H295" s="153"/>
      <c r="I295" s="153"/>
      <c r="J295" s="153"/>
      <c r="K295" s="155"/>
    </row>
    <row r="296" spans="1:76" x14ac:dyDescent="0.25">
      <c r="A296" s="25" t="s">
        <v>820</v>
      </c>
      <c r="B296" s="26" t="s">
        <v>821</v>
      </c>
      <c r="C296" s="150" t="s">
        <v>822</v>
      </c>
      <c r="D296" s="151"/>
      <c r="E296" s="26" t="s">
        <v>56</v>
      </c>
      <c r="F296" s="27">
        <v>2</v>
      </c>
      <c r="G296" s="28">
        <v>0</v>
      </c>
      <c r="H296" s="27">
        <f>F296*AO296</f>
        <v>0</v>
      </c>
      <c r="I296" s="27">
        <f>F296*AP296</f>
        <v>0</v>
      </c>
      <c r="J296" s="27">
        <f>F296*G296</f>
        <v>0</v>
      </c>
      <c r="K296" s="29" t="s">
        <v>57</v>
      </c>
      <c r="Z296" s="30">
        <f>IF(AQ296="5",BJ296,0)</f>
        <v>0</v>
      </c>
      <c r="AB296" s="30">
        <f>IF(AQ296="1",BH296,0)</f>
        <v>0</v>
      </c>
      <c r="AC296" s="30">
        <f>IF(AQ296="1",BI296,0)</f>
        <v>0</v>
      </c>
      <c r="AD296" s="30">
        <f>IF(AQ296="7",BH296,0)</f>
        <v>0</v>
      </c>
      <c r="AE296" s="30">
        <f>IF(AQ296="7",BI296,0)</f>
        <v>0</v>
      </c>
      <c r="AF296" s="30">
        <f>IF(AQ296="2",BH296,0)</f>
        <v>0</v>
      </c>
      <c r="AG296" s="30">
        <f>IF(AQ296="2",BI296,0)</f>
        <v>0</v>
      </c>
      <c r="AH296" s="30">
        <f>IF(AQ296="0",BJ296,0)</f>
        <v>0</v>
      </c>
      <c r="AI296" s="10" t="s">
        <v>50</v>
      </c>
      <c r="AJ296" s="30">
        <f>IF(AN296=0,J296,0)</f>
        <v>0</v>
      </c>
      <c r="AK296" s="30">
        <f>IF(AN296=12,J296,0)</f>
        <v>0</v>
      </c>
      <c r="AL296" s="30">
        <f>IF(AN296=21,J296,0)</f>
        <v>0</v>
      </c>
      <c r="AN296" s="30">
        <v>12</v>
      </c>
      <c r="AO296" s="30">
        <f>G296*0.7767</f>
        <v>0</v>
      </c>
      <c r="AP296" s="30">
        <f>G296*(1-0.7767)</f>
        <v>0</v>
      </c>
      <c r="AQ296" s="31" t="s">
        <v>61</v>
      </c>
      <c r="AV296" s="30">
        <f>AW296+AX296</f>
        <v>0</v>
      </c>
      <c r="AW296" s="30">
        <f>F296*AO296</f>
        <v>0</v>
      </c>
      <c r="AX296" s="30">
        <f>F296*AP296</f>
        <v>0</v>
      </c>
      <c r="AY296" s="31" t="s">
        <v>777</v>
      </c>
      <c r="AZ296" s="31" t="s">
        <v>778</v>
      </c>
      <c r="BA296" s="10" t="s">
        <v>60</v>
      </c>
      <c r="BC296" s="30">
        <f>AW296+AX296</f>
        <v>0</v>
      </c>
      <c r="BD296" s="30">
        <f>G296/(100-BE296)*100</f>
        <v>0</v>
      </c>
      <c r="BE296" s="30">
        <v>0</v>
      </c>
      <c r="BF296" s="30">
        <f>296</f>
        <v>296</v>
      </c>
      <c r="BH296" s="30">
        <f>F296*AO296</f>
        <v>0</v>
      </c>
      <c r="BI296" s="30">
        <f>F296*AP296</f>
        <v>0</v>
      </c>
      <c r="BJ296" s="30">
        <f>F296*G296</f>
        <v>0</v>
      </c>
      <c r="BK296" s="30"/>
      <c r="BL296" s="30"/>
      <c r="BW296" s="30">
        <v>12</v>
      </c>
      <c r="BX296" s="4" t="s">
        <v>822</v>
      </c>
    </row>
    <row r="297" spans="1:76" ht="13.5" customHeight="1" x14ac:dyDescent="0.25">
      <c r="A297" s="37"/>
      <c r="B297" s="38" t="s">
        <v>84</v>
      </c>
      <c r="C297" s="152" t="s">
        <v>819</v>
      </c>
      <c r="D297" s="153"/>
      <c r="E297" s="153"/>
      <c r="F297" s="153"/>
      <c r="G297" s="154"/>
      <c r="H297" s="153"/>
      <c r="I297" s="153"/>
      <c r="J297" s="153"/>
      <c r="K297" s="155"/>
    </row>
    <row r="298" spans="1:76" x14ac:dyDescent="0.25">
      <c r="A298" s="25" t="s">
        <v>823</v>
      </c>
      <c r="B298" s="26" t="s">
        <v>824</v>
      </c>
      <c r="C298" s="150" t="s">
        <v>825</v>
      </c>
      <c r="D298" s="151"/>
      <c r="E298" s="26" t="s">
        <v>56</v>
      </c>
      <c r="F298" s="27">
        <v>1</v>
      </c>
      <c r="G298" s="28">
        <v>0</v>
      </c>
      <c r="H298" s="27">
        <f t="shared" ref="H298:H313" si="352">F298*AO298</f>
        <v>0</v>
      </c>
      <c r="I298" s="27">
        <f t="shared" ref="I298:I313" si="353">F298*AP298</f>
        <v>0</v>
      </c>
      <c r="J298" s="27">
        <f t="shared" ref="J298:J313" si="354">F298*G298</f>
        <v>0</v>
      </c>
      <c r="K298" s="29" t="s">
        <v>57</v>
      </c>
      <c r="Z298" s="30">
        <f t="shared" ref="Z298:Z313" si="355">IF(AQ298="5",BJ298,0)</f>
        <v>0</v>
      </c>
      <c r="AB298" s="30">
        <f t="shared" ref="AB298:AB313" si="356">IF(AQ298="1",BH298,0)</f>
        <v>0</v>
      </c>
      <c r="AC298" s="30">
        <f t="shared" ref="AC298:AC313" si="357">IF(AQ298="1",BI298,0)</f>
        <v>0</v>
      </c>
      <c r="AD298" s="30">
        <f t="shared" ref="AD298:AD313" si="358">IF(AQ298="7",BH298,0)</f>
        <v>0</v>
      </c>
      <c r="AE298" s="30">
        <f t="shared" ref="AE298:AE313" si="359">IF(AQ298="7",BI298,0)</f>
        <v>0</v>
      </c>
      <c r="AF298" s="30">
        <f t="shared" ref="AF298:AF313" si="360">IF(AQ298="2",BH298,0)</f>
        <v>0</v>
      </c>
      <c r="AG298" s="30">
        <f t="shared" ref="AG298:AG313" si="361">IF(AQ298="2",BI298,0)</f>
        <v>0</v>
      </c>
      <c r="AH298" s="30">
        <f t="shared" ref="AH298:AH313" si="362">IF(AQ298="0",BJ298,0)</f>
        <v>0</v>
      </c>
      <c r="AI298" s="10" t="s">
        <v>50</v>
      </c>
      <c r="AJ298" s="30">
        <f t="shared" ref="AJ298:AJ313" si="363">IF(AN298=0,J298,0)</f>
        <v>0</v>
      </c>
      <c r="AK298" s="30">
        <f t="shared" ref="AK298:AK313" si="364">IF(AN298=12,J298,0)</f>
        <v>0</v>
      </c>
      <c r="AL298" s="30">
        <f t="shared" ref="AL298:AL313" si="365">IF(AN298=21,J298,0)</f>
        <v>0</v>
      </c>
      <c r="AN298" s="30">
        <v>12</v>
      </c>
      <c r="AO298" s="30">
        <f>G298*0</f>
        <v>0</v>
      </c>
      <c r="AP298" s="30">
        <f>G298*(1-0)</f>
        <v>0</v>
      </c>
      <c r="AQ298" s="31" t="s">
        <v>61</v>
      </c>
      <c r="AV298" s="30">
        <f t="shared" ref="AV298:AV313" si="366">AW298+AX298</f>
        <v>0</v>
      </c>
      <c r="AW298" s="30">
        <f t="shared" ref="AW298:AW313" si="367">F298*AO298</f>
        <v>0</v>
      </c>
      <c r="AX298" s="30">
        <f t="shared" ref="AX298:AX313" si="368">F298*AP298</f>
        <v>0</v>
      </c>
      <c r="AY298" s="31" t="s">
        <v>777</v>
      </c>
      <c r="AZ298" s="31" t="s">
        <v>778</v>
      </c>
      <c r="BA298" s="10" t="s">
        <v>60</v>
      </c>
      <c r="BC298" s="30">
        <f t="shared" ref="BC298:BC313" si="369">AW298+AX298</f>
        <v>0</v>
      </c>
      <c r="BD298" s="30">
        <f t="shared" ref="BD298:BD313" si="370">G298/(100-BE298)*100</f>
        <v>0</v>
      </c>
      <c r="BE298" s="30">
        <v>0</v>
      </c>
      <c r="BF298" s="30">
        <f>298</f>
        <v>298</v>
      </c>
      <c r="BH298" s="30">
        <f t="shared" ref="BH298:BH313" si="371">F298*AO298</f>
        <v>0</v>
      </c>
      <c r="BI298" s="30">
        <f t="shared" ref="BI298:BI313" si="372">F298*AP298</f>
        <v>0</v>
      </c>
      <c r="BJ298" s="30">
        <f t="shared" ref="BJ298:BJ313" si="373">F298*G298</f>
        <v>0</v>
      </c>
      <c r="BK298" s="30"/>
      <c r="BL298" s="30"/>
      <c r="BW298" s="30">
        <v>12</v>
      </c>
      <c r="BX298" s="4" t="s">
        <v>825</v>
      </c>
    </row>
    <row r="299" spans="1:76" x14ac:dyDescent="0.25">
      <c r="A299" s="32" t="s">
        <v>826</v>
      </c>
      <c r="B299" s="33" t="s">
        <v>827</v>
      </c>
      <c r="C299" s="141" t="s">
        <v>828</v>
      </c>
      <c r="D299" s="142"/>
      <c r="E299" s="33" t="s">
        <v>56</v>
      </c>
      <c r="F299" s="34">
        <v>1</v>
      </c>
      <c r="G299" s="35">
        <v>0</v>
      </c>
      <c r="H299" s="34">
        <f t="shared" si="352"/>
        <v>0</v>
      </c>
      <c r="I299" s="34">
        <f t="shared" si="353"/>
        <v>0</v>
      </c>
      <c r="J299" s="34">
        <f t="shared" si="354"/>
        <v>0</v>
      </c>
      <c r="K299" s="36" t="s">
        <v>57</v>
      </c>
      <c r="Z299" s="30">
        <f t="shared" si="355"/>
        <v>0</v>
      </c>
      <c r="AB299" s="30">
        <f t="shared" si="356"/>
        <v>0</v>
      </c>
      <c r="AC299" s="30">
        <f t="shared" si="357"/>
        <v>0</v>
      </c>
      <c r="AD299" s="30">
        <f t="shared" si="358"/>
        <v>0</v>
      </c>
      <c r="AE299" s="30">
        <f t="shared" si="359"/>
        <v>0</v>
      </c>
      <c r="AF299" s="30">
        <f t="shared" si="360"/>
        <v>0</v>
      </c>
      <c r="AG299" s="30">
        <f t="shared" si="361"/>
        <v>0</v>
      </c>
      <c r="AH299" s="30">
        <f t="shared" si="362"/>
        <v>0</v>
      </c>
      <c r="AI299" s="10" t="s">
        <v>50</v>
      </c>
      <c r="AJ299" s="30">
        <f t="shared" si="363"/>
        <v>0</v>
      </c>
      <c r="AK299" s="30">
        <f t="shared" si="364"/>
        <v>0</v>
      </c>
      <c r="AL299" s="30">
        <f t="shared" si="365"/>
        <v>0</v>
      </c>
      <c r="AN299" s="30">
        <v>12</v>
      </c>
      <c r="AO299" s="30">
        <f>G299*1</f>
        <v>0</v>
      </c>
      <c r="AP299" s="30">
        <f>G299*(1-1)</f>
        <v>0</v>
      </c>
      <c r="AQ299" s="31" t="s">
        <v>53</v>
      </c>
      <c r="AV299" s="30">
        <f t="shared" si="366"/>
        <v>0</v>
      </c>
      <c r="AW299" s="30">
        <f t="shared" si="367"/>
        <v>0</v>
      </c>
      <c r="AX299" s="30">
        <f t="shared" si="368"/>
        <v>0</v>
      </c>
      <c r="AY299" s="31" t="s">
        <v>777</v>
      </c>
      <c r="AZ299" s="31" t="s">
        <v>778</v>
      </c>
      <c r="BA299" s="10" t="s">
        <v>60</v>
      </c>
      <c r="BC299" s="30">
        <f t="shared" si="369"/>
        <v>0</v>
      </c>
      <c r="BD299" s="30">
        <f t="shared" si="370"/>
        <v>0</v>
      </c>
      <c r="BE299" s="30">
        <v>0</v>
      </c>
      <c r="BF299" s="30">
        <f>299</f>
        <v>299</v>
      </c>
      <c r="BH299" s="30">
        <f t="shared" si="371"/>
        <v>0</v>
      </c>
      <c r="BI299" s="30">
        <f t="shared" si="372"/>
        <v>0</v>
      </c>
      <c r="BJ299" s="30">
        <f t="shared" si="373"/>
        <v>0</v>
      </c>
      <c r="BK299" s="30"/>
      <c r="BL299" s="30"/>
      <c r="BW299" s="30">
        <v>12</v>
      </c>
      <c r="BX299" s="4" t="s">
        <v>828</v>
      </c>
    </row>
    <row r="300" spans="1:76" x14ac:dyDescent="0.25">
      <c r="A300" s="32" t="s">
        <v>829</v>
      </c>
      <c r="B300" s="33" t="s">
        <v>830</v>
      </c>
      <c r="C300" s="141" t="s">
        <v>831</v>
      </c>
      <c r="D300" s="142"/>
      <c r="E300" s="33" t="s">
        <v>56</v>
      </c>
      <c r="F300" s="34">
        <v>15</v>
      </c>
      <c r="G300" s="35">
        <v>0</v>
      </c>
      <c r="H300" s="34">
        <f t="shared" si="352"/>
        <v>0</v>
      </c>
      <c r="I300" s="34">
        <f t="shared" si="353"/>
        <v>0</v>
      </c>
      <c r="J300" s="34">
        <f t="shared" si="354"/>
        <v>0</v>
      </c>
      <c r="K300" s="36" t="s">
        <v>57</v>
      </c>
      <c r="Z300" s="30">
        <f t="shared" si="355"/>
        <v>0</v>
      </c>
      <c r="AB300" s="30">
        <f t="shared" si="356"/>
        <v>0</v>
      </c>
      <c r="AC300" s="30">
        <f t="shared" si="357"/>
        <v>0</v>
      </c>
      <c r="AD300" s="30">
        <f t="shared" si="358"/>
        <v>0</v>
      </c>
      <c r="AE300" s="30">
        <f t="shared" si="359"/>
        <v>0</v>
      </c>
      <c r="AF300" s="30">
        <f t="shared" si="360"/>
        <v>0</v>
      </c>
      <c r="AG300" s="30">
        <f t="shared" si="361"/>
        <v>0</v>
      </c>
      <c r="AH300" s="30">
        <f t="shared" si="362"/>
        <v>0</v>
      </c>
      <c r="AI300" s="10" t="s">
        <v>50</v>
      </c>
      <c r="AJ300" s="30">
        <f t="shared" si="363"/>
        <v>0</v>
      </c>
      <c r="AK300" s="30">
        <f t="shared" si="364"/>
        <v>0</v>
      </c>
      <c r="AL300" s="30">
        <f t="shared" si="365"/>
        <v>0</v>
      </c>
      <c r="AN300" s="30">
        <v>12</v>
      </c>
      <c r="AO300" s="30">
        <f>G300*0</f>
        <v>0</v>
      </c>
      <c r="AP300" s="30">
        <f>G300*(1-0)</f>
        <v>0</v>
      </c>
      <c r="AQ300" s="31" t="s">
        <v>61</v>
      </c>
      <c r="AV300" s="30">
        <f t="shared" si="366"/>
        <v>0</v>
      </c>
      <c r="AW300" s="30">
        <f t="shared" si="367"/>
        <v>0</v>
      </c>
      <c r="AX300" s="30">
        <f t="shared" si="368"/>
        <v>0</v>
      </c>
      <c r="AY300" s="31" t="s">
        <v>777</v>
      </c>
      <c r="AZ300" s="31" t="s">
        <v>778</v>
      </c>
      <c r="BA300" s="10" t="s">
        <v>60</v>
      </c>
      <c r="BC300" s="30">
        <f t="shared" si="369"/>
        <v>0</v>
      </c>
      <c r="BD300" s="30">
        <f t="shared" si="370"/>
        <v>0</v>
      </c>
      <c r="BE300" s="30">
        <v>0</v>
      </c>
      <c r="BF300" s="30">
        <f>300</f>
        <v>300</v>
      </c>
      <c r="BH300" s="30">
        <f t="shared" si="371"/>
        <v>0</v>
      </c>
      <c r="BI300" s="30">
        <f t="shared" si="372"/>
        <v>0</v>
      </c>
      <c r="BJ300" s="30">
        <f t="shared" si="373"/>
        <v>0</v>
      </c>
      <c r="BK300" s="30"/>
      <c r="BL300" s="30"/>
      <c r="BW300" s="30">
        <v>12</v>
      </c>
      <c r="BX300" s="4" t="s">
        <v>831</v>
      </c>
    </row>
    <row r="301" spans="1:76" x14ac:dyDescent="0.25">
      <c r="A301" s="32" t="s">
        <v>832</v>
      </c>
      <c r="B301" s="33" t="s">
        <v>833</v>
      </c>
      <c r="C301" s="141" t="s">
        <v>834</v>
      </c>
      <c r="D301" s="142"/>
      <c r="E301" s="33" t="s">
        <v>56</v>
      </c>
      <c r="F301" s="34">
        <v>5</v>
      </c>
      <c r="G301" s="35">
        <v>0</v>
      </c>
      <c r="H301" s="34">
        <f t="shared" si="352"/>
        <v>0</v>
      </c>
      <c r="I301" s="34">
        <f t="shared" si="353"/>
        <v>0</v>
      </c>
      <c r="J301" s="34">
        <f t="shared" si="354"/>
        <v>0</v>
      </c>
      <c r="K301" s="36" t="s">
        <v>57</v>
      </c>
      <c r="Z301" s="30">
        <f t="shared" si="355"/>
        <v>0</v>
      </c>
      <c r="AB301" s="30">
        <f t="shared" si="356"/>
        <v>0</v>
      </c>
      <c r="AC301" s="30">
        <f t="shared" si="357"/>
        <v>0</v>
      </c>
      <c r="AD301" s="30">
        <f t="shared" si="358"/>
        <v>0</v>
      </c>
      <c r="AE301" s="30">
        <f t="shared" si="359"/>
        <v>0</v>
      </c>
      <c r="AF301" s="30">
        <f t="shared" si="360"/>
        <v>0</v>
      </c>
      <c r="AG301" s="30">
        <f t="shared" si="361"/>
        <v>0</v>
      </c>
      <c r="AH301" s="30">
        <f t="shared" si="362"/>
        <v>0</v>
      </c>
      <c r="AI301" s="10" t="s">
        <v>50</v>
      </c>
      <c r="AJ301" s="30">
        <f t="shared" si="363"/>
        <v>0</v>
      </c>
      <c r="AK301" s="30">
        <f t="shared" si="364"/>
        <v>0</v>
      </c>
      <c r="AL301" s="30">
        <f t="shared" si="365"/>
        <v>0</v>
      </c>
      <c r="AN301" s="30">
        <v>12</v>
      </c>
      <c r="AO301" s="30">
        <f>G301*1</f>
        <v>0</v>
      </c>
      <c r="AP301" s="30">
        <f>G301*(1-1)</f>
        <v>0</v>
      </c>
      <c r="AQ301" s="31" t="s">
        <v>53</v>
      </c>
      <c r="AV301" s="30">
        <f t="shared" si="366"/>
        <v>0</v>
      </c>
      <c r="AW301" s="30">
        <f t="shared" si="367"/>
        <v>0</v>
      </c>
      <c r="AX301" s="30">
        <f t="shared" si="368"/>
        <v>0</v>
      </c>
      <c r="AY301" s="31" t="s">
        <v>777</v>
      </c>
      <c r="AZ301" s="31" t="s">
        <v>778</v>
      </c>
      <c r="BA301" s="10" t="s">
        <v>60</v>
      </c>
      <c r="BC301" s="30">
        <f t="shared" si="369"/>
        <v>0</v>
      </c>
      <c r="BD301" s="30">
        <f t="shared" si="370"/>
        <v>0</v>
      </c>
      <c r="BE301" s="30">
        <v>0</v>
      </c>
      <c r="BF301" s="30">
        <f>301</f>
        <v>301</v>
      </c>
      <c r="BH301" s="30">
        <f t="shared" si="371"/>
        <v>0</v>
      </c>
      <c r="BI301" s="30">
        <f t="shared" si="372"/>
        <v>0</v>
      </c>
      <c r="BJ301" s="30">
        <f t="shared" si="373"/>
        <v>0</v>
      </c>
      <c r="BK301" s="30"/>
      <c r="BL301" s="30"/>
      <c r="BW301" s="30">
        <v>12</v>
      </c>
      <c r="BX301" s="4" t="s">
        <v>834</v>
      </c>
    </row>
    <row r="302" spans="1:76" x14ac:dyDescent="0.25">
      <c r="A302" s="32" t="s">
        <v>835</v>
      </c>
      <c r="B302" s="33" t="s">
        <v>836</v>
      </c>
      <c r="C302" s="141" t="s">
        <v>837</v>
      </c>
      <c r="D302" s="142"/>
      <c r="E302" s="33" t="s">
        <v>56</v>
      </c>
      <c r="F302" s="34">
        <v>10</v>
      </c>
      <c r="G302" s="35">
        <v>0</v>
      </c>
      <c r="H302" s="34">
        <f t="shared" si="352"/>
        <v>0</v>
      </c>
      <c r="I302" s="34">
        <f t="shared" si="353"/>
        <v>0</v>
      </c>
      <c r="J302" s="34">
        <f t="shared" si="354"/>
        <v>0</v>
      </c>
      <c r="K302" s="36" t="s">
        <v>57</v>
      </c>
      <c r="Z302" s="30">
        <f t="shared" si="355"/>
        <v>0</v>
      </c>
      <c r="AB302" s="30">
        <f t="shared" si="356"/>
        <v>0</v>
      </c>
      <c r="AC302" s="30">
        <f t="shared" si="357"/>
        <v>0</v>
      </c>
      <c r="AD302" s="30">
        <f t="shared" si="358"/>
        <v>0</v>
      </c>
      <c r="AE302" s="30">
        <f t="shared" si="359"/>
        <v>0</v>
      </c>
      <c r="AF302" s="30">
        <f t="shared" si="360"/>
        <v>0</v>
      </c>
      <c r="AG302" s="30">
        <f t="shared" si="361"/>
        <v>0</v>
      </c>
      <c r="AH302" s="30">
        <f t="shared" si="362"/>
        <v>0</v>
      </c>
      <c r="AI302" s="10" t="s">
        <v>50</v>
      </c>
      <c r="AJ302" s="30">
        <f t="shared" si="363"/>
        <v>0</v>
      </c>
      <c r="AK302" s="30">
        <f t="shared" si="364"/>
        <v>0</v>
      </c>
      <c r="AL302" s="30">
        <f t="shared" si="365"/>
        <v>0</v>
      </c>
      <c r="AN302" s="30">
        <v>12</v>
      </c>
      <c r="AO302" s="30">
        <f>G302*1</f>
        <v>0</v>
      </c>
      <c r="AP302" s="30">
        <f>G302*(1-1)</f>
        <v>0</v>
      </c>
      <c r="AQ302" s="31" t="s">
        <v>53</v>
      </c>
      <c r="AV302" s="30">
        <f t="shared" si="366"/>
        <v>0</v>
      </c>
      <c r="AW302" s="30">
        <f t="shared" si="367"/>
        <v>0</v>
      </c>
      <c r="AX302" s="30">
        <f t="shared" si="368"/>
        <v>0</v>
      </c>
      <c r="AY302" s="31" t="s">
        <v>777</v>
      </c>
      <c r="AZ302" s="31" t="s">
        <v>778</v>
      </c>
      <c r="BA302" s="10" t="s">
        <v>60</v>
      </c>
      <c r="BC302" s="30">
        <f t="shared" si="369"/>
        <v>0</v>
      </c>
      <c r="BD302" s="30">
        <f t="shared" si="370"/>
        <v>0</v>
      </c>
      <c r="BE302" s="30">
        <v>0</v>
      </c>
      <c r="BF302" s="30">
        <f>302</f>
        <v>302</v>
      </c>
      <c r="BH302" s="30">
        <f t="shared" si="371"/>
        <v>0</v>
      </c>
      <c r="BI302" s="30">
        <f t="shared" si="372"/>
        <v>0</v>
      </c>
      <c r="BJ302" s="30">
        <f t="shared" si="373"/>
        <v>0</v>
      </c>
      <c r="BK302" s="30"/>
      <c r="BL302" s="30"/>
      <c r="BW302" s="30">
        <v>12</v>
      </c>
      <c r="BX302" s="4" t="s">
        <v>837</v>
      </c>
    </row>
    <row r="303" spans="1:76" x14ac:dyDescent="0.25">
      <c r="A303" s="32" t="s">
        <v>838</v>
      </c>
      <c r="B303" s="33" t="s">
        <v>839</v>
      </c>
      <c r="C303" s="141" t="s">
        <v>840</v>
      </c>
      <c r="D303" s="142"/>
      <c r="E303" s="33" t="s">
        <v>56</v>
      </c>
      <c r="F303" s="34">
        <v>7</v>
      </c>
      <c r="G303" s="35">
        <v>0</v>
      </c>
      <c r="H303" s="34">
        <f t="shared" si="352"/>
        <v>0</v>
      </c>
      <c r="I303" s="34">
        <f t="shared" si="353"/>
        <v>0</v>
      </c>
      <c r="J303" s="34">
        <f t="shared" si="354"/>
        <v>0</v>
      </c>
      <c r="K303" s="36" t="s">
        <v>57</v>
      </c>
      <c r="Z303" s="30">
        <f t="shared" si="355"/>
        <v>0</v>
      </c>
      <c r="AB303" s="30">
        <f t="shared" si="356"/>
        <v>0</v>
      </c>
      <c r="AC303" s="30">
        <f t="shared" si="357"/>
        <v>0</v>
      </c>
      <c r="AD303" s="30">
        <f t="shared" si="358"/>
        <v>0</v>
      </c>
      <c r="AE303" s="30">
        <f t="shared" si="359"/>
        <v>0</v>
      </c>
      <c r="AF303" s="30">
        <f t="shared" si="360"/>
        <v>0</v>
      </c>
      <c r="AG303" s="30">
        <f t="shared" si="361"/>
        <v>0</v>
      </c>
      <c r="AH303" s="30">
        <f t="shared" si="362"/>
        <v>0</v>
      </c>
      <c r="AI303" s="10" t="s">
        <v>50</v>
      </c>
      <c r="AJ303" s="30">
        <f t="shared" si="363"/>
        <v>0</v>
      </c>
      <c r="AK303" s="30">
        <f t="shared" si="364"/>
        <v>0</v>
      </c>
      <c r="AL303" s="30">
        <f t="shared" si="365"/>
        <v>0</v>
      </c>
      <c r="AN303" s="30">
        <v>12</v>
      </c>
      <c r="AO303" s="30">
        <f>G303*1</f>
        <v>0</v>
      </c>
      <c r="AP303" s="30">
        <f>G303*(1-1)</f>
        <v>0</v>
      </c>
      <c r="AQ303" s="31" t="s">
        <v>53</v>
      </c>
      <c r="AV303" s="30">
        <f t="shared" si="366"/>
        <v>0</v>
      </c>
      <c r="AW303" s="30">
        <f t="shared" si="367"/>
        <v>0</v>
      </c>
      <c r="AX303" s="30">
        <f t="shared" si="368"/>
        <v>0</v>
      </c>
      <c r="AY303" s="31" t="s">
        <v>777</v>
      </c>
      <c r="AZ303" s="31" t="s">
        <v>778</v>
      </c>
      <c r="BA303" s="10" t="s">
        <v>60</v>
      </c>
      <c r="BC303" s="30">
        <f t="shared" si="369"/>
        <v>0</v>
      </c>
      <c r="BD303" s="30">
        <f t="shared" si="370"/>
        <v>0</v>
      </c>
      <c r="BE303" s="30">
        <v>0</v>
      </c>
      <c r="BF303" s="30">
        <f>303</f>
        <v>303</v>
      </c>
      <c r="BH303" s="30">
        <f t="shared" si="371"/>
        <v>0</v>
      </c>
      <c r="BI303" s="30">
        <f t="shared" si="372"/>
        <v>0</v>
      </c>
      <c r="BJ303" s="30">
        <f t="shared" si="373"/>
        <v>0</v>
      </c>
      <c r="BK303" s="30"/>
      <c r="BL303" s="30"/>
      <c r="BW303" s="30">
        <v>12</v>
      </c>
      <c r="BX303" s="4" t="s">
        <v>840</v>
      </c>
    </row>
    <row r="304" spans="1:76" x14ac:dyDescent="0.25">
      <c r="A304" s="32" t="s">
        <v>841</v>
      </c>
      <c r="B304" s="33" t="s">
        <v>842</v>
      </c>
      <c r="C304" s="141" t="s">
        <v>843</v>
      </c>
      <c r="D304" s="142"/>
      <c r="E304" s="33" t="s">
        <v>56</v>
      </c>
      <c r="F304" s="34">
        <v>4</v>
      </c>
      <c r="G304" s="35">
        <v>0</v>
      </c>
      <c r="H304" s="34">
        <f t="shared" si="352"/>
        <v>0</v>
      </c>
      <c r="I304" s="34">
        <f t="shared" si="353"/>
        <v>0</v>
      </c>
      <c r="J304" s="34">
        <f t="shared" si="354"/>
        <v>0</v>
      </c>
      <c r="K304" s="36" t="s">
        <v>57</v>
      </c>
      <c r="Z304" s="30">
        <f t="shared" si="355"/>
        <v>0</v>
      </c>
      <c r="AB304" s="30">
        <f t="shared" si="356"/>
        <v>0</v>
      </c>
      <c r="AC304" s="30">
        <f t="shared" si="357"/>
        <v>0</v>
      </c>
      <c r="AD304" s="30">
        <f t="shared" si="358"/>
        <v>0</v>
      </c>
      <c r="AE304" s="30">
        <f t="shared" si="359"/>
        <v>0</v>
      </c>
      <c r="AF304" s="30">
        <f t="shared" si="360"/>
        <v>0</v>
      </c>
      <c r="AG304" s="30">
        <f t="shared" si="361"/>
        <v>0</v>
      </c>
      <c r="AH304" s="30">
        <f t="shared" si="362"/>
        <v>0</v>
      </c>
      <c r="AI304" s="10" t="s">
        <v>50</v>
      </c>
      <c r="AJ304" s="30">
        <f t="shared" si="363"/>
        <v>0</v>
      </c>
      <c r="AK304" s="30">
        <f t="shared" si="364"/>
        <v>0</v>
      </c>
      <c r="AL304" s="30">
        <f t="shared" si="365"/>
        <v>0</v>
      </c>
      <c r="AN304" s="30">
        <v>12</v>
      </c>
      <c r="AO304" s="30">
        <f>G304*1</f>
        <v>0</v>
      </c>
      <c r="AP304" s="30">
        <f>G304*(1-1)</f>
        <v>0</v>
      </c>
      <c r="AQ304" s="31" t="s">
        <v>53</v>
      </c>
      <c r="AV304" s="30">
        <f t="shared" si="366"/>
        <v>0</v>
      </c>
      <c r="AW304" s="30">
        <f t="shared" si="367"/>
        <v>0</v>
      </c>
      <c r="AX304" s="30">
        <f t="shared" si="368"/>
        <v>0</v>
      </c>
      <c r="AY304" s="31" t="s">
        <v>777</v>
      </c>
      <c r="AZ304" s="31" t="s">
        <v>778</v>
      </c>
      <c r="BA304" s="10" t="s">
        <v>60</v>
      </c>
      <c r="BC304" s="30">
        <f t="shared" si="369"/>
        <v>0</v>
      </c>
      <c r="BD304" s="30">
        <f t="shared" si="370"/>
        <v>0</v>
      </c>
      <c r="BE304" s="30">
        <v>0</v>
      </c>
      <c r="BF304" s="30">
        <f>304</f>
        <v>304</v>
      </c>
      <c r="BH304" s="30">
        <f t="shared" si="371"/>
        <v>0</v>
      </c>
      <c r="BI304" s="30">
        <f t="shared" si="372"/>
        <v>0</v>
      </c>
      <c r="BJ304" s="30">
        <f t="shared" si="373"/>
        <v>0</v>
      </c>
      <c r="BK304" s="30"/>
      <c r="BL304" s="30"/>
      <c r="BW304" s="30">
        <v>12</v>
      </c>
      <c r="BX304" s="4" t="s">
        <v>843</v>
      </c>
    </row>
    <row r="305" spans="1:76" x14ac:dyDescent="0.25">
      <c r="A305" s="32" t="s">
        <v>844</v>
      </c>
      <c r="B305" s="33" t="s">
        <v>845</v>
      </c>
      <c r="C305" s="141" t="s">
        <v>846</v>
      </c>
      <c r="D305" s="142"/>
      <c r="E305" s="33" t="s">
        <v>56</v>
      </c>
      <c r="F305" s="34">
        <v>2</v>
      </c>
      <c r="G305" s="35">
        <v>0</v>
      </c>
      <c r="H305" s="34">
        <f t="shared" si="352"/>
        <v>0</v>
      </c>
      <c r="I305" s="34">
        <f t="shared" si="353"/>
        <v>0</v>
      </c>
      <c r="J305" s="34">
        <f t="shared" si="354"/>
        <v>0</v>
      </c>
      <c r="K305" s="36" t="s">
        <v>57</v>
      </c>
      <c r="Z305" s="30">
        <f t="shared" si="355"/>
        <v>0</v>
      </c>
      <c r="AB305" s="30">
        <f t="shared" si="356"/>
        <v>0</v>
      </c>
      <c r="AC305" s="30">
        <f t="shared" si="357"/>
        <v>0</v>
      </c>
      <c r="AD305" s="30">
        <f t="shared" si="358"/>
        <v>0</v>
      </c>
      <c r="AE305" s="30">
        <f t="shared" si="359"/>
        <v>0</v>
      </c>
      <c r="AF305" s="30">
        <f t="shared" si="360"/>
        <v>0</v>
      </c>
      <c r="AG305" s="30">
        <f t="shared" si="361"/>
        <v>0</v>
      </c>
      <c r="AH305" s="30">
        <f t="shared" si="362"/>
        <v>0</v>
      </c>
      <c r="AI305" s="10" t="s">
        <v>50</v>
      </c>
      <c r="AJ305" s="30">
        <f t="shared" si="363"/>
        <v>0</v>
      </c>
      <c r="AK305" s="30">
        <f t="shared" si="364"/>
        <v>0</v>
      </c>
      <c r="AL305" s="30">
        <f t="shared" si="365"/>
        <v>0</v>
      </c>
      <c r="AN305" s="30">
        <v>12</v>
      </c>
      <c r="AO305" s="30">
        <f>G305*0</f>
        <v>0</v>
      </c>
      <c r="AP305" s="30">
        <f>G305*(1-0)</f>
        <v>0</v>
      </c>
      <c r="AQ305" s="31" t="s">
        <v>61</v>
      </c>
      <c r="AV305" s="30">
        <f t="shared" si="366"/>
        <v>0</v>
      </c>
      <c r="AW305" s="30">
        <f t="shared" si="367"/>
        <v>0</v>
      </c>
      <c r="AX305" s="30">
        <f t="shared" si="368"/>
        <v>0</v>
      </c>
      <c r="AY305" s="31" t="s">
        <v>777</v>
      </c>
      <c r="AZ305" s="31" t="s">
        <v>778</v>
      </c>
      <c r="BA305" s="10" t="s">
        <v>60</v>
      </c>
      <c r="BC305" s="30">
        <f t="shared" si="369"/>
        <v>0</v>
      </c>
      <c r="BD305" s="30">
        <f t="shared" si="370"/>
        <v>0</v>
      </c>
      <c r="BE305" s="30">
        <v>0</v>
      </c>
      <c r="BF305" s="30">
        <f>305</f>
        <v>305</v>
      </c>
      <c r="BH305" s="30">
        <f t="shared" si="371"/>
        <v>0</v>
      </c>
      <c r="BI305" s="30">
        <f t="shared" si="372"/>
        <v>0</v>
      </c>
      <c r="BJ305" s="30">
        <f t="shared" si="373"/>
        <v>0</v>
      </c>
      <c r="BK305" s="30"/>
      <c r="BL305" s="30"/>
      <c r="BW305" s="30">
        <v>12</v>
      </c>
      <c r="BX305" s="4" t="s">
        <v>846</v>
      </c>
    </row>
    <row r="306" spans="1:76" x14ac:dyDescent="0.25">
      <c r="A306" s="32" t="s">
        <v>847</v>
      </c>
      <c r="B306" s="33" t="s">
        <v>848</v>
      </c>
      <c r="C306" s="141" t="s">
        <v>849</v>
      </c>
      <c r="D306" s="142"/>
      <c r="E306" s="33" t="s">
        <v>56</v>
      </c>
      <c r="F306" s="34">
        <v>2</v>
      </c>
      <c r="G306" s="35">
        <v>0</v>
      </c>
      <c r="H306" s="34">
        <f t="shared" si="352"/>
        <v>0</v>
      </c>
      <c r="I306" s="34">
        <f t="shared" si="353"/>
        <v>0</v>
      </c>
      <c r="J306" s="34">
        <f t="shared" si="354"/>
        <v>0</v>
      </c>
      <c r="K306" s="36" t="s">
        <v>57</v>
      </c>
      <c r="Z306" s="30">
        <f t="shared" si="355"/>
        <v>0</v>
      </c>
      <c r="AB306" s="30">
        <f t="shared" si="356"/>
        <v>0</v>
      </c>
      <c r="AC306" s="30">
        <f t="shared" si="357"/>
        <v>0</v>
      </c>
      <c r="AD306" s="30">
        <f t="shared" si="358"/>
        <v>0</v>
      </c>
      <c r="AE306" s="30">
        <f t="shared" si="359"/>
        <v>0</v>
      </c>
      <c r="AF306" s="30">
        <f t="shared" si="360"/>
        <v>0</v>
      </c>
      <c r="AG306" s="30">
        <f t="shared" si="361"/>
        <v>0</v>
      </c>
      <c r="AH306" s="30">
        <f t="shared" si="362"/>
        <v>0</v>
      </c>
      <c r="AI306" s="10" t="s">
        <v>50</v>
      </c>
      <c r="AJ306" s="30">
        <f t="shared" si="363"/>
        <v>0</v>
      </c>
      <c r="AK306" s="30">
        <f t="shared" si="364"/>
        <v>0</v>
      </c>
      <c r="AL306" s="30">
        <f t="shared" si="365"/>
        <v>0</v>
      </c>
      <c r="AN306" s="30">
        <v>12</v>
      </c>
      <c r="AO306" s="30">
        <f>G306*1</f>
        <v>0</v>
      </c>
      <c r="AP306" s="30">
        <f>G306*(1-1)</f>
        <v>0</v>
      </c>
      <c r="AQ306" s="31" t="s">
        <v>53</v>
      </c>
      <c r="AV306" s="30">
        <f t="shared" si="366"/>
        <v>0</v>
      </c>
      <c r="AW306" s="30">
        <f t="shared" si="367"/>
        <v>0</v>
      </c>
      <c r="AX306" s="30">
        <f t="shared" si="368"/>
        <v>0</v>
      </c>
      <c r="AY306" s="31" t="s">
        <v>777</v>
      </c>
      <c r="AZ306" s="31" t="s">
        <v>778</v>
      </c>
      <c r="BA306" s="10" t="s">
        <v>60</v>
      </c>
      <c r="BC306" s="30">
        <f t="shared" si="369"/>
        <v>0</v>
      </c>
      <c r="BD306" s="30">
        <f t="shared" si="370"/>
        <v>0</v>
      </c>
      <c r="BE306" s="30">
        <v>0</v>
      </c>
      <c r="BF306" s="30">
        <f>306</f>
        <v>306</v>
      </c>
      <c r="BH306" s="30">
        <f t="shared" si="371"/>
        <v>0</v>
      </c>
      <c r="BI306" s="30">
        <f t="shared" si="372"/>
        <v>0</v>
      </c>
      <c r="BJ306" s="30">
        <f t="shared" si="373"/>
        <v>0</v>
      </c>
      <c r="BK306" s="30"/>
      <c r="BL306" s="30"/>
      <c r="BW306" s="30">
        <v>12</v>
      </c>
      <c r="BX306" s="4" t="s">
        <v>849</v>
      </c>
    </row>
    <row r="307" spans="1:76" x14ac:dyDescent="0.25">
      <c r="A307" s="32" t="s">
        <v>850</v>
      </c>
      <c r="B307" s="33" t="s">
        <v>851</v>
      </c>
      <c r="C307" s="141" t="s">
        <v>852</v>
      </c>
      <c r="D307" s="142"/>
      <c r="E307" s="33" t="s">
        <v>56</v>
      </c>
      <c r="F307" s="34">
        <v>2</v>
      </c>
      <c r="G307" s="35">
        <v>0</v>
      </c>
      <c r="H307" s="34">
        <f t="shared" si="352"/>
        <v>0</v>
      </c>
      <c r="I307" s="34">
        <f t="shared" si="353"/>
        <v>0</v>
      </c>
      <c r="J307" s="34">
        <f t="shared" si="354"/>
        <v>0</v>
      </c>
      <c r="K307" s="36" t="s">
        <v>57</v>
      </c>
      <c r="Z307" s="30">
        <f t="shared" si="355"/>
        <v>0</v>
      </c>
      <c r="AB307" s="30">
        <f t="shared" si="356"/>
        <v>0</v>
      </c>
      <c r="AC307" s="30">
        <f t="shared" si="357"/>
        <v>0</v>
      </c>
      <c r="AD307" s="30">
        <f t="shared" si="358"/>
        <v>0</v>
      </c>
      <c r="AE307" s="30">
        <f t="shared" si="359"/>
        <v>0</v>
      </c>
      <c r="AF307" s="30">
        <f t="shared" si="360"/>
        <v>0</v>
      </c>
      <c r="AG307" s="30">
        <f t="shared" si="361"/>
        <v>0</v>
      </c>
      <c r="AH307" s="30">
        <f t="shared" si="362"/>
        <v>0</v>
      </c>
      <c r="AI307" s="10" t="s">
        <v>50</v>
      </c>
      <c r="AJ307" s="30">
        <f t="shared" si="363"/>
        <v>0</v>
      </c>
      <c r="AK307" s="30">
        <f t="shared" si="364"/>
        <v>0</v>
      </c>
      <c r="AL307" s="30">
        <f t="shared" si="365"/>
        <v>0</v>
      </c>
      <c r="AN307" s="30">
        <v>12</v>
      </c>
      <c r="AO307" s="30">
        <f>G307*0</f>
        <v>0</v>
      </c>
      <c r="AP307" s="30">
        <f>G307*(1-0)</f>
        <v>0</v>
      </c>
      <c r="AQ307" s="31" t="s">
        <v>61</v>
      </c>
      <c r="AV307" s="30">
        <f t="shared" si="366"/>
        <v>0</v>
      </c>
      <c r="AW307" s="30">
        <f t="shared" si="367"/>
        <v>0</v>
      </c>
      <c r="AX307" s="30">
        <f t="shared" si="368"/>
        <v>0</v>
      </c>
      <c r="AY307" s="31" t="s">
        <v>777</v>
      </c>
      <c r="AZ307" s="31" t="s">
        <v>778</v>
      </c>
      <c r="BA307" s="10" t="s">
        <v>60</v>
      </c>
      <c r="BC307" s="30">
        <f t="shared" si="369"/>
        <v>0</v>
      </c>
      <c r="BD307" s="30">
        <f t="shared" si="370"/>
        <v>0</v>
      </c>
      <c r="BE307" s="30">
        <v>0</v>
      </c>
      <c r="BF307" s="30">
        <f>307</f>
        <v>307</v>
      </c>
      <c r="BH307" s="30">
        <f t="shared" si="371"/>
        <v>0</v>
      </c>
      <c r="BI307" s="30">
        <f t="shared" si="372"/>
        <v>0</v>
      </c>
      <c r="BJ307" s="30">
        <f t="shared" si="373"/>
        <v>0</v>
      </c>
      <c r="BK307" s="30"/>
      <c r="BL307" s="30"/>
      <c r="BW307" s="30">
        <v>12</v>
      </c>
      <c r="BX307" s="4" t="s">
        <v>852</v>
      </c>
    </row>
    <row r="308" spans="1:76" x14ac:dyDescent="0.25">
      <c r="A308" s="32" t="s">
        <v>853</v>
      </c>
      <c r="B308" s="33" t="s">
        <v>854</v>
      </c>
      <c r="C308" s="141" t="s">
        <v>855</v>
      </c>
      <c r="D308" s="142"/>
      <c r="E308" s="33" t="s">
        <v>56</v>
      </c>
      <c r="F308" s="34">
        <v>1</v>
      </c>
      <c r="G308" s="35">
        <v>0</v>
      </c>
      <c r="H308" s="34">
        <f t="shared" si="352"/>
        <v>0</v>
      </c>
      <c r="I308" s="34">
        <f t="shared" si="353"/>
        <v>0</v>
      </c>
      <c r="J308" s="34">
        <f t="shared" si="354"/>
        <v>0</v>
      </c>
      <c r="K308" s="36" t="s">
        <v>57</v>
      </c>
      <c r="Z308" s="30">
        <f t="shared" si="355"/>
        <v>0</v>
      </c>
      <c r="AB308" s="30">
        <f t="shared" si="356"/>
        <v>0</v>
      </c>
      <c r="AC308" s="30">
        <f t="shared" si="357"/>
        <v>0</v>
      </c>
      <c r="AD308" s="30">
        <f t="shared" si="358"/>
        <v>0</v>
      </c>
      <c r="AE308" s="30">
        <f t="shared" si="359"/>
        <v>0</v>
      </c>
      <c r="AF308" s="30">
        <f t="shared" si="360"/>
        <v>0</v>
      </c>
      <c r="AG308" s="30">
        <f t="shared" si="361"/>
        <v>0</v>
      </c>
      <c r="AH308" s="30">
        <f t="shared" si="362"/>
        <v>0</v>
      </c>
      <c r="AI308" s="10" t="s">
        <v>50</v>
      </c>
      <c r="AJ308" s="30">
        <f t="shared" si="363"/>
        <v>0</v>
      </c>
      <c r="AK308" s="30">
        <f t="shared" si="364"/>
        <v>0</v>
      </c>
      <c r="AL308" s="30">
        <f t="shared" si="365"/>
        <v>0</v>
      </c>
      <c r="AN308" s="30">
        <v>12</v>
      </c>
      <c r="AO308" s="30">
        <f>G308*1</f>
        <v>0</v>
      </c>
      <c r="AP308" s="30">
        <f>G308*(1-1)</f>
        <v>0</v>
      </c>
      <c r="AQ308" s="31" t="s">
        <v>53</v>
      </c>
      <c r="AV308" s="30">
        <f t="shared" si="366"/>
        <v>0</v>
      </c>
      <c r="AW308" s="30">
        <f t="shared" si="367"/>
        <v>0</v>
      </c>
      <c r="AX308" s="30">
        <f t="shared" si="368"/>
        <v>0</v>
      </c>
      <c r="AY308" s="31" t="s">
        <v>777</v>
      </c>
      <c r="AZ308" s="31" t="s">
        <v>778</v>
      </c>
      <c r="BA308" s="10" t="s">
        <v>60</v>
      </c>
      <c r="BC308" s="30">
        <f t="shared" si="369"/>
        <v>0</v>
      </c>
      <c r="BD308" s="30">
        <f t="shared" si="370"/>
        <v>0</v>
      </c>
      <c r="BE308" s="30">
        <v>0</v>
      </c>
      <c r="BF308" s="30">
        <f>308</f>
        <v>308</v>
      </c>
      <c r="BH308" s="30">
        <f t="shared" si="371"/>
        <v>0</v>
      </c>
      <c r="BI308" s="30">
        <f t="shared" si="372"/>
        <v>0</v>
      </c>
      <c r="BJ308" s="30">
        <f t="shared" si="373"/>
        <v>0</v>
      </c>
      <c r="BK308" s="30"/>
      <c r="BL308" s="30"/>
      <c r="BW308" s="30">
        <v>12</v>
      </c>
      <c r="BX308" s="4" t="s">
        <v>855</v>
      </c>
    </row>
    <row r="309" spans="1:76" x14ac:dyDescent="0.25">
      <c r="A309" s="32" t="s">
        <v>856</v>
      </c>
      <c r="B309" s="33" t="s">
        <v>789</v>
      </c>
      <c r="C309" s="141" t="s">
        <v>857</v>
      </c>
      <c r="D309" s="142"/>
      <c r="E309" s="33" t="s">
        <v>56</v>
      </c>
      <c r="F309" s="34">
        <v>1</v>
      </c>
      <c r="G309" s="35">
        <v>0</v>
      </c>
      <c r="H309" s="34">
        <f t="shared" si="352"/>
        <v>0</v>
      </c>
      <c r="I309" s="34">
        <f t="shared" si="353"/>
        <v>0</v>
      </c>
      <c r="J309" s="34">
        <f t="shared" si="354"/>
        <v>0</v>
      </c>
      <c r="K309" s="36" t="s">
        <v>57</v>
      </c>
      <c r="Z309" s="30">
        <f t="shared" si="355"/>
        <v>0</v>
      </c>
      <c r="AB309" s="30">
        <f t="shared" si="356"/>
        <v>0</v>
      </c>
      <c r="AC309" s="30">
        <f t="shared" si="357"/>
        <v>0</v>
      </c>
      <c r="AD309" s="30">
        <f t="shared" si="358"/>
        <v>0</v>
      </c>
      <c r="AE309" s="30">
        <f t="shared" si="359"/>
        <v>0</v>
      </c>
      <c r="AF309" s="30">
        <f t="shared" si="360"/>
        <v>0</v>
      </c>
      <c r="AG309" s="30">
        <f t="shared" si="361"/>
        <v>0</v>
      </c>
      <c r="AH309" s="30">
        <f t="shared" si="362"/>
        <v>0</v>
      </c>
      <c r="AI309" s="10" t="s">
        <v>50</v>
      </c>
      <c r="AJ309" s="30">
        <f t="shared" si="363"/>
        <v>0</v>
      </c>
      <c r="AK309" s="30">
        <f t="shared" si="364"/>
        <v>0</v>
      </c>
      <c r="AL309" s="30">
        <f t="shared" si="365"/>
        <v>0</v>
      </c>
      <c r="AN309" s="30">
        <v>12</v>
      </c>
      <c r="AO309" s="30">
        <f>G309*1</f>
        <v>0</v>
      </c>
      <c r="AP309" s="30">
        <f>G309*(1-1)</f>
        <v>0</v>
      </c>
      <c r="AQ309" s="31" t="s">
        <v>53</v>
      </c>
      <c r="AV309" s="30">
        <f t="shared" si="366"/>
        <v>0</v>
      </c>
      <c r="AW309" s="30">
        <f t="shared" si="367"/>
        <v>0</v>
      </c>
      <c r="AX309" s="30">
        <f t="shared" si="368"/>
        <v>0</v>
      </c>
      <c r="AY309" s="31" t="s">
        <v>777</v>
      </c>
      <c r="AZ309" s="31" t="s">
        <v>778</v>
      </c>
      <c r="BA309" s="10" t="s">
        <v>60</v>
      </c>
      <c r="BC309" s="30">
        <f t="shared" si="369"/>
        <v>0</v>
      </c>
      <c r="BD309" s="30">
        <f t="shared" si="370"/>
        <v>0</v>
      </c>
      <c r="BE309" s="30">
        <v>0</v>
      </c>
      <c r="BF309" s="30">
        <f>309</f>
        <v>309</v>
      </c>
      <c r="BH309" s="30">
        <f t="shared" si="371"/>
        <v>0</v>
      </c>
      <c r="BI309" s="30">
        <f t="shared" si="372"/>
        <v>0</v>
      </c>
      <c r="BJ309" s="30">
        <f t="shared" si="373"/>
        <v>0</v>
      </c>
      <c r="BK309" s="30"/>
      <c r="BL309" s="30"/>
      <c r="BW309" s="30">
        <v>12</v>
      </c>
      <c r="BX309" s="4" t="s">
        <v>857</v>
      </c>
    </row>
    <row r="310" spans="1:76" x14ac:dyDescent="0.25">
      <c r="A310" s="32" t="s">
        <v>858</v>
      </c>
      <c r="B310" s="33" t="s">
        <v>859</v>
      </c>
      <c r="C310" s="141" t="s">
        <v>860</v>
      </c>
      <c r="D310" s="142"/>
      <c r="E310" s="33" t="s">
        <v>56</v>
      </c>
      <c r="F310" s="34">
        <v>1</v>
      </c>
      <c r="G310" s="35">
        <v>0</v>
      </c>
      <c r="H310" s="34">
        <f t="shared" si="352"/>
        <v>0</v>
      </c>
      <c r="I310" s="34">
        <f t="shared" si="353"/>
        <v>0</v>
      </c>
      <c r="J310" s="34">
        <f t="shared" si="354"/>
        <v>0</v>
      </c>
      <c r="K310" s="36" t="s">
        <v>57</v>
      </c>
      <c r="Z310" s="30">
        <f t="shared" si="355"/>
        <v>0</v>
      </c>
      <c r="AB310" s="30">
        <f t="shared" si="356"/>
        <v>0</v>
      </c>
      <c r="AC310" s="30">
        <f t="shared" si="357"/>
        <v>0</v>
      </c>
      <c r="AD310" s="30">
        <f t="shared" si="358"/>
        <v>0</v>
      </c>
      <c r="AE310" s="30">
        <f t="shared" si="359"/>
        <v>0</v>
      </c>
      <c r="AF310" s="30">
        <f t="shared" si="360"/>
        <v>0</v>
      </c>
      <c r="AG310" s="30">
        <f t="shared" si="361"/>
        <v>0</v>
      </c>
      <c r="AH310" s="30">
        <f t="shared" si="362"/>
        <v>0</v>
      </c>
      <c r="AI310" s="10" t="s">
        <v>50</v>
      </c>
      <c r="AJ310" s="30">
        <f t="shared" si="363"/>
        <v>0</v>
      </c>
      <c r="AK310" s="30">
        <f t="shared" si="364"/>
        <v>0</v>
      </c>
      <c r="AL310" s="30">
        <f t="shared" si="365"/>
        <v>0</v>
      </c>
      <c r="AN310" s="30">
        <v>12</v>
      </c>
      <c r="AO310" s="30">
        <f>G310*1</f>
        <v>0</v>
      </c>
      <c r="AP310" s="30">
        <f>G310*(1-1)</f>
        <v>0</v>
      </c>
      <c r="AQ310" s="31" t="s">
        <v>53</v>
      </c>
      <c r="AV310" s="30">
        <f t="shared" si="366"/>
        <v>0</v>
      </c>
      <c r="AW310" s="30">
        <f t="shared" si="367"/>
        <v>0</v>
      </c>
      <c r="AX310" s="30">
        <f t="shared" si="368"/>
        <v>0</v>
      </c>
      <c r="AY310" s="31" t="s">
        <v>777</v>
      </c>
      <c r="AZ310" s="31" t="s">
        <v>778</v>
      </c>
      <c r="BA310" s="10" t="s">
        <v>60</v>
      </c>
      <c r="BC310" s="30">
        <f t="shared" si="369"/>
        <v>0</v>
      </c>
      <c r="BD310" s="30">
        <f t="shared" si="370"/>
        <v>0</v>
      </c>
      <c r="BE310" s="30">
        <v>0</v>
      </c>
      <c r="BF310" s="30">
        <f>310</f>
        <v>310</v>
      </c>
      <c r="BH310" s="30">
        <f t="shared" si="371"/>
        <v>0</v>
      </c>
      <c r="BI310" s="30">
        <f t="shared" si="372"/>
        <v>0</v>
      </c>
      <c r="BJ310" s="30">
        <f t="shared" si="373"/>
        <v>0</v>
      </c>
      <c r="BK310" s="30"/>
      <c r="BL310" s="30"/>
      <c r="BW310" s="30">
        <v>12</v>
      </c>
      <c r="BX310" s="4" t="s">
        <v>860</v>
      </c>
    </row>
    <row r="311" spans="1:76" x14ac:dyDescent="0.25">
      <c r="A311" s="32" t="s">
        <v>861</v>
      </c>
      <c r="B311" s="33" t="s">
        <v>862</v>
      </c>
      <c r="C311" s="141" t="s">
        <v>863</v>
      </c>
      <c r="D311" s="142"/>
      <c r="E311" s="33" t="s">
        <v>56</v>
      </c>
      <c r="F311" s="34">
        <v>1</v>
      </c>
      <c r="G311" s="35">
        <v>0</v>
      </c>
      <c r="H311" s="34">
        <f t="shared" si="352"/>
        <v>0</v>
      </c>
      <c r="I311" s="34">
        <f t="shared" si="353"/>
        <v>0</v>
      </c>
      <c r="J311" s="34">
        <f t="shared" si="354"/>
        <v>0</v>
      </c>
      <c r="K311" s="36" t="s">
        <v>57</v>
      </c>
      <c r="Z311" s="30">
        <f t="shared" si="355"/>
        <v>0</v>
      </c>
      <c r="AB311" s="30">
        <f t="shared" si="356"/>
        <v>0</v>
      </c>
      <c r="AC311" s="30">
        <f t="shared" si="357"/>
        <v>0</v>
      </c>
      <c r="AD311" s="30">
        <f t="shared" si="358"/>
        <v>0</v>
      </c>
      <c r="AE311" s="30">
        <f t="shared" si="359"/>
        <v>0</v>
      </c>
      <c r="AF311" s="30">
        <f t="shared" si="360"/>
        <v>0</v>
      </c>
      <c r="AG311" s="30">
        <f t="shared" si="361"/>
        <v>0</v>
      </c>
      <c r="AH311" s="30">
        <f t="shared" si="362"/>
        <v>0</v>
      </c>
      <c r="AI311" s="10" t="s">
        <v>50</v>
      </c>
      <c r="AJ311" s="30">
        <f t="shared" si="363"/>
        <v>0</v>
      </c>
      <c r="AK311" s="30">
        <f t="shared" si="364"/>
        <v>0</v>
      </c>
      <c r="AL311" s="30">
        <f t="shared" si="365"/>
        <v>0</v>
      </c>
      <c r="AN311" s="30">
        <v>12</v>
      </c>
      <c r="AO311" s="30">
        <f>G311*1</f>
        <v>0</v>
      </c>
      <c r="AP311" s="30">
        <f>G311*(1-1)</f>
        <v>0</v>
      </c>
      <c r="AQ311" s="31" t="s">
        <v>53</v>
      </c>
      <c r="AV311" s="30">
        <f t="shared" si="366"/>
        <v>0</v>
      </c>
      <c r="AW311" s="30">
        <f t="shared" si="367"/>
        <v>0</v>
      </c>
      <c r="AX311" s="30">
        <f t="shared" si="368"/>
        <v>0</v>
      </c>
      <c r="AY311" s="31" t="s">
        <v>777</v>
      </c>
      <c r="AZ311" s="31" t="s">
        <v>778</v>
      </c>
      <c r="BA311" s="10" t="s">
        <v>60</v>
      </c>
      <c r="BC311" s="30">
        <f t="shared" si="369"/>
        <v>0</v>
      </c>
      <c r="BD311" s="30">
        <f t="shared" si="370"/>
        <v>0</v>
      </c>
      <c r="BE311" s="30">
        <v>0</v>
      </c>
      <c r="BF311" s="30">
        <f>311</f>
        <v>311</v>
      </c>
      <c r="BH311" s="30">
        <f t="shared" si="371"/>
        <v>0</v>
      </c>
      <c r="BI311" s="30">
        <f t="shared" si="372"/>
        <v>0</v>
      </c>
      <c r="BJ311" s="30">
        <f t="shared" si="373"/>
        <v>0</v>
      </c>
      <c r="BK311" s="30"/>
      <c r="BL311" s="30"/>
      <c r="BW311" s="30">
        <v>12</v>
      </c>
      <c r="BX311" s="4" t="s">
        <v>863</v>
      </c>
    </row>
    <row r="312" spans="1:76" x14ac:dyDescent="0.25">
      <c r="A312" s="32" t="s">
        <v>864</v>
      </c>
      <c r="B312" s="33" t="s">
        <v>865</v>
      </c>
      <c r="C312" s="141" t="s">
        <v>866</v>
      </c>
      <c r="D312" s="142"/>
      <c r="E312" s="33" t="s">
        <v>56</v>
      </c>
      <c r="F312" s="34">
        <v>1</v>
      </c>
      <c r="G312" s="35">
        <v>0</v>
      </c>
      <c r="H312" s="34">
        <f t="shared" si="352"/>
        <v>0</v>
      </c>
      <c r="I312" s="34">
        <f t="shared" si="353"/>
        <v>0</v>
      </c>
      <c r="J312" s="34">
        <f t="shared" si="354"/>
        <v>0</v>
      </c>
      <c r="K312" s="36" t="s">
        <v>57</v>
      </c>
      <c r="Z312" s="30">
        <f t="shared" si="355"/>
        <v>0</v>
      </c>
      <c r="AB312" s="30">
        <f t="shared" si="356"/>
        <v>0</v>
      </c>
      <c r="AC312" s="30">
        <f t="shared" si="357"/>
        <v>0</v>
      </c>
      <c r="AD312" s="30">
        <f t="shared" si="358"/>
        <v>0</v>
      </c>
      <c r="AE312" s="30">
        <f t="shared" si="359"/>
        <v>0</v>
      </c>
      <c r="AF312" s="30">
        <f t="shared" si="360"/>
        <v>0</v>
      </c>
      <c r="AG312" s="30">
        <f t="shared" si="361"/>
        <v>0</v>
      </c>
      <c r="AH312" s="30">
        <f t="shared" si="362"/>
        <v>0</v>
      </c>
      <c r="AI312" s="10" t="s">
        <v>50</v>
      </c>
      <c r="AJ312" s="30">
        <f t="shared" si="363"/>
        <v>0</v>
      </c>
      <c r="AK312" s="30">
        <f t="shared" si="364"/>
        <v>0</v>
      </c>
      <c r="AL312" s="30">
        <f t="shared" si="365"/>
        <v>0</v>
      </c>
      <c r="AN312" s="30">
        <v>12</v>
      </c>
      <c r="AO312" s="30">
        <f>G312*1</f>
        <v>0</v>
      </c>
      <c r="AP312" s="30">
        <f>G312*(1-1)</f>
        <v>0</v>
      </c>
      <c r="AQ312" s="31" t="s">
        <v>53</v>
      </c>
      <c r="AV312" s="30">
        <f t="shared" si="366"/>
        <v>0</v>
      </c>
      <c r="AW312" s="30">
        <f t="shared" si="367"/>
        <v>0</v>
      </c>
      <c r="AX312" s="30">
        <f t="shared" si="368"/>
        <v>0</v>
      </c>
      <c r="AY312" s="31" t="s">
        <v>777</v>
      </c>
      <c r="AZ312" s="31" t="s">
        <v>778</v>
      </c>
      <c r="BA312" s="10" t="s">
        <v>60</v>
      </c>
      <c r="BC312" s="30">
        <f t="shared" si="369"/>
        <v>0</v>
      </c>
      <c r="BD312" s="30">
        <f t="shared" si="370"/>
        <v>0</v>
      </c>
      <c r="BE312" s="30">
        <v>0</v>
      </c>
      <c r="BF312" s="30">
        <f>312</f>
        <v>312</v>
      </c>
      <c r="BH312" s="30">
        <f t="shared" si="371"/>
        <v>0</v>
      </c>
      <c r="BI312" s="30">
        <f t="shared" si="372"/>
        <v>0</v>
      </c>
      <c r="BJ312" s="30">
        <f t="shared" si="373"/>
        <v>0</v>
      </c>
      <c r="BK312" s="30"/>
      <c r="BL312" s="30"/>
      <c r="BW312" s="30">
        <v>12</v>
      </c>
      <c r="BX312" s="4" t="s">
        <v>866</v>
      </c>
    </row>
    <row r="313" spans="1:76" x14ac:dyDescent="0.25">
      <c r="A313" s="32" t="s">
        <v>867</v>
      </c>
      <c r="B313" s="33" t="s">
        <v>868</v>
      </c>
      <c r="C313" s="141" t="s">
        <v>869</v>
      </c>
      <c r="D313" s="142"/>
      <c r="E313" s="33" t="s">
        <v>355</v>
      </c>
      <c r="F313" s="34">
        <v>1</v>
      </c>
      <c r="G313" s="35">
        <v>0</v>
      </c>
      <c r="H313" s="34">
        <f t="shared" si="352"/>
        <v>0</v>
      </c>
      <c r="I313" s="34">
        <f t="shared" si="353"/>
        <v>0</v>
      </c>
      <c r="J313" s="34">
        <f t="shared" si="354"/>
        <v>0</v>
      </c>
      <c r="K313" s="36" t="s">
        <v>57</v>
      </c>
      <c r="Z313" s="30">
        <f t="shared" si="355"/>
        <v>0</v>
      </c>
      <c r="AB313" s="30">
        <f t="shared" si="356"/>
        <v>0</v>
      </c>
      <c r="AC313" s="30">
        <f t="shared" si="357"/>
        <v>0</v>
      </c>
      <c r="AD313" s="30">
        <f t="shared" si="358"/>
        <v>0</v>
      </c>
      <c r="AE313" s="30">
        <f t="shared" si="359"/>
        <v>0</v>
      </c>
      <c r="AF313" s="30">
        <f t="shared" si="360"/>
        <v>0</v>
      </c>
      <c r="AG313" s="30">
        <f t="shared" si="361"/>
        <v>0</v>
      </c>
      <c r="AH313" s="30">
        <f t="shared" si="362"/>
        <v>0</v>
      </c>
      <c r="AI313" s="10" t="s">
        <v>50</v>
      </c>
      <c r="AJ313" s="30">
        <f t="shared" si="363"/>
        <v>0</v>
      </c>
      <c r="AK313" s="30">
        <f t="shared" si="364"/>
        <v>0</v>
      </c>
      <c r="AL313" s="30">
        <f t="shared" si="365"/>
        <v>0</v>
      </c>
      <c r="AN313" s="30">
        <v>12</v>
      </c>
      <c r="AO313" s="30">
        <f>G313*0.450859107</f>
        <v>0</v>
      </c>
      <c r="AP313" s="30">
        <f>G313*(1-0.450859107)</f>
        <v>0</v>
      </c>
      <c r="AQ313" s="31" t="s">
        <v>53</v>
      </c>
      <c r="AV313" s="30">
        <f t="shared" si="366"/>
        <v>0</v>
      </c>
      <c r="AW313" s="30">
        <f t="shared" si="367"/>
        <v>0</v>
      </c>
      <c r="AX313" s="30">
        <f t="shared" si="368"/>
        <v>0</v>
      </c>
      <c r="AY313" s="31" t="s">
        <v>777</v>
      </c>
      <c r="AZ313" s="31" t="s">
        <v>778</v>
      </c>
      <c r="BA313" s="10" t="s">
        <v>60</v>
      </c>
      <c r="BC313" s="30">
        <f t="shared" si="369"/>
        <v>0</v>
      </c>
      <c r="BD313" s="30">
        <f t="shared" si="370"/>
        <v>0</v>
      </c>
      <c r="BE313" s="30">
        <v>0</v>
      </c>
      <c r="BF313" s="30">
        <f>313</f>
        <v>313</v>
      </c>
      <c r="BH313" s="30">
        <f t="shared" si="371"/>
        <v>0</v>
      </c>
      <c r="BI313" s="30">
        <f t="shared" si="372"/>
        <v>0</v>
      </c>
      <c r="BJ313" s="30">
        <f t="shared" si="373"/>
        <v>0</v>
      </c>
      <c r="BK313" s="30"/>
      <c r="BL313" s="30"/>
      <c r="BW313" s="30">
        <v>12</v>
      </c>
      <c r="BX313" s="4" t="s">
        <v>869</v>
      </c>
    </row>
    <row r="314" spans="1:76" ht="13.5" customHeight="1" x14ac:dyDescent="0.25">
      <c r="A314" s="37"/>
      <c r="B314" s="38" t="s">
        <v>84</v>
      </c>
      <c r="C314" s="152" t="s">
        <v>870</v>
      </c>
      <c r="D314" s="153"/>
      <c r="E314" s="153"/>
      <c r="F314" s="153"/>
      <c r="G314" s="154"/>
      <c r="H314" s="153"/>
      <c r="I314" s="153"/>
      <c r="J314" s="153"/>
      <c r="K314" s="155"/>
    </row>
    <row r="315" spans="1:76" x14ac:dyDescent="0.25">
      <c r="A315" s="25" t="s">
        <v>871</v>
      </c>
      <c r="B315" s="26" t="s">
        <v>872</v>
      </c>
      <c r="C315" s="150" t="s">
        <v>873</v>
      </c>
      <c r="D315" s="151"/>
      <c r="E315" s="26" t="s">
        <v>56</v>
      </c>
      <c r="F315" s="27">
        <v>1</v>
      </c>
      <c r="G315" s="28">
        <v>0</v>
      </c>
      <c r="H315" s="27">
        <f>F315*AO315</f>
        <v>0</v>
      </c>
      <c r="I315" s="27">
        <f>F315*AP315</f>
        <v>0</v>
      </c>
      <c r="J315" s="27">
        <f>F315*G315</f>
        <v>0</v>
      </c>
      <c r="K315" s="29" t="s">
        <v>57</v>
      </c>
      <c r="Z315" s="30">
        <f>IF(AQ315="5",BJ315,0)</f>
        <v>0</v>
      </c>
      <c r="AB315" s="30">
        <f>IF(AQ315="1",BH315,0)</f>
        <v>0</v>
      </c>
      <c r="AC315" s="30">
        <f>IF(AQ315="1",BI315,0)</f>
        <v>0</v>
      </c>
      <c r="AD315" s="30">
        <f>IF(AQ315="7",BH315,0)</f>
        <v>0</v>
      </c>
      <c r="AE315" s="30">
        <f>IF(AQ315="7",BI315,0)</f>
        <v>0</v>
      </c>
      <c r="AF315" s="30">
        <f>IF(AQ315="2",BH315,0)</f>
        <v>0</v>
      </c>
      <c r="AG315" s="30">
        <f>IF(AQ315="2",BI315,0)</f>
        <v>0</v>
      </c>
      <c r="AH315" s="30">
        <f>IF(AQ315="0",BJ315,0)</f>
        <v>0</v>
      </c>
      <c r="AI315" s="10" t="s">
        <v>50</v>
      </c>
      <c r="AJ315" s="30">
        <f>IF(AN315=0,J315,0)</f>
        <v>0</v>
      </c>
      <c r="AK315" s="30">
        <f>IF(AN315=12,J315,0)</f>
        <v>0</v>
      </c>
      <c r="AL315" s="30">
        <f>IF(AN315=21,J315,0)</f>
        <v>0</v>
      </c>
      <c r="AN315" s="30">
        <v>12</v>
      </c>
      <c r="AO315" s="30">
        <f>G315*1</f>
        <v>0</v>
      </c>
      <c r="AP315" s="30">
        <f>G315*(1-1)</f>
        <v>0</v>
      </c>
      <c r="AQ315" s="31" t="s">
        <v>53</v>
      </c>
      <c r="AV315" s="30">
        <f>AW315+AX315</f>
        <v>0</v>
      </c>
      <c r="AW315" s="30">
        <f>F315*AO315</f>
        <v>0</v>
      </c>
      <c r="AX315" s="30">
        <f>F315*AP315</f>
        <v>0</v>
      </c>
      <c r="AY315" s="31" t="s">
        <v>777</v>
      </c>
      <c r="AZ315" s="31" t="s">
        <v>778</v>
      </c>
      <c r="BA315" s="10" t="s">
        <v>60</v>
      </c>
      <c r="BC315" s="30">
        <f>AW315+AX315</f>
        <v>0</v>
      </c>
      <c r="BD315" s="30">
        <f>G315/(100-BE315)*100</f>
        <v>0</v>
      </c>
      <c r="BE315" s="30">
        <v>0</v>
      </c>
      <c r="BF315" s="30">
        <f>315</f>
        <v>315</v>
      </c>
      <c r="BH315" s="30">
        <f>F315*AO315</f>
        <v>0</v>
      </c>
      <c r="BI315" s="30">
        <f>F315*AP315</f>
        <v>0</v>
      </c>
      <c r="BJ315" s="30">
        <f>F315*G315</f>
        <v>0</v>
      </c>
      <c r="BK315" s="30"/>
      <c r="BL315" s="30"/>
      <c r="BW315" s="30">
        <v>12</v>
      </c>
      <c r="BX315" s="4" t="s">
        <v>873</v>
      </c>
    </row>
    <row r="316" spans="1:76" x14ac:dyDescent="0.25">
      <c r="A316" s="32" t="s">
        <v>874</v>
      </c>
      <c r="B316" s="33" t="s">
        <v>875</v>
      </c>
      <c r="C316" s="141" t="s">
        <v>876</v>
      </c>
      <c r="D316" s="142"/>
      <c r="E316" s="33" t="s">
        <v>776</v>
      </c>
      <c r="F316" s="34">
        <v>1</v>
      </c>
      <c r="G316" s="35">
        <v>0</v>
      </c>
      <c r="H316" s="34">
        <f>F316*AO316</f>
        <v>0</v>
      </c>
      <c r="I316" s="34">
        <f>F316*AP316</f>
        <v>0</v>
      </c>
      <c r="J316" s="34">
        <f>F316*G316</f>
        <v>0</v>
      </c>
      <c r="K316" s="36" t="s">
        <v>57</v>
      </c>
      <c r="Z316" s="30">
        <f>IF(AQ316="5",BJ316,0)</f>
        <v>0</v>
      </c>
      <c r="AB316" s="30">
        <f>IF(AQ316="1",BH316,0)</f>
        <v>0</v>
      </c>
      <c r="AC316" s="30">
        <f>IF(AQ316="1",BI316,0)</f>
        <v>0</v>
      </c>
      <c r="AD316" s="30">
        <f>IF(AQ316="7",BH316,0)</f>
        <v>0</v>
      </c>
      <c r="AE316" s="30">
        <f>IF(AQ316="7",BI316,0)</f>
        <v>0</v>
      </c>
      <c r="AF316" s="30">
        <f>IF(AQ316="2",BH316,0)</f>
        <v>0</v>
      </c>
      <c r="AG316" s="30">
        <f>IF(AQ316="2",BI316,0)</f>
        <v>0</v>
      </c>
      <c r="AH316" s="30">
        <f>IF(AQ316="0",BJ316,0)</f>
        <v>0</v>
      </c>
      <c r="AI316" s="10" t="s">
        <v>50</v>
      </c>
      <c r="AJ316" s="30">
        <f>IF(AN316=0,J316,0)</f>
        <v>0</v>
      </c>
      <c r="AK316" s="30">
        <f>IF(AN316=12,J316,0)</f>
        <v>0</v>
      </c>
      <c r="AL316" s="30">
        <f>IF(AN316=21,J316,0)</f>
        <v>0</v>
      </c>
      <c r="AN316" s="30">
        <v>12</v>
      </c>
      <c r="AO316" s="30">
        <f>G316*0.179308306</f>
        <v>0</v>
      </c>
      <c r="AP316" s="30">
        <f>G316*(1-0.179308306)</f>
        <v>0</v>
      </c>
      <c r="AQ316" s="31" t="s">
        <v>61</v>
      </c>
      <c r="AV316" s="30">
        <f>AW316+AX316</f>
        <v>0</v>
      </c>
      <c r="AW316" s="30">
        <f>F316*AO316</f>
        <v>0</v>
      </c>
      <c r="AX316" s="30">
        <f>F316*AP316</f>
        <v>0</v>
      </c>
      <c r="AY316" s="31" t="s">
        <v>777</v>
      </c>
      <c r="AZ316" s="31" t="s">
        <v>778</v>
      </c>
      <c r="BA316" s="10" t="s">
        <v>60</v>
      </c>
      <c r="BC316" s="30">
        <f>AW316+AX316</f>
        <v>0</v>
      </c>
      <c r="BD316" s="30">
        <f>G316/(100-BE316)*100</f>
        <v>0</v>
      </c>
      <c r="BE316" s="30">
        <v>0</v>
      </c>
      <c r="BF316" s="30">
        <f>316</f>
        <v>316</v>
      </c>
      <c r="BH316" s="30">
        <f>F316*AO316</f>
        <v>0</v>
      </c>
      <c r="BI316" s="30">
        <f>F316*AP316</f>
        <v>0</v>
      </c>
      <c r="BJ316" s="30">
        <f>F316*G316</f>
        <v>0</v>
      </c>
      <c r="BK316" s="30"/>
      <c r="BL316" s="30"/>
      <c r="BW316" s="30">
        <v>12</v>
      </c>
      <c r="BX316" s="4" t="s">
        <v>876</v>
      </c>
    </row>
    <row r="317" spans="1:76" x14ac:dyDescent="0.25">
      <c r="A317" s="32" t="s">
        <v>877</v>
      </c>
      <c r="B317" s="33" t="s">
        <v>162</v>
      </c>
      <c r="C317" s="141" t="s">
        <v>163</v>
      </c>
      <c r="D317" s="142"/>
      <c r="E317" s="33" t="s">
        <v>109</v>
      </c>
      <c r="F317" s="34">
        <v>5.6980000000000003E-2</v>
      </c>
      <c r="G317" s="35">
        <v>0</v>
      </c>
      <c r="H317" s="34">
        <f>F317*AO317</f>
        <v>0</v>
      </c>
      <c r="I317" s="34">
        <f>F317*AP317</f>
        <v>0</v>
      </c>
      <c r="J317" s="34">
        <f>F317*G317</f>
        <v>0</v>
      </c>
      <c r="K317" s="36" t="s">
        <v>57</v>
      </c>
      <c r="Z317" s="30">
        <f>IF(AQ317="5",BJ317,0)</f>
        <v>0</v>
      </c>
      <c r="AB317" s="30">
        <f>IF(AQ317="1",BH317,0)</f>
        <v>0</v>
      </c>
      <c r="AC317" s="30">
        <f>IF(AQ317="1",BI317,0)</f>
        <v>0</v>
      </c>
      <c r="AD317" s="30">
        <f>IF(AQ317="7",BH317,0)</f>
        <v>0</v>
      </c>
      <c r="AE317" s="30">
        <f>IF(AQ317="7",BI317,0)</f>
        <v>0</v>
      </c>
      <c r="AF317" s="30">
        <f>IF(AQ317="2",BH317,0)</f>
        <v>0</v>
      </c>
      <c r="AG317" s="30">
        <f>IF(AQ317="2",BI317,0)</f>
        <v>0</v>
      </c>
      <c r="AH317" s="30">
        <f>IF(AQ317="0",BJ317,0)</f>
        <v>0</v>
      </c>
      <c r="AI317" s="10" t="s">
        <v>50</v>
      </c>
      <c r="AJ317" s="30">
        <f>IF(AN317=0,J317,0)</f>
        <v>0</v>
      </c>
      <c r="AK317" s="30">
        <f>IF(AN317=12,J317,0)</f>
        <v>0</v>
      </c>
      <c r="AL317" s="30">
        <f>IF(AN317=21,J317,0)</f>
        <v>0</v>
      </c>
      <c r="AN317" s="30">
        <v>12</v>
      </c>
      <c r="AO317" s="30">
        <f>G317*0</f>
        <v>0</v>
      </c>
      <c r="AP317" s="30">
        <f>G317*(1-0)</f>
        <v>0</v>
      </c>
      <c r="AQ317" s="31" t="s">
        <v>71</v>
      </c>
      <c r="AV317" s="30">
        <f>AW317+AX317</f>
        <v>0</v>
      </c>
      <c r="AW317" s="30">
        <f>F317*AO317</f>
        <v>0</v>
      </c>
      <c r="AX317" s="30">
        <f>F317*AP317</f>
        <v>0</v>
      </c>
      <c r="AY317" s="31" t="s">
        <v>777</v>
      </c>
      <c r="AZ317" s="31" t="s">
        <v>778</v>
      </c>
      <c r="BA317" s="10" t="s">
        <v>60</v>
      </c>
      <c r="BC317" s="30">
        <f>AW317+AX317</f>
        <v>0</v>
      </c>
      <c r="BD317" s="30">
        <f>G317/(100-BE317)*100</f>
        <v>0</v>
      </c>
      <c r="BE317" s="30">
        <v>0</v>
      </c>
      <c r="BF317" s="30">
        <f>317</f>
        <v>317</v>
      </c>
      <c r="BH317" s="30">
        <f>F317*AO317</f>
        <v>0</v>
      </c>
      <c r="BI317" s="30">
        <f>F317*AP317</f>
        <v>0</v>
      </c>
      <c r="BJ317" s="30">
        <f>F317*G317</f>
        <v>0</v>
      </c>
      <c r="BK317" s="30"/>
      <c r="BL317" s="30"/>
      <c r="BW317" s="30">
        <v>12</v>
      </c>
      <c r="BX317" s="4" t="s">
        <v>163</v>
      </c>
    </row>
    <row r="318" spans="1:76" x14ac:dyDescent="0.25">
      <c r="A318" s="39" t="s">
        <v>50</v>
      </c>
      <c r="B318" s="40" t="s">
        <v>878</v>
      </c>
      <c r="C318" s="156" t="s">
        <v>879</v>
      </c>
      <c r="D318" s="157"/>
      <c r="E318" s="41" t="s">
        <v>4</v>
      </c>
      <c r="F318" s="41" t="s">
        <v>4</v>
      </c>
      <c r="G318" s="42" t="s">
        <v>4</v>
      </c>
      <c r="H318" s="43">
        <f>SUM(H319:H339)</f>
        <v>0</v>
      </c>
      <c r="I318" s="43">
        <f>SUM(I319:I339)</f>
        <v>0</v>
      </c>
      <c r="J318" s="43">
        <f>SUM(J319:J339)</f>
        <v>0</v>
      </c>
      <c r="K318" s="44" t="s">
        <v>50</v>
      </c>
      <c r="AI318" s="10" t="s">
        <v>50</v>
      </c>
      <c r="AS318" s="1">
        <f>SUM(AJ319:AJ339)</f>
        <v>0</v>
      </c>
      <c r="AT318" s="1">
        <f>SUM(AK319:AK339)</f>
        <v>0</v>
      </c>
      <c r="AU318" s="1">
        <f>SUM(AL319:AL339)</f>
        <v>0</v>
      </c>
    </row>
    <row r="319" spans="1:76" x14ac:dyDescent="0.25">
      <c r="A319" s="25" t="s">
        <v>880</v>
      </c>
      <c r="B319" s="26" t="s">
        <v>881</v>
      </c>
      <c r="C319" s="150" t="s">
        <v>882</v>
      </c>
      <c r="D319" s="151"/>
      <c r="E319" s="26" t="s">
        <v>99</v>
      </c>
      <c r="F319" s="27">
        <v>15</v>
      </c>
      <c r="G319" s="28">
        <v>0</v>
      </c>
      <c r="H319" s="27">
        <f>F319*AO319</f>
        <v>0</v>
      </c>
      <c r="I319" s="27">
        <f>F319*AP319</f>
        <v>0</v>
      </c>
      <c r="J319" s="27">
        <f>F319*G319</f>
        <v>0</v>
      </c>
      <c r="K319" s="29" t="s">
        <v>57</v>
      </c>
      <c r="Z319" s="30">
        <f>IF(AQ319="5",BJ319,0)</f>
        <v>0</v>
      </c>
      <c r="AB319" s="30">
        <f>IF(AQ319="1",BH319,0)</f>
        <v>0</v>
      </c>
      <c r="AC319" s="30">
        <f>IF(AQ319="1",BI319,0)</f>
        <v>0</v>
      </c>
      <c r="AD319" s="30">
        <f>IF(AQ319="7",BH319,0)</f>
        <v>0</v>
      </c>
      <c r="AE319" s="30">
        <f>IF(AQ319="7",BI319,0)</f>
        <v>0</v>
      </c>
      <c r="AF319" s="30">
        <f>IF(AQ319="2",BH319,0)</f>
        <v>0</v>
      </c>
      <c r="AG319" s="30">
        <f>IF(AQ319="2",BI319,0)</f>
        <v>0</v>
      </c>
      <c r="AH319" s="30">
        <f>IF(AQ319="0",BJ319,0)</f>
        <v>0</v>
      </c>
      <c r="AI319" s="10" t="s">
        <v>50</v>
      </c>
      <c r="AJ319" s="30">
        <f>IF(AN319=0,J319,0)</f>
        <v>0</v>
      </c>
      <c r="AK319" s="30">
        <f>IF(AN319=12,J319,0)</f>
        <v>0</v>
      </c>
      <c r="AL319" s="30">
        <f>IF(AN319=21,J319,0)</f>
        <v>0</v>
      </c>
      <c r="AN319" s="30">
        <v>12</v>
      </c>
      <c r="AO319" s="30">
        <f>G319*0.631032258</f>
        <v>0</v>
      </c>
      <c r="AP319" s="30">
        <f>G319*(1-0.631032258)</f>
        <v>0</v>
      </c>
      <c r="AQ319" s="31" t="s">
        <v>61</v>
      </c>
      <c r="AV319" s="30">
        <f>AW319+AX319</f>
        <v>0</v>
      </c>
      <c r="AW319" s="30">
        <f>F319*AO319</f>
        <v>0</v>
      </c>
      <c r="AX319" s="30">
        <f>F319*AP319</f>
        <v>0</v>
      </c>
      <c r="AY319" s="31" t="s">
        <v>883</v>
      </c>
      <c r="AZ319" s="31" t="s">
        <v>778</v>
      </c>
      <c r="BA319" s="10" t="s">
        <v>60</v>
      </c>
      <c r="BC319" s="30">
        <f>AW319+AX319</f>
        <v>0</v>
      </c>
      <c r="BD319" s="30">
        <f>G319/(100-BE319)*100</f>
        <v>0</v>
      </c>
      <c r="BE319" s="30">
        <v>0</v>
      </c>
      <c r="BF319" s="30">
        <f>319</f>
        <v>319</v>
      </c>
      <c r="BH319" s="30">
        <f>F319*AO319</f>
        <v>0</v>
      </c>
      <c r="BI319" s="30">
        <f>F319*AP319</f>
        <v>0</v>
      </c>
      <c r="BJ319" s="30">
        <f>F319*G319</f>
        <v>0</v>
      </c>
      <c r="BK319" s="30"/>
      <c r="BL319" s="30"/>
      <c r="BW319" s="30">
        <v>12</v>
      </c>
      <c r="BX319" s="4" t="s">
        <v>882</v>
      </c>
    </row>
    <row r="320" spans="1:76" ht="13.5" customHeight="1" x14ac:dyDescent="0.25">
      <c r="A320" s="37"/>
      <c r="B320" s="38" t="s">
        <v>84</v>
      </c>
      <c r="C320" s="152" t="s">
        <v>884</v>
      </c>
      <c r="D320" s="153"/>
      <c r="E320" s="153"/>
      <c r="F320" s="153"/>
      <c r="G320" s="154"/>
      <c r="H320" s="153"/>
      <c r="I320" s="153"/>
      <c r="J320" s="153"/>
      <c r="K320" s="155"/>
    </row>
    <row r="321" spans="1:76" x14ac:dyDescent="0.25">
      <c r="A321" s="25" t="s">
        <v>885</v>
      </c>
      <c r="B321" s="26" t="s">
        <v>886</v>
      </c>
      <c r="C321" s="150" t="s">
        <v>887</v>
      </c>
      <c r="D321" s="151"/>
      <c r="E321" s="26" t="s">
        <v>99</v>
      </c>
      <c r="F321" s="27">
        <v>15</v>
      </c>
      <c r="G321" s="28">
        <v>0</v>
      </c>
      <c r="H321" s="27">
        <f>F321*AO321</f>
        <v>0</v>
      </c>
      <c r="I321" s="27">
        <f>F321*AP321</f>
        <v>0</v>
      </c>
      <c r="J321" s="27">
        <f>F321*G321</f>
        <v>0</v>
      </c>
      <c r="K321" s="29" t="s">
        <v>57</v>
      </c>
      <c r="Z321" s="30">
        <f>IF(AQ321="5",BJ321,0)</f>
        <v>0</v>
      </c>
      <c r="AB321" s="30">
        <f>IF(AQ321="1",BH321,0)</f>
        <v>0</v>
      </c>
      <c r="AC321" s="30">
        <f>IF(AQ321="1",BI321,0)</f>
        <v>0</v>
      </c>
      <c r="AD321" s="30">
        <f>IF(AQ321="7",BH321,0)</f>
        <v>0</v>
      </c>
      <c r="AE321" s="30">
        <f>IF(AQ321="7",BI321,0)</f>
        <v>0</v>
      </c>
      <c r="AF321" s="30">
        <f>IF(AQ321="2",BH321,0)</f>
        <v>0</v>
      </c>
      <c r="AG321" s="30">
        <f>IF(AQ321="2",BI321,0)</f>
        <v>0</v>
      </c>
      <c r="AH321" s="30">
        <f>IF(AQ321="0",BJ321,0)</f>
        <v>0</v>
      </c>
      <c r="AI321" s="10" t="s">
        <v>50</v>
      </c>
      <c r="AJ321" s="30">
        <f>IF(AN321=0,J321,0)</f>
        <v>0</v>
      </c>
      <c r="AK321" s="30">
        <f>IF(AN321=12,J321,0)</f>
        <v>0</v>
      </c>
      <c r="AL321" s="30">
        <f>IF(AN321=21,J321,0)</f>
        <v>0</v>
      </c>
      <c r="AN321" s="30">
        <v>12</v>
      </c>
      <c r="AO321" s="30">
        <f>G321*0.41517761</f>
        <v>0</v>
      </c>
      <c r="AP321" s="30">
        <f>G321*(1-0.41517761)</f>
        <v>0</v>
      </c>
      <c r="AQ321" s="31" t="s">
        <v>61</v>
      </c>
      <c r="AV321" s="30">
        <f>AW321+AX321</f>
        <v>0</v>
      </c>
      <c r="AW321" s="30">
        <f>F321*AO321</f>
        <v>0</v>
      </c>
      <c r="AX321" s="30">
        <f>F321*AP321</f>
        <v>0</v>
      </c>
      <c r="AY321" s="31" t="s">
        <v>883</v>
      </c>
      <c r="AZ321" s="31" t="s">
        <v>778</v>
      </c>
      <c r="BA321" s="10" t="s">
        <v>60</v>
      </c>
      <c r="BC321" s="30">
        <f>AW321+AX321</f>
        <v>0</v>
      </c>
      <c r="BD321" s="30">
        <f>G321/(100-BE321)*100</f>
        <v>0</v>
      </c>
      <c r="BE321" s="30">
        <v>0</v>
      </c>
      <c r="BF321" s="30">
        <f>321</f>
        <v>321</v>
      </c>
      <c r="BH321" s="30">
        <f>F321*AO321</f>
        <v>0</v>
      </c>
      <c r="BI321" s="30">
        <f>F321*AP321</f>
        <v>0</v>
      </c>
      <c r="BJ321" s="30">
        <f>F321*G321</f>
        <v>0</v>
      </c>
      <c r="BK321" s="30"/>
      <c r="BL321" s="30"/>
      <c r="BW321" s="30">
        <v>12</v>
      </c>
      <c r="BX321" s="4" t="s">
        <v>887</v>
      </c>
    </row>
    <row r="322" spans="1:76" ht="13.5" customHeight="1" x14ac:dyDescent="0.25">
      <c r="A322" s="37"/>
      <c r="B322" s="38" t="s">
        <v>84</v>
      </c>
      <c r="C322" s="152" t="s">
        <v>888</v>
      </c>
      <c r="D322" s="153"/>
      <c r="E322" s="153"/>
      <c r="F322" s="153"/>
      <c r="G322" s="154"/>
      <c r="H322" s="153"/>
      <c r="I322" s="153"/>
      <c r="J322" s="153"/>
      <c r="K322" s="155"/>
    </row>
    <row r="323" spans="1:76" x14ac:dyDescent="0.25">
      <c r="A323" s="25" t="s">
        <v>889</v>
      </c>
      <c r="B323" s="26" t="s">
        <v>890</v>
      </c>
      <c r="C323" s="150" t="s">
        <v>891</v>
      </c>
      <c r="D323" s="151"/>
      <c r="E323" s="26" t="s">
        <v>99</v>
      </c>
      <c r="F323" s="27">
        <v>400</v>
      </c>
      <c r="G323" s="28">
        <v>0</v>
      </c>
      <c r="H323" s="27">
        <f>F323*AO323</f>
        <v>0</v>
      </c>
      <c r="I323" s="27">
        <f>F323*AP323</f>
        <v>0</v>
      </c>
      <c r="J323" s="27">
        <f>F323*G323</f>
        <v>0</v>
      </c>
      <c r="K323" s="29" t="s">
        <v>57</v>
      </c>
      <c r="Z323" s="30">
        <f>IF(AQ323="5",BJ323,0)</f>
        <v>0</v>
      </c>
      <c r="AB323" s="30">
        <f>IF(AQ323="1",BH323,0)</f>
        <v>0</v>
      </c>
      <c r="AC323" s="30">
        <f>IF(AQ323="1",BI323,0)</f>
        <v>0</v>
      </c>
      <c r="AD323" s="30">
        <f>IF(AQ323="7",BH323,0)</f>
        <v>0</v>
      </c>
      <c r="AE323" s="30">
        <f>IF(AQ323="7",BI323,0)</f>
        <v>0</v>
      </c>
      <c r="AF323" s="30">
        <f>IF(AQ323="2",BH323,0)</f>
        <v>0</v>
      </c>
      <c r="AG323" s="30">
        <f>IF(AQ323="2",BI323,0)</f>
        <v>0</v>
      </c>
      <c r="AH323" s="30">
        <f>IF(AQ323="0",BJ323,0)</f>
        <v>0</v>
      </c>
      <c r="AI323" s="10" t="s">
        <v>50</v>
      </c>
      <c r="AJ323" s="30">
        <f>IF(AN323=0,J323,0)</f>
        <v>0</v>
      </c>
      <c r="AK323" s="30">
        <f>IF(AN323=12,J323,0)</f>
        <v>0</v>
      </c>
      <c r="AL323" s="30">
        <f>IF(AN323=21,J323,0)</f>
        <v>0</v>
      </c>
      <c r="AN323" s="30">
        <v>12</v>
      </c>
      <c r="AO323" s="30">
        <f>G323*0.315471698</f>
        <v>0</v>
      </c>
      <c r="AP323" s="30">
        <f>G323*(1-0.315471698)</f>
        <v>0</v>
      </c>
      <c r="AQ323" s="31" t="s">
        <v>61</v>
      </c>
      <c r="AV323" s="30">
        <f>AW323+AX323</f>
        <v>0</v>
      </c>
      <c r="AW323" s="30">
        <f>F323*AO323</f>
        <v>0</v>
      </c>
      <c r="AX323" s="30">
        <f>F323*AP323</f>
        <v>0</v>
      </c>
      <c r="AY323" s="31" t="s">
        <v>883</v>
      </c>
      <c r="AZ323" s="31" t="s">
        <v>778</v>
      </c>
      <c r="BA323" s="10" t="s">
        <v>60</v>
      </c>
      <c r="BC323" s="30">
        <f>AW323+AX323</f>
        <v>0</v>
      </c>
      <c r="BD323" s="30">
        <f>G323/(100-BE323)*100</f>
        <v>0</v>
      </c>
      <c r="BE323" s="30">
        <v>0</v>
      </c>
      <c r="BF323" s="30">
        <f>323</f>
        <v>323</v>
      </c>
      <c r="BH323" s="30">
        <f>F323*AO323</f>
        <v>0</v>
      </c>
      <c r="BI323" s="30">
        <f>F323*AP323</f>
        <v>0</v>
      </c>
      <c r="BJ323" s="30">
        <f>F323*G323</f>
        <v>0</v>
      </c>
      <c r="BK323" s="30"/>
      <c r="BL323" s="30"/>
      <c r="BW323" s="30">
        <v>12</v>
      </c>
      <c r="BX323" s="4" t="s">
        <v>891</v>
      </c>
    </row>
    <row r="324" spans="1:76" ht="13.5" customHeight="1" x14ac:dyDescent="0.25">
      <c r="A324" s="37"/>
      <c r="B324" s="38" t="s">
        <v>84</v>
      </c>
      <c r="C324" s="152" t="s">
        <v>892</v>
      </c>
      <c r="D324" s="153"/>
      <c r="E324" s="153"/>
      <c r="F324" s="153"/>
      <c r="G324" s="154"/>
      <c r="H324" s="153"/>
      <c r="I324" s="153"/>
      <c r="J324" s="153"/>
      <c r="K324" s="155"/>
    </row>
    <row r="325" spans="1:76" x14ac:dyDescent="0.25">
      <c r="A325" s="25" t="s">
        <v>893</v>
      </c>
      <c r="B325" s="26" t="s">
        <v>894</v>
      </c>
      <c r="C325" s="150" t="s">
        <v>895</v>
      </c>
      <c r="D325" s="151"/>
      <c r="E325" s="26" t="s">
        <v>99</v>
      </c>
      <c r="F325" s="27">
        <v>15</v>
      </c>
      <c r="G325" s="28">
        <v>0</v>
      </c>
      <c r="H325" s="27">
        <f>F325*AO325</f>
        <v>0</v>
      </c>
      <c r="I325" s="27">
        <f>F325*AP325</f>
        <v>0</v>
      </c>
      <c r="J325" s="27">
        <f>F325*G325</f>
        <v>0</v>
      </c>
      <c r="K325" s="29" t="s">
        <v>57</v>
      </c>
      <c r="Z325" s="30">
        <f>IF(AQ325="5",BJ325,0)</f>
        <v>0</v>
      </c>
      <c r="AB325" s="30">
        <f>IF(AQ325="1",BH325,0)</f>
        <v>0</v>
      </c>
      <c r="AC325" s="30">
        <f>IF(AQ325="1",BI325,0)</f>
        <v>0</v>
      </c>
      <c r="AD325" s="30">
        <f>IF(AQ325="7",BH325,0)</f>
        <v>0</v>
      </c>
      <c r="AE325" s="30">
        <f>IF(AQ325="7",BI325,0)</f>
        <v>0</v>
      </c>
      <c r="AF325" s="30">
        <f>IF(AQ325="2",BH325,0)</f>
        <v>0</v>
      </c>
      <c r="AG325" s="30">
        <f>IF(AQ325="2",BI325,0)</f>
        <v>0</v>
      </c>
      <c r="AH325" s="30">
        <f>IF(AQ325="0",BJ325,0)</f>
        <v>0</v>
      </c>
      <c r="AI325" s="10" t="s">
        <v>50</v>
      </c>
      <c r="AJ325" s="30">
        <f>IF(AN325=0,J325,0)</f>
        <v>0</v>
      </c>
      <c r="AK325" s="30">
        <f>IF(AN325=12,J325,0)</f>
        <v>0</v>
      </c>
      <c r="AL325" s="30">
        <f>IF(AN325=21,J325,0)</f>
        <v>0</v>
      </c>
      <c r="AN325" s="30">
        <v>12</v>
      </c>
      <c r="AO325" s="30">
        <f>G325*0.451212121</f>
        <v>0</v>
      </c>
      <c r="AP325" s="30">
        <f>G325*(1-0.451212121)</f>
        <v>0</v>
      </c>
      <c r="AQ325" s="31" t="s">
        <v>61</v>
      </c>
      <c r="AV325" s="30">
        <f>AW325+AX325</f>
        <v>0</v>
      </c>
      <c r="AW325" s="30">
        <f>F325*AO325</f>
        <v>0</v>
      </c>
      <c r="AX325" s="30">
        <f>F325*AP325</f>
        <v>0</v>
      </c>
      <c r="AY325" s="31" t="s">
        <v>883</v>
      </c>
      <c r="AZ325" s="31" t="s">
        <v>778</v>
      </c>
      <c r="BA325" s="10" t="s">
        <v>60</v>
      </c>
      <c r="BC325" s="30">
        <f>AW325+AX325</f>
        <v>0</v>
      </c>
      <c r="BD325" s="30">
        <f>G325/(100-BE325)*100</f>
        <v>0</v>
      </c>
      <c r="BE325" s="30">
        <v>0</v>
      </c>
      <c r="BF325" s="30">
        <f>325</f>
        <v>325</v>
      </c>
      <c r="BH325" s="30">
        <f>F325*AO325</f>
        <v>0</v>
      </c>
      <c r="BI325" s="30">
        <f>F325*AP325</f>
        <v>0</v>
      </c>
      <c r="BJ325" s="30">
        <f>F325*G325</f>
        <v>0</v>
      </c>
      <c r="BK325" s="30"/>
      <c r="BL325" s="30"/>
      <c r="BW325" s="30">
        <v>12</v>
      </c>
      <c r="BX325" s="4" t="s">
        <v>895</v>
      </c>
    </row>
    <row r="326" spans="1:76" ht="13.5" customHeight="1" x14ac:dyDescent="0.25">
      <c r="A326" s="37"/>
      <c r="B326" s="38" t="s">
        <v>84</v>
      </c>
      <c r="C326" s="152" t="s">
        <v>896</v>
      </c>
      <c r="D326" s="153"/>
      <c r="E326" s="153"/>
      <c r="F326" s="153"/>
      <c r="G326" s="154"/>
      <c r="H326" s="153"/>
      <c r="I326" s="153"/>
      <c r="J326" s="153"/>
      <c r="K326" s="155"/>
    </row>
    <row r="327" spans="1:76" x14ac:dyDescent="0.25">
      <c r="A327" s="25" t="s">
        <v>897</v>
      </c>
      <c r="B327" s="26" t="s">
        <v>898</v>
      </c>
      <c r="C327" s="150" t="s">
        <v>899</v>
      </c>
      <c r="D327" s="151"/>
      <c r="E327" s="26" t="s">
        <v>99</v>
      </c>
      <c r="F327" s="27">
        <v>250</v>
      </c>
      <c r="G327" s="28">
        <v>0</v>
      </c>
      <c r="H327" s="27">
        <f>F327*AO327</f>
        <v>0</v>
      </c>
      <c r="I327" s="27">
        <f>F327*AP327</f>
        <v>0</v>
      </c>
      <c r="J327" s="27">
        <f>F327*G327</f>
        <v>0</v>
      </c>
      <c r="K327" s="29" t="s">
        <v>57</v>
      </c>
      <c r="Z327" s="30">
        <f>IF(AQ327="5",BJ327,0)</f>
        <v>0</v>
      </c>
      <c r="AB327" s="30">
        <f>IF(AQ327="1",BH327,0)</f>
        <v>0</v>
      </c>
      <c r="AC327" s="30">
        <f>IF(AQ327="1",BI327,0)</f>
        <v>0</v>
      </c>
      <c r="AD327" s="30">
        <f>IF(AQ327="7",BH327,0)</f>
        <v>0</v>
      </c>
      <c r="AE327" s="30">
        <f>IF(AQ327="7",BI327,0)</f>
        <v>0</v>
      </c>
      <c r="AF327" s="30">
        <f>IF(AQ327="2",BH327,0)</f>
        <v>0</v>
      </c>
      <c r="AG327" s="30">
        <f>IF(AQ327="2",BI327,0)</f>
        <v>0</v>
      </c>
      <c r="AH327" s="30">
        <f>IF(AQ327="0",BJ327,0)</f>
        <v>0</v>
      </c>
      <c r="AI327" s="10" t="s">
        <v>50</v>
      </c>
      <c r="AJ327" s="30">
        <f>IF(AN327=0,J327,0)</f>
        <v>0</v>
      </c>
      <c r="AK327" s="30">
        <f>IF(AN327=12,J327,0)</f>
        <v>0</v>
      </c>
      <c r="AL327" s="30">
        <f>IF(AN327=21,J327,0)</f>
        <v>0</v>
      </c>
      <c r="AN327" s="30">
        <v>12</v>
      </c>
      <c r="AO327" s="30">
        <f>G327*0.225783476</f>
        <v>0</v>
      </c>
      <c r="AP327" s="30">
        <f>G327*(1-0.225783476)</f>
        <v>0</v>
      </c>
      <c r="AQ327" s="31" t="s">
        <v>61</v>
      </c>
      <c r="AV327" s="30">
        <f>AW327+AX327</f>
        <v>0</v>
      </c>
      <c r="AW327" s="30">
        <f>F327*AO327</f>
        <v>0</v>
      </c>
      <c r="AX327" s="30">
        <f>F327*AP327</f>
        <v>0</v>
      </c>
      <c r="AY327" s="31" t="s">
        <v>883</v>
      </c>
      <c r="AZ327" s="31" t="s">
        <v>778</v>
      </c>
      <c r="BA327" s="10" t="s">
        <v>60</v>
      </c>
      <c r="BC327" s="30">
        <f>AW327+AX327</f>
        <v>0</v>
      </c>
      <c r="BD327" s="30">
        <f>G327/(100-BE327)*100</f>
        <v>0</v>
      </c>
      <c r="BE327" s="30">
        <v>0</v>
      </c>
      <c r="BF327" s="30">
        <f>327</f>
        <v>327</v>
      </c>
      <c r="BH327" s="30">
        <f>F327*AO327</f>
        <v>0</v>
      </c>
      <c r="BI327" s="30">
        <f>F327*AP327</f>
        <v>0</v>
      </c>
      <c r="BJ327" s="30">
        <f>F327*G327</f>
        <v>0</v>
      </c>
      <c r="BK327" s="30"/>
      <c r="BL327" s="30"/>
      <c r="BW327" s="30">
        <v>12</v>
      </c>
      <c r="BX327" s="4" t="s">
        <v>899</v>
      </c>
    </row>
    <row r="328" spans="1:76" ht="13.5" customHeight="1" x14ac:dyDescent="0.25">
      <c r="A328" s="37"/>
      <c r="B328" s="38" t="s">
        <v>84</v>
      </c>
      <c r="C328" s="152" t="s">
        <v>900</v>
      </c>
      <c r="D328" s="153"/>
      <c r="E328" s="153"/>
      <c r="F328" s="153"/>
      <c r="G328" s="154"/>
      <c r="H328" s="153"/>
      <c r="I328" s="153"/>
      <c r="J328" s="153"/>
      <c r="K328" s="155"/>
    </row>
    <row r="329" spans="1:76" x14ac:dyDescent="0.25">
      <c r="A329" s="25" t="s">
        <v>901</v>
      </c>
      <c r="B329" s="26" t="s">
        <v>902</v>
      </c>
      <c r="C329" s="150" t="s">
        <v>903</v>
      </c>
      <c r="D329" s="151"/>
      <c r="E329" s="26" t="s">
        <v>99</v>
      </c>
      <c r="F329" s="27">
        <v>45</v>
      </c>
      <c r="G329" s="28">
        <v>0</v>
      </c>
      <c r="H329" s="27">
        <f>F329*AO329</f>
        <v>0</v>
      </c>
      <c r="I329" s="27">
        <f>F329*AP329</f>
        <v>0</v>
      </c>
      <c r="J329" s="27">
        <f>F329*G329</f>
        <v>0</v>
      </c>
      <c r="K329" s="29" t="s">
        <v>57</v>
      </c>
      <c r="Z329" s="30">
        <f>IF(AQ329="5",BJ329,0)</f>
        <v>0</v>
      </c>
      <c r="AB329" s="30">
        <f>IF(AQ329="1",BH329,0)</f>
        <v>0</v>
      </c>
      <c r="AC329" s="30">
        <f>IF(AQ329="1",BI329,0)</f>
        <v>0</v>
      </c>
      <c r="AD329" s="30">
        <f>IF(AQ329="7",BH329,0)</f>
        <v>0</v>
      </c>
      <c r="AE329" s="30">
        <f>IF(AQ329="7",BI329,0)</f>
        <v>0</v>
      </c>
      <c r="AF329" s="30">
        <f>IF(AQ329="2",BH329,0)</f>
        <v>0</v>
      </c>
      <c r="AG329" s="30">
        <f>IF(AQ329="2",BI329,0)</f>
        <v>0</v>
      </c>
      <c r="AH329" s="30">
        <f>IF(AQ329="0",BJ329,0)</f>
        <v>0</v>
      </c>
      <c r="AI329" s="10" t="s">
        <v>50</v>
      </c>
      <c r="AJ329" s="30">
        <f>IF(AN329=0,J329,0)</f>
        <v>0</v>
      </c>
      <c r="AK329" s="30">
        <f>IF(AN329=12,J329,0)</f>
        <v>0</v>
      </c>
      <c r="AL329" s="30">
        <f>IF(AN329=21,J329,0)</f>
        <v>0</v>
      </c>
      <c r="AN329" s="30">
        <v>12</v>
      </c>
      <c r="AO329" s="30">
        <f>G329*0</f>
        <v>0</v>
      </c>
      <c r="AP329" s="30">
        <f>G329*(1-0)</f>
        <v>0</v>
      </c>
      <c r="AQ329" s="31" t="s">
        <v>61</v>
      </c>
      <c r="AV329" s="30">
        <f>AW329+AX329</f>
        <v>0</v>
      </c>
      <c r="AW329" s="30">
        <f>F329*AO329</f>
        <v>0</v>
      </c>
      <c r="AX329" s="30">
        <f>F329*AP329</f>
        <v>0</v>
      </c>
      <c r="AY329" s="31" t="s">
        <v>883</v>
      </c>
      <c r="AZ329" s="31" t="s">
        <v>778</v>
      </c>
      <c r="BA329" s="10" t="s">
        <v>60</v>
      </c>
      <c r="BC329" s="30">
        <f>AW329+AX329</f>
        <v>0</v>
      </c>
      <c r="BD329" s="30">
        <f>G329/(100-BE329)*100</f>
        <v>0</v>
      </c>
      <c r="BE329" s="30">
        <v>0</v>
      </c>
      <c r="BF329" s="30">
        <f>329</f>
        <v>329</v>
      </c>
      <c r="BH329" s="30">
        <f>F329*AO329</f>
        <v>0</v>
      </c>
      <c r="BI329" s="30">
        <f>F329*AP329</f>
        <v>0</v>
      </c>
      <c r="BJ329" s="30">
        <f>F329*G329</f>
        <v>0</v>
      </c>
      <c r="BK329" s="30"/>
      <c r="BL329" s="30"/>
      <c r="BW329" s="30">
        <v>12</v>
      </c>
      <c r="BX329" s="4" t="s">
        <v>903</v>
      </c>
    </row>
    <row r="330" spans="1:76" ht="13.5" customHeight="1" x14ac:dyDescent="0.25">
      <c r="A330" s="37"/>
      <c r="B330" s="38" t="s">
        <v>84</v>
      </c>
      <c r="C330" s="152" t="s">
        <v>904</v>
      </c>
      <c r="D330" s="153"/>
      <c r="E330" s="153"/>
      <c r="F330" s="153"/>
      <c r="G330" s="154"/>
      <c r="H330" s="153"/>
      <c r="I330" s="153"/>
      <c r="J330" s="153"/>
      <c r="K330" s="155"/>
    </row>
    <row r="331" spans="1:76" x14ac:dyDescent="0.25">
      <c r="A331" s="25" t="s">
        <v>905</v>
      </c>
      <c r="B331" s="26" t="s">
        <v>906</v>
      </c>
      <c r="C331" s="150" t="s">
        <v>907</v>
      </c>
      <c r="D331" s="151"/>
      <c r="E331" s="26" t="s">
        <v>99</v>
      </c>
      <c r="F331" s="27">
        <v>2.5</v>
      </c>
      <c r="G331" s="28">
        <v>0</v>
      </c>
      <c r="H331" s="27">
        <f>F331*AO331</f>
        <v>0</v>
      </c>
      <c r="I331" s="27">
        <f>F331*AP331</f>
        <v>0</v>
      </c>
      <c r="J331" s="27">
        <f>F331*G331</f>
        <v>0</v>
      </c>
      <c r="K331" s="29" t="s">
        <v>57</v>
      </c>
      <c r="Z331" s="30">
        <f>IF(AQ331="5",BJ331,0)</f>
        <v>0</v>
      </c>
      <c r="AB331" s="30">
        <f>IF(AQ331="1",BH331,0)</f>
        <v>0</v>
      </c>
      <c r="AC331" s="30">
        <f>IF(AQ331="1",BI331,0)</f>
        <v>0</v>
      </c>
      <c r="AD331" s="30">
        <f>IF(AQ331="7",BH331,0)</f>
        <v>0</v>
      </c>
      <c r="AE331" s="30">
        <f>IF(AQ331="7",BI331,0)</f>
        <v>0</v>
      </c>
      <c r="AF331" s="30">
        <f>IF(AQ331="2",BH331,0)</f>
        <v>0</v>
      </c>
      <c r="AG331" s="30">
        <f>IF(AQ331="2",BI331,0)</f>
        <v>0</v>
      </c>
      <c r="AH331" s="30">
        <f>IF(AQ331="0",BJ331,0)</f>
        <v>0</v>
      </c>
      <c r="AI331" s="10" t="s">
        <v>50</v>
      </c>
      <c r="AJ331" s="30">
        <f>IF(AN331=0,J331,0)</f>
        <v>0</v>
      </c>
      <c r="AK331" s="30">
        <f>IF(AN331=12,J331,0)</f>
        <v>0</v>
      </c>
      <c r="AL331" s="30">
        <f>IF(AN331=21,J331,0)</f>
        <v>0</v>
      </c>
      <c r="AN331" s="30">
        <v>12</v>
      </c>
      <c r="AO331" s="30">
        <f>G331*0.782058229</f>
        <v>0</v>
      </c>
      <c r="AP331" s="30">
        <f>G331*(1-0.782058229)</f>
        <v>0</v>
      </c>
      <c r="AQ331" s="31" t="s">
        <v>61</v>
      </c>
      <c r="AV331" s="30">
        <f>AW331+AX331</f>
        <v>0</v>
      </c>
      <c r="AW331" s="30">
        <f>F331*AO331</f>
        <v>0</v>
      </c>
      <c r="AX331" s="30">
        <f>F331*AP331</f>
        <v>0</v>
      </c>
      <c r="AY331" s="31" t="s">
        <v>883</v>
      </c>
      <c r="AZ331" s="31" t="s">
        <v>778</v>
      </c>
      <c r="BA331" s="10" t="s">
        <v>60</v>
      </c>
      <c r="BC331" s="30">
        <f>AW331+AX331</f>
        <v>0</v>
      </c>
      <c r="BD331" s="30">
        <f>G331/(100-BE331)*100</f>
        <v>0</v>
      </c>
      <c r="BE331" s="30">
        <v>0</v>
      </c>
      <c r="BF331" s="30">
        <f>331</f>
        <v>331</v>
      </c>
      <c r="BH331" s="30">
        <f>F331*AO331</f>
        <v>0</v>
      </c>
      <c r="BI331" s="30">
        <f>F331*AP331</f>
        <v>0</v>
      </c>
      <c r="BJ331" s="30">
        <f>F331*G331</f>
        <v>0</v>
      </c>
      <c r="BK331" s="30"/>
      <c r="BL331" s="30"/>
      <c r="BW331" s="30">
        <v>12</v>
      </c>
      <c r="BX331" s="4" t="s">
        <v>907</v>
      </c>
    </row>
    <row r="332" spans="1:76" ht="13.5" customHeight="1" x14ac:dyDescent="0.25">
      <c r="A332" s="37"/>
      <c r="B332" s="38" t="s">
        <v>84</v>
      </c>
      <c r="C332" s="152" t="s">
        <v>908</v>
      </c>
      <c r="D332" s="153"/>
      <c r="E332" s="153"/>
      <c r="F332" s="153"/>
      <c r="G332" s="154"/>
      <c r="H332" s="153"/>
      <c r="I332" s="153"/>
      <c r="J332" s="153"/>
      <c r="K332" s="155"/>
    </row>
    <row r="333" spans="1:76" x14ac:dyDescent="0.25">
      <c r="A333" s="25" t="s">
        <v>909</v>
      </c>
      <c r="B333" s="26" t="s">
        <v>910</v>
      </c>
      <c r="C333" s="150" t="s">
        <v>911</v>
      </c>
      <c r="D333" s="151"/>
      <c r="E333" s="26" t="s">
        <v>99</v>
      </c>
      <c r="F333" s="27">
        <v>50</v>
      </c>
      <c r="G333" s="28">
        <v>0</v>
      </c>
      <c r="H333" s="27">
        <f>F333*AO333</f>
        <v>0</v>
      </c>
      <c r="I333" s="27">
        <f>F333*AP333</f>
        <v>0</v>
      </c>
      <c r="J333" s="27">
        <f>F333*G333</f>
        <v>0</v>
      </c>
      <c r="K333" s="29" t="s">
        <v>57</v>
      </c>
      <c r="Z333" s="30">
        <f>IF(AQ333="5",BJ333,0)</f>
        <v>0</v>
      </c>
      <c r="AB333" s="30">
        <f>IF(AQ333="1",BH333,0)</f>
        <v>0</v>
      </c>
      <c r="AC333" s="30">
        <f>IF(AQ333="1",BI333,0)</f>
        <v>0</v>
      </c>
      <c r="AD333" s="30">
        <f>IF(AQ333="7",BH333,0)</f>
        <v>0</v>
      </c>
      <c r="AE333" s="30">
        <f>IF(AQ333="7",BI333,0)</f>
        <v>0</v>
      </c>
      <c r="AF333" s="30">
        <f>IF(AQ333="2",BH333,0)</f>
        <v>0</v>
      </c>
      <c r="AG333" s="30">
        <f>IF(AQ333="2",BI333,0)</f>
        <v>0</v>
      </c>
      <c r="AH333" s="30">
        <f>IF(AQ333="0",BJ333,0)</f>
        <v>0</v>
      </c>
      <c r="AI333" s="10" t="s">
        <v>50</v>
      </c>
      <c r="AJ333" s="30">
        <f>IF(AN333=0,J333,0)</f>
        <v>0</v>
      </c>
      <c r="AK333" s="30">
        <f>IF(AN333=12,J333,0)</f>
        <v>0</v>
      </c>
      <c r="AL333" s="30">
        <f>IF(AN333=21,J333,0)</f>
        <v>0</v>
      </c>
      <c r="AN333" s="30">
        <v>12</v>
      </c>
      <c r="AO333" s="30">
        <f>G333*0.387610313</f>
        <v>0</v>
      </c>
      <c r="AP333" s="30">
        <f>G333*(1-0.387610313)</f>
        <v>0</v>
      </c>
      <c r="AQ333" s="31" t="s">
        <v>61</v>
      </c>
      <c r="AV333" s="30">
        <f>AW333+AX333</f>
        <v>0</v>
      </c>
      <c r="AW333" s="30">
        <f>F333*AO333</f>
        <v>0</v>
      </c>
      <c r="AX333" s="30">
        <f>F333*AP333</f>
        <v>0</v>
      </c>
      <c r="AY333" s="31" t="s">
        <v>883</v>
      </c>
      <c r="AZ333" s="31" t="s">
        <v>778</v>
      </c>
      <c r="BA333" s="10" t="s">
        <v>60</v>
      </c>
      <c r="BC333" s="30">
        <f>AW333+AX333</f>
        <v>0</v>
      </c>
      <c r="BD333" s="30">
        <f>G333/(100-BE333)*100</f>
        <v>0</v>
      </c>
      <c r="BE333" s="30">
        <v>0</v>
      </c>
      <c r="BF333" s="30">
        <f>333</f>
        <v>333</v>
      </c>
      <c r="BH333" s="30">
        <f>F333*AO333</f>
        <v>0</v>
      </c>
      <c r="BI333" s="30">
        <f>F333*AP333</f>
        <v>0</v>
      </c>
      <c r="BJ333" s="30">
        <f>F333*G333</f>
        <v>0</v>
      </c>
      <c r="BK333" s="30"/>
      <c r="BL333" s="30"/>
      <c r="BW333" s="30">
        <v>12</v>
      </c>
      <c r="BX333" s="4" t="s">
        <v>911</v>
      </c>
    </row>
    <row r="334" spans="1:76" ht="13.5" customHeight="1" x14ac:dyDescent="0.25">
      <c r="A334" s="37"/>
      <c r="B334" s="38" t="s">
        <v>84</v>
      </c>
      <c r="C334" s="152" t="s">
        <v>912</v>
      </c>
      <c r="D334" s="153"/>
      <c r="E334" s="153"/>
      <c r="F334" s="153"/>
      <c r="G334" s="154"/>
      <c r="H334" s="153"/>
      <c r="I334" s="153"/>
      <c r="J334" s="153"/>
      <c r="K334" s="155"/>
    </row>
    <row r="335" spans="1:76" x14ac:dyDescent="0.25">
      <c r="A335" s="25" t="s">
        <v>913</v>
      </c>
      <c r="B335" s="26" t="s">
        <v>914</v>
      </c>
      <c r="C335" s="150" t="s">
        <v>915</v>
      </c>
      <c r="D335" s="151"/>
      <c r="E335" s="26" t="s">
        <v>99</v>
      </c>
      <c r="F335" s="27">
        <v>50</v>
      </c>
      <c r="G335" s="28">
        <v>0</v>
      </c>
      <c r="H335" s="27">
        <f>F335*AO335</f>
        <v>0</v>
      </c>
      <c r="I335" s="27">
        <f>F335*AP335</f>
        <v>0</v>
      </c>
      <c r="J335" s="27">
        <f>F335*G335</f>
        <v>0</v>
      </c>
      <c r="K335" s="29" t="s">
        <v>57</v>
      </c>
      <c r="Z335" s="30">
        <f>IF(AQ335="5",BJ335,0)</f>
        <v>0</v>
      </c>
      <c r="AB335" s="30">
        <f>IF(AQ335="1",BH335,0)</f>
        <v>0</v>
      </c>
      <c r="AC335" s="30">
        <f>IF(AQ335="1",BI335,0)</f>
        <v>0</v>
      </c>
      <c r="AD335" s="30">
        <f>IF(AQ335="7",BH335,0)</f>
        <v>0</v>
      </c>
      <c r="AE335" s="30">
        <f>IF(AQ335="7",BI335,0)</f>
        <v>0</v>
      </c>
      <c r="AF335" s="30">
        <f>IF(AQ335="2",BH335,0)</f>
        <v>0</v>
      </c>
      <c r="AG335" s="30">
        <f>IF(AQ335="2",BI335,0)</f>
        <v>0</v>
      </c>
      <c r="AH335" s="30">
        <f>IF(AQ335="0",BJ335,0)</f>
        <v>0</v>
      </c>
      <c r="AI335" s="10" t="s">
        <v>50</v>
      </c>
      <c r="AJ335" s="30">
        <f>IF(AN335=0,J335,0)</f>
        <v>0</v>
      </c>
      <c r="AK335" s="30">
        <f>IF(AN335=12,J335,0)</f>
        <v>0</v>
      </c>
      <c r="AL335" s="30">
        <f>IF(AN335=21,J335,0)</f>
        <v>0</v>
      </c>
      <c r="AN335" s="30">
        <v>12</v>
      </c>
      <c r="AO335" s="30">
        <f>G335*0.447290333</f>
        <v>0</v>
      </c>
      <c r="AP335" s="30">
        <f>G335*(1-0.447290333)</f>
        <v>0</v>
      </c>
      <c r="AQ335" s="31" t="s">
        <v>61</v>
      </c>
      <c r="AV335" s="30">
        <f>AW335+AX335</f>
        <v>0</v>
      </c>
      <c r="AW335" s="30">
        <f>F335*AO335</f>
        <v>0</v>
      </c>
      <c r="AX335" s="30">
        <f>F335*AP335</f>
        <v>0</v>
      </c>
      <c r="AY335" s="31" t="s">
        <v>883</v>
      </c>
      <c r="AZ335" s="31" t="s">
        <v>778</v>
      </c>
      <c r="BA335" s="10" t="s">
        <v>60</v>
      </c>
      <c r="BC335" s="30">
        <f>AW335+AX335</f>
        <v>0</v>
      </c>
      <c r="BD335" s="30">
        <f>G335/(100-BE335)*100</f>
        <v>0</v>
      </c>
      <c r="BE335" s="30">
        <v>0</v>
      </c>
      <c r="BF335" s="30">
        <f>335</f>
        <v>335</v>
      </c>
      <c r="BH335" s="30">
        <f>F335*AO335</f>
        <v>0</v>
      </c>
      <c r="BI335" s="30">
        <f>F335*AP335</f>
        <v>0</v>
      </c>
      <c r="BJ335" s="30">
        <f>F335*G335</f>
        <v>0</v>
      </c>
      <c r="BK335" s="30"/>
      <c r="BL335" s="30"/>
      <c r="BW335" s="30">
        <v>12</v>
      </c>
      <c r="BX335" s="4" t="s">
        <v>915</v>
      </c>
    </row>
    <row r="336" spans="1:76" ht="13.5" customHeight="1" x14ac:dyDescent="0.25">
      <c r="A336" s="37"/>
      <c r="B336" s="38" t="s">
        <v>84</v>
      </c>
      <c r="C336" s="152" t="s">
        <v>916</v>
      </c>
      <c r="D336" s="153"/>
      <c r="E336" s="153"/>
      <c r="F336" s="153"/>
      <c r="G336" s="154"/>
      <c r="H336" s="153"/>
      <c r="I336" s="153"/>
      <c r="J336" s="153"/>
      <c r="K336" s="155"/>
    </row>
    <row r="337" spans="1:76" x14ac:dyDescent="0.25">
      <c r="A337" s="25" t="s">
        <v>917</v>
      </c>
      <c r="B337" s="26" t="s">
        <v>918</v>
      </c>
      <c r="C337" s="150" t="s">
        <v>919</v>
      </c>
      <c r="D337" s="151"/>
      <c r="E337" s="26" t="s">
        <v>99</v>
      </c>
      <c r="F337" s="27">
        <v>10</v>
      </c>
      <c r="G337" s="28">
        <v>0</v>
      </c>
      <c r="H337" s="27">
        <f>F337*AO337</f>
        <v>0</v>
      </c>
      <c r="I337" s="27">
        <f>F337*AP337</f>
        <v>0</v>
      </c>
      <c r="J337" s="27">
        <f>F337*G337</f>
        <v>0</v>
      </c>
      <c r="K337" s="29" t="s">
        <v>57</v>
      </c>
      <c r="Z337" s="30">
        <f>IF(AQ337="5",BJ337,0)</f>
        <v>0</v>
      </c>
      <c r="AB337" s="30">
        <f>IF(AQ337="1",BH337,0)</f>
        <v>0</v>
      </c>
      <c r="AC337" s="30">
        <f>IF(AQ337="1",BI337,0)</f>
        <v>0</v>
      </c>
      <c r="AD337" s="30">
        <f>IF(AQ337="7",BH337,0)</f>
        <v>0</v>
      </c>
      <c r="AE337" s="30">
        <f>IF(AQ337="7",BI337,0)</f>
        <v>0</v>
      </c>
      <c r="AF337" s="30">
        <f>IF(AQ337="2",BH337,0)</f>
        <v>0</v>
      </c>
      <c r="AG337" s="30">
        <f>IF(AQ337="2",BI337,0)</f>
        <v>0</v>
      </c>
      <c r="AH337" s="30">
        <f>IF(AQ337="0",BJ337,0)</f>
        <v>0</v>
      </c>
      <c r="AI337" s="10" t="s">
        <v>50</v>
      </c>
      <c r="AJ337" s="30">
        <f>IF(AN337=0,J337,0)</f>
        <v>0</v>
      </c>
      <c r="AK337" s="30">
        <f>IF(AN337=12,J337,0)</f>
        <v>0</v>
      </c>
      <c r="AL337" s="30">
        <f>IF(AN337=21,J337,0)</f>
        <v>0</v>
      </c>
      <c r="AN337" s="30">
        <v>12</v>
      </c>
      <c r="AO337" s="30">
        <f>G337*0.466294677</f>
        <v>0</v>
      </c>
      <c r="AP337" s="30">
        <f>G337*(1-0.466294677)</f>
        <v>0</v>
      </c>
      <c r="AQ337" s="31" t="s">
        <v>61</v>
      </c>
      <c r="AV337" s="30">
        <f>AW337+AX337</f>
        <v>0</v>
      </c>
      <c r="AW337" s="30">
        <f>F337*AO337</f>
        <v>0</v>
      </c>
      <c r="AX337" s="30">
        <f>F337*AP337</f>
        <v>0</v>
      </c>
      <c r="AY337" s="31" t="s">
        <v>883</v>
      </c>
      <c r="AZ337" s="31" t="s">
        <v>778</v>
      </c>
      <c r="BA337" s="10" t="s">
        <v>60</v>
      </c>
      <c r="BC337" s="30">
        <f>AW337+AX337</f>
        <v>0</v>
      </c>
      <c r="BD337" s="30">
        <f>G337/(100-BE337)*100</f>
        <v>0</v>
      </c>
      <c r="BE337" s="30">
        <v>0</v>
      </c>
      <c r="BF337" s="30">
        <f>337</f>
        <v>337</v>
      </c>
      <c r="BH337" s="30">
        <f>F337*AO337</f>
        <v>0</v>
      </c>
      <c r="BI337" s="30">
        <f>F337*AP337</f>
        <v>0</v>
      </c>
      <c r="BJ337" s="30">
        <f>F337*G337</f>
        <v>0</v>
      </c>
      <c r="BK337" s="30"/>
      <c r="BL337" s="30"/>
      <c r="BW337" s="30">
        <v>12</v>
      </c>
      <c r="BX337" s="4" t="s">
        <v>919</v>
      </c>
    </row>
    <row r="338" spans="1:76" ht="13.5" customHeight="1" x14ac:dyDescent="0.25">
      <c r="A338" s="37"/>
      <c r="B338" s="38" t="s">
        <v>84</v>
      </c>
      <c r="C338" s="152" t="s">
        <v>920</v>
      </c>
      <c r="D338" s="153"/>
      <c r="E338" s="153"/>
      <c r="F338" s="153"/>
      <c r="G338" s="154"/>
      <c r="H338" s="153"/>
      <c r="I338" s="153"/>
      <c r="J338" s="153"/>
      <c r="K338" s="155"/>
    </row>
    <row r="339" spans="1:76" x14ac:dyDescent="0.25">
      <c r="A339" s="45" t="s">
        <v>921</v>
      </c>
      <c r="B339" s="46" t="s">
        <v>162</v>
      </c>
      <c r="C339" s="159" t="s">
        <v>163</v>
      </c>
      <c r="D339" s="160"/>
      <c r="E339" s="46" t="s">
        <v>109</v>
      </c>
      <c r="F339" s="47">
        <v>0.14169999999999999</v>
      </c>
      <c r="G339" s="48">
        <v>0</v>
      </c>
      <c r="H339" s="47">
        <f>F339*AO339</f>
        <v>0</v>
      </c>
      <c r="I339" s="47">
        <f>F339*AP339</f>
        <v>0</v>
      </c>
      <c r="J339" s="47">
        <f>F339*G339</f>
        <v>0</v>
      </c>
      <c r="K339" s="49" t="s">
        <v>57</v>
      </c>
      <c r="Z339" s="30">
        <f>IF(AQ339="5",BJ339,0)</f>
        <v>0</v>
      </c>
      <c r="AB339" s="30">
        <f>IF(AQ339="1",BH339,0)</f>
        <v>0</v>
      </c>
      <c r="AC339" s="30">
        <f>IF(AQ339="1",BI339,0)</f>
        <v>0</v>
      </c>
      <c r="AD339" s="30">
        <f>IF(AQ339="7",BH339,0)</f>
        <v>0</v>
      </c>
      <c r="AE339" s="30">
        <f>IF(AQ339="7",BI339,0)</f>
        <v>0</v>
      </c>
      <c r="AF339" s="30">
        <f>IF(AQ339="2",BH339,0)</f>
        <v>0</v>
      </c>
      <c r="AG339" s="30">
        <f>IF(AQ339="2",BI339,0)</f>
        <v>0</v>
      </c>
      <c r="AH339" s="30">
        <f>IF(AQ339="0",BJ339,0)</f>
        <v>0</v>
      </c>
      <c r="AI339" s="10" t="s">
        <v>50</v>
      </c>
      <c r="AJ339" s="30">
        <f>IF(AN339=0,J339,0)</f>
        <v>0</v>
      </c>
      <c r="AK339" s="30">
        <f>IF(AN339=12,J339,0)</f>
        <v>0</v>
      </c>
      <c r="AL339" s="30">
        <f>IF(AN339=21,J339,0)</f>
        <v>0</v>
      </c>
      <c r="AN339" s="30">
        <v>12</v>
      </c>
      <c r="AO339" s="30">
        <f>G339*0</f>
        <v>0</v>
      </c>
      <c r="AP339" s="30">
        <f>G339*(1-0)</f>
        <v>0</v>
      </c>
      <c r="AQ339" s="31" t="s">
        <v>71</v>
      </c>
      <c r="AV339" s="30">
        <f>AW339+AX339</f>
        <v>0</v>
      </c>
      <c r="AW339" s="30">
        <f>F339*AO339</f>
        <v>0</v>
      </c>
      <c r="AX339" s="30">
        <f>F339*AP339</f>
        <v>0</v>
      </c>
      <c r="AY339" s="31" t="s">
        <v>883</v>
      </c>
      <c r="AZ339" s="31" t="s">
        <v>778</v>
      </c>
      <c r="BA339" s="10" t="s">
        <v>60</v>
      </c>
      <c r="BC339" s="30">
        <f>AW339+AX339</f>
        <v>0</v>
      </c>
      <c r="BD339" s="30">
        <f>G339/(100-BE339)*100</f>
        <v>0</v>
      </c>
      <c r="BE339" s="30">
        <v>0</v>
      </c>
      <c r="BF339" s="30">
        <f>339</f>
        <v>339</v>
      </c>
      <c r="BH339" s="30">
        <f>F339*AO339</f>
        <v>0</v>
      </c>
      <c r="BI339" s="30">
        <f>F339*AP339</f>
        <v>0</v>
      </c>
      <c r="BJ339" s="30">
        <f>F339*G339</f>
        <v>0</v>
      </c>
      <c r="BK339" s="30"/>
      <c r="BL339" s="30"/>
      <c r="BW339" s="30">
        <v>12</v>
      </c>
      <c r="BX339" s="4" t="s">
        <v>163</v>
      </c>
    </row>
    <row r="340" spans="1:76" x14ac:dyDescent="0.25">
      <c r="H340" s="158" t="s">
        <v>922</v>
      </c>
      <c r="I340" s="158"/>
      <c r="J340" s="50">
        <f>J12+J54+J78+J90+J99+J118+J124+J160+J172+J181+J183+J189+J199+J206+J211+J216+J228+J250+J268+J275+J279+J318</f>
        <v>0</v>
      </c>
    </row>
    <row r="341" spans="1:76" x14ac:dyDescent="0.25">
      <c r="A341" s="51" t="s">
        <v>923</v>
      </c>
    </row>
    <row r="342" spans="1:76" ht="12.75" customHeight="1" x14ac:dyDescent="0.25">
      <c r="A342" s="121" t="s">
        <v>50</v>
      </c>
      <c r="B342" s="116"/>
      <c r="C342" s="116"/>
      <c r="D342" s="116"/>
      <c r="E342" s="116"/>
      <c r="F342" s="116"/>
      <c r="G342" s="116"/>
      <c r="H342" s="116"/>
      <c r="I342" s="116"/>
      <c r="J342" s="116"/>
      <c r="K342" s="116"/>
    </row>
  </sheetData>
  <sheetProtection password="C7C0" sheet="1"/>
  <mergeCells count="358">
    <mergeCell ref="H340:I340"/>
    <mergeCell ref="A342:K342"/>
    <mergeCell ref="C335:D335"/>
    <mergeCell ref="C336:K336"/>
    <mergeCell ref="C337:D337"/>
    <mergeCell ref="C338:K338"/>
    <mergeCell ref="C339:D339"/>
    <mergeCell ref="C330:K330"/>
    <mergeCell ref="C331:D331"/>
    <mergeCell ref="C332:K332"/>
    <mergeCell ref="C333:D333"/>
    <mergeCell ref="C334:K334"/>
    <mergeCell ref="C325:D325"/>
    <mergeCell ref="C326:K326"/>
    <mergeCell ref="C327:D327"/>
    <mergeCell ref="C328:K328"/>
    <mergeCell ref="C329:D329"/>
    <mergeCell ref="C320:K320"/>
    <mergeCell ref="C321:D321"/>
    <mergeCell ref="C322:K322"/>
    <mergeCell ref="C323:D323"/>
    <mergeCell ref="C324:K324"/>
    <mergeCell ref="C315:D315"/>
    <mergeCell ref="C316:D316"/>
    <mergeCell ref="C317:D317"/>
    <mergeCell ref="C318:D318"/>
    <mergeCell ref="C319:D319"/>
    <mergeCell ref="C310:D310"/>
    <mergeCell ref="C311:D311"/>
    <mergeCell ref="C312:D312"/>
    <mergeCell ref="C313:D313"/>
    <mergeCell ref="C314:K314"/>
    <mergeCell ref="C305:D305"/>
    <mergeCell ref="C306:D306"/>
    <mergeCell ref="C307:D307"/>
    <mergeCell ref="C308:D308"/>
    <mergeCell ref="C309:D309"/>
    <mergeCell ref="C300:D300"/>
    <mergeCell ref="C301:D301"/>
    <mergeCell ref="C302:D302"/>
    <mergeCell ref="C303:D303"/>
    <mergeCell ref="C304:D304"/>
    <mergeCell ref="C295:K295"/>
    <mergeCell ref="C296:D296"/>
    <mergeCell ref="C297:K297"/>
    <mergeCell ref="C298:D298"/>
    <mergeCell ref="C299:D299"/>
    <mergeCell ref="C290:D290"/>
    <mergeCell ref="C291:D291"/>
    <mergeCell ref="C292:D292"/>
    <mergeCell ref="C293:K293"/>
    <mergeCell ref="C294:D294"/>
    <mergeCell ref="C285:D285"/>
    <mergeCell ref="C286:D286"/>
    <mergeCell ref="C287:D287"/>
    <mergeCell ref="C288:D288"/>
    <mergeCell ref="C289:D289"/>
    <mergeCell ref="C280:D280"/>
    <mergeCell ref="C281:D281"/>
    <mergeCell ref="C282:D282"/>
    <mergeCell ref="C283:D283"/>
    <mergeCell ref="C284:D284"/>
    <mergeCell ref="C275:D275"/>
    <mergeCell ref="C276:D276"/>
    <mergeCell ref="C277:K277"/>
    <mergeCell ref="C278:D278"/>
    <mergeCell ref="C279:D279"/>
    <mergeCell ref="C270:K270"/>
    <mergeCell ref="C271:D271"/>
    <mergeCell ref="C272:D272"/>
    <mergeCell ref="C273:K273"/>
    <mergeCell ref="C274:D274"/>
    <mergeCell ref="C265:D265"/>
    <mergeCell ref="C266:D266"/>
    <mergeCell ref="C267:D267"/>
    <mergeCell ref="C268:D268"/>
    <mergeCell ref="C269:D269"/>
    <mergeCell ref="C260:K260"/>
    <mergeCell ref="C261:D261"/>
    <mergeCell ref="C262:D262"/>
    <mergeCell ref="C263:D263"/>
    <mergeCell ref="C264:D264"/>
    <mergeCell ref="C255:D255"/>
    <mergeCell ref="C256:D256"/>
    <mergeCell ref="C257:D257"/>
    <mergeCell ref="C258:D258"/>
    <mergeCell ref="C259:D259"/>
    <mergeCell ref="C250:D250"/>
    <mergeCell ref="C251:D251"/>
    <mergeCell ref="C252:K252"/>
    <mergeCell ref="C253:D253"/>
    <mergeCell ref="C254:K254"/>
    <mergeCell ref="C245:D245"/>
    <mergeCell ref="C246:D246"/>
    <mergeCell ref="C247:D247"/>
    <mergeCell ref="C248:D248"/>
    <mergeCell ref="C249:D249"/>
    <mergeCell ref="C240:K240"/>
    <mergeCell ref="C241:D241"/>
    <mergeCell ref="C242:D242"/>
    <mergeCell ref="C243:D243"/>
    <mergeCell ref="C244:D244"/>
    <mergeCell ref="C235:K235"/>
    <mergeCell ref="C236:D236"/>
    <mergeCell ref="C237:D237"/>
    <mergeCell ref="C238:D238"/>
    <mergeCell ref="C239:D239"/>
    <mergeCell ref="C230:D230"/>
    <mergeCell ref="C231:D231"/>
    <mergeCell ref="C232:D232"/>
    <mergeCell ref="C233:D233"/>
    <mergeCell ref="C234:D234"/>
    <mergeCell ref="C225:D225"/>
    <mergeCell ref="C226:K226"/>
    <mergeCell ref="C227:D227"/>
    <mergeCell ref="C228:D228"/>
    <mergeCell ref="C229:D229"/>
    <mergeCell ref="C220:D220"/>
    <mergeCell ref="C221:K221"/>
    <mergeCell ref="C222:D222"/>
    <mergeCell ref="C223:K223"/>
    <mergeCell ref="C224:D224"/>
    <mergeCell ref="C215:D215"/>
    <mergeCell ref="C216:D216"/>
    <mergeCell ref="C217:D217"/>
    <mergeCell ref="C218:K218"/>
    <mergeCell ref="C219:D219"/>
    <mergeCell ref="C210:D210"/>
    <mergeCell ref="C211:D211"/>
    <mergeCell ref="C212:D212"/>
    <mergeCell ref="C213:K213"/>
    <mergeCell ref="C214:D214"/>
    <mergeCell ref="C205:D205"/>
    <mergeCell ref="C206:D206"/>
    <mergeCell ref="C207:D207"/>
    <mergeCell ref="C208:K208"/>
    <mergeCell ref="C209:D209"/>
    <mergeCell ref="C200:D200"/>
    <mergeCell ref="C201:D201"/>
    <mergeCell ref="C202:K202"/>
    <mergeCell ref="C203:D203"/>
    <mergeCell ref="C204:D204"/>
    <mergeCell ref="C195:D195"/>
    <mergeCell ref="C196:D196"/>
    <mergeCell ref="C197:D197"/>
    <mergeCell ref="C198:D198"/>
    <mergeCell ref="C199:D199"/>
    <mergeCell ref="C190:D190"/>
    <mergeCell ref="C191:K191"/>
    <mergeCell ref="C192:D192"/>
    <mergeCell ref="C193:D193"/>
    <mergeCell ref="C194:D194"/>
    <mergeCell ref="C185:D185"/>
    <mergeCell ref="C186:K186"/>
    <mergeCell ref="C187:D187"/>
    <mergeCell ref="C188:D188"/>
    <mergeCell ref="C189:D189"/>
    <mergeCell ref="C180:D180"/>
    <mergeCell ref="C181:D181"/>
    <mergeCell ref="C182:D182"/>
    <mergeCell ref="C183:D183"/>
    <mergeCell ref="C184:D184"/>
    <mergeCell ref="C175:D175"/>
    <mergeCell ref="C176:D176"/>
    <mergeCell ref="C177:D177"/>
    <mergeCell ref="C178:D178"/>
    <mergeCell ref="C179:D179"/>
    <mergeCell ref="C170:D170"/>
    <mergeCell ref="C171:D171"/>
    <mergeCell ref="C172:D172"/>
    <mergeCell ref="C173:D173"/>
    <mergeCell ref="C174:D174"/>
    <mergeCell ref="C165:D165"/>
    <mergeCell ref="C166:D166"/>
    <mergeCell ref="C167:D167"/>
    <mergeCell ref="C168:D168"/>
    <mergeCell ref="C169:D169"/>
    <mergeCell ref="C160:D160"/>
    <mergeCell ref="C161:D161"/>
    <mergeCell ref="C162:D162"/>
    <mergeCell ref="C163:D163"/>
    <mergeCell ref="C164:D164"/>
    <mergeCell ref="C155:D155"/>
    <mergeCell ref="C156:D156"/>
    <mergeCell ref="C157:K157"/>
    <mergeCell ref="C158:D158"/>
    <mergeCell ref="C159:D159"/>
    <mergeCell ref="C150:D150"/>
    <mergeCell ref="C151:D151"/>
    <mergeCell ref="C152:D152"/>
    <mergeCell ref="C153:D153"/>
    <mergeCell ref="C154:D154"/>
    <mergeCell ref="C145:D145"/>
    <mergeCell ref="C146:D146"/>
    <mergeCell ref="C147:D147"/>
    <mergeCell ref="C148:D148"/>
    <mergeCell ref="C149:D149"/>
    <mergeCell ref="C140:D140"/>
    <mergeCell ref="C141:D141"/>
    <mergeCell ref="C142:D142"/>
    <mergeCell ref="C143:D143"/>
    <mergeCell ref="C144:D144"/>
    <mergeCell ref="C135:D135"/>
    <mergeCell ref="C136:D136"/>
    <mergeCell ref="C137:D137"/>
    <mergeCell ref="C138:D138"/>
    <mergeCell ref="C139:D139"/>
    <mergeCell ref="C130:D130"/>
    <mergeCell ref="C131:K131"/>
    <mergeCell ref="C132:D132"/>
    <mergeCell ref="C133:D133"/>
    <mergeCell ref="C134:D134"/>
    <mergeCell ref="C125:D125"/>
    <mergeCell ref="C126:D126"/>
    <mergeCell ref="C127:D127"/>
    <mergeCell ref="C128:D128"/>
    <mergeCell ref="C129:D129"/>
    <mergeCell ref="C120:D120"/>
    <mergeCell ref="C121:D121"/>
    <mergeCell ref="C122:D122"/>
    <mergeCell ref="C123:D123"/>
    <mergeCell ref="C124:D124"/>
    <mergeCell ref="C115:D115"/>
    <mergeCell ref="C116:D116"/>
    <mergeCell ref="C117:D117"/>
    <mergeCell ref="C118:D118"/>
    <mergeCell ref="C119:D119"/>
    <mergeCell ref="C110:D110"/>
    <mergeCell ref="C111:D111"/>
    <mergeCell ref="C112:D112"/>
    <mergeCell ref="C113:D113"/>
    <mergeCell ref="C114:D114"/>
    <mergeCell ref="C105:K105"/>
    <mergeCell ref="C106:D106"/>
    <mergeCell ref="C107:K107"/>
    <mergeCell ref="C108:D108"/>
    <mergeCell ref="C109:D109"/>
    <mergeCell ref="C100:D100"/>
    <mergeCell ref="C101:D101"/>
    <mergeCell ref="C102:D102"/>
    <mergeCell ref="C103:D103"/>
    <mergeCell ref="C104:D104"/>
    <mergeCell ref="C95:D95"/>
    <mergeCell ref="C96:D96"/>
    <mergeCell ref="C97:D97"/>
    <mergeCell ref="C98:D98"/>
    <mergeCell ref="C99:D99"/>
    <mergeCell ref="C90:D90"/>
    <mergeCell ref="C91:D91"/>
    <mergeCell ref="C92:D92"/>
    <mergeCell ref="C93:D93"/>
    <mergeCell ref="C94:D94"/>
    <mergeCell ref="C85:D85"/>
    <mergeCell ref="C86:D86"/>
    <mergeCell ref="C87:D87"/>
    <mergeCell ref="C88:K88"/>
    <mergeCell ref="C89:D89"/>
    <mergeCell ref="C80:D80"/>
    <mergeCell ref="C81:K81"/>
    <mergeCell ref="C82:D82"/>
    <mergeCell ref="C83:D83"/>
    <mergeCell ref="C84:D84"/>
    <mergeCell ref="C75:D75"/>
    <mergeCell ref="C76:K76"/>
    <mergeCell ref="C77:D77"/>
    <mergeCell ref="C78:D78"/>
    <mergeCell ref="C79:D79"/>
    <mergeCell ref="C70:D70"/>
    <mergeCell ref="C71:D71"/>
    <mergeCell ref="C72:D72"/>
    <mergeCell ref="C73:K73"/>
    <mergeCell ref="C74:D74"/>
    <mergeCell ref="C65:D65"/>
    <mergeCell ref="C66:D66"/>
    <mergeCell ref="C67:D67"/>
    <mergeCell ref="C68:D68"/>
    <mergeCell ref="C69:K69"/>
    <mergeCell ref="C60:D60"/>
    <mergeCell ref="C61:K61"/>
    <mergeCell ref="C62:D62"/>
    <mergeCell ref="C63:D63"/>
    <mergeCell ref="C64:D64"/>
    <mergeCell ref="C55:D55"/>
    <mergeCell ref="C56:D56"/>
    <mergeCell ref="C57:D57"/>
    <mergeCell ref="C58:D58"/>
    <mergeCell ref="C59:D59"/>
    <mergeCell ref="C50:K50"/>
    <mergeCell ref="C51:D51"/>
    <mergeCell ref="C52:K52"/>
    <mergeCell ref="C53:D53"/>
    <mergeCell ref="C54:D54"/>
    <mergeCell ref="C45:K45"/>
    <mergeCell ref="C46:D46"/>
    <mergeCell ref="C47:K47"/>
    <mergeCell ref="C48:D48"/>
    <mergeCell ref="C49:D49"/>
    <mergeCell ref="C40:K40"/>
    <mergeCell ref="C41:D41"/>
    <mergeCell ref="C42:D42"/>
    <mergeCell ref="C43:D43"/>
    <mergeCell ref="C44:D44"/>
    <mergeCell ref="C36:D36"/>
    <mergeCell ref="C37:K37"/>
    <mergeCell ref="C38:D38"/>
    <mergeCell ref="C39:D39"/>
    <mergeCell ref="C30:D30"/>
    <mergeCell ref="C31:D31"/>
    <mergeCell ref="C32:D32"/>
    <mergeCell ref="C33:D33"/>
    <mergeCell ref="C34:K34"/>
    <mergeCell ref="C27:D27"/>
    <mergeCell ref="C28:D28"/>
    <mergeCell ref="C29:D29"/>
    <mergeCell ref="C20:D20"/>
    <mergeCell ref="C21:K21"/>
    <mergeCell ref="C22:D22"/>
    <mergeCell ref="C23:K23"/>
    <mergeCell ref="C24:D24"/>
    <mergeCell ref="C35:D35"/>
    <mergeCell ref="C18:D18"/>
    <mergeCell ref="C19:D19"/>
    <mergeCell ref="C11:D11"/>
    <mergeCell ref="H10:J10"/>
    <mergeCell ref="C12:D12"/>
    <mergeCell ref="C13:D13"/>
    <mergeCell ref="C14:D14"/>
    <mergeCell ref="C25:K25"/>
    <mergeCell ref="C26:D26"/>
    <mergeCell ref="C10:D10"/>
    <mergeCell ref="C8:D9"/>
    <mergeCell ref="G2:G3"/>
    <mergeCell ref="G4:G5"/>
    <mergeCell ref="G6:G7"/>
    <mergeCell ref="G8:G9"/>
    <mergeCell ref="C15:D15"/>
    <mergeCell ref="C16:D16"/>
    <mergeCell ref="C17:D17"/>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 ref="I2:K3"/>
    <mergeCell ref="I4:K5"/>
    <mergeCell ref="I6:K7"/>
    <mergeCell ref="I8:K9"/>
  </mergeCells>
  <pageMargins left="0.393999993801117" right="0.393999993801117" top="0.59100002050399802" bottom="0.59100002050399802"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82"/>
  <sheetViews>
    <sheetView topLeftCell="A34" workbookViewId="0">
      <selection activeCell="A582" sqref="A582:G582"/>
    </sheetView>
  </sheetViews>
  <sheetFormatPr defaultColWidth="12.140625" defaultRowHeight="15" customHeight="1" x14ac:dyDescent="0.25"/>
  <cols>
    <col min="1" max="2" width="9.140625" customWidth="1"/>
    <col min="3" max="3" width="14.28515625" customWidth="1"/>
    <col min="4" max="4" width="85.7109375" customWidth="1"/>
    <col min="5" max="5" width="24.28515625" customWidth="1"/>
    <col min="6" max="6" width="24.140625" customWidth="1"/>
    <col min="7" max="7" width="15.7109375" customWidth="1"/>
    <col min="8" max="8" width="20" customWidth="1"/>
  </cols>
  <sheetData>
    <row r="1" spans="1:8" ht="54.75" customHeight="1" x14ac:dyDescent="0.25">
      <c r="A1" s="112" t="s">
        <v>924</v>
      </c>
      <c r="B1" s="112"/>
      <c r="C1" s="112"/>
      <c r="D1" s="112"/>
      <c r="E1" s="112"/>
      <c r="F1" s="112"/>
      <c r="G1" s="112"/>
      <c r="H1" s="112"/>
    </row>
    <row r="2" spans="1:8" x14ac:dyDescent="0.25">
      <c r="A2" s="113" t="s">
        <v>1</v>
      </c>
      <c r="B2" s="114"/>
      <c r="C2" s="122" t="str">
        <f>'Stavební rozpočet'!C2</f>
        <v>Revitalizace městských bytů v Šumperku - BJ č.1</v>
      </c>
      <c r="D2" s="123"/>
      <c r="E2" s="120" t="s">
        <v>5</v>
      </c>
      <c r="F2" s="120" t="str">
        <f>'Stavební rozpočet'!I2</f>
        <v>Město Šumperk, nám. Míru 1, 787 01 Šumperk</v>
      </c>
      <c r="G2" s="114"/>
      <c r="H2" s="125"/>
    </row>
    <row r="3" spans="1:8" ht="15" customHeight="1" x14ac:dyDescent="0.25">
      <c r="A3" s="115"/>
      <c r="B3" s="116"/>
      <c r="C3" s="124"/>
      <c r="D3" s="124"/>
      <c r="E3" s="116"/>
      <c r="F3" s="116"/>
      <c r="G3" s="116"/>
      <c r="H3" s="126"/>
    </row>
    <row r="4" spans="1:8" x14ac:dyDescent="0.25">
      <c r="A4" s="117" t="s">
        <v>7</v>
      </c>
      <c r="B4" s="116"/>
      <c r="C4" s="121" t="str">
        <f>'Stavební rozpočet'!C4</f>
        <v>Bytový dům</v>
      </c>
      <c r="D4" s="116"/>
      <c r="E4" s="121" t="s">
        <v>10</v>
      </c>
      <c r="F4" s="121" t="str">
        <f>'Stavební rozpočet'!I4</f>
        <v>Ing. Petr Doleček</v>
      </c>
      <c r="G4" s="116"/>
      <c r="H4" s="126"/>
    </row>
    <row r="5" spans="1:8" ht="15" customHeight="1" x14ac:dyDescent="0.25">
      <c r="A5" s="115"/>
      <c r="B5" s="116"/>
      <c r="C5" s="116"/>
      <c r="D5" s="116"/>
      <c r="E5" s="116"/>
      <c r="F5" s="116"/>
      <c r="G5" s="116"/>
      <c r="H5" s="126"/>
    </row>
    <row r="6" spans="1:8" x14ac:dyDescent="0.25">
      <c r="A6" s="117" t="s">
        <v>12</v>
      </c>
      <c r="B6" s="116"/>
      <c r="C6" s="121" t="str">
        <f>'Stavební rozpočet'!C6</f>
        <v>17.listopadu 1247/3 Šumperk</v>
      </c>
      <c r="D6" s="116"/>
      <c r="E6" s="121" t="s">
        <v>15</v>
      </c>
      <c r="F6" s="121" t="str">
        <f>'Stavební rozpočet'!I6</f>
        <v> </v>
      </c>
      <c r="G6" s="116"/>
      <c r="H6" s="126"/>
    </row>
    <row r="7" spans="1:8" ht="15" customHeight="1" x14ac:dyDescent="0.25">
      <c r="A7" s="115"/>
      <c r="B7" s="116"/>
      <c r="C7" s="116"/>
      <c r="D7" s="116"/>
      <c r="E7" s="116"/>
      <c r="F7" s="116"/>
      <c r="G7" s="116"/>
      <c r="H7" s="126"/>
    </row>
    <row r="8" spans="1:8" x14ac:dyDescent="0.25">
      <c r="A8" s="117" t="s">
        <v>20</v>
      </c>
      <c r="B8" s="116"/>
      <c r="C8" s="121" t="str">
        <f>'Stavební rozpočet'!I8</f>
        <v>Ing. Petr Doleček</v>
      </c>
      <c r="D8" s="116"/>
      <c r="E8" s="121" t="s">
        <v>18</v>
      </c>
      <c r="F8" s="121" t="str">
        <f>'Stavební rozpočet'!G8</f>
        <v>26.06.2024</v>
      </c>
      <c r="G8" s="116"/>
      <c r="H8" s="126"/>
    </row>
    <row r="9" spans="1:8" x14ac:dyDescent="0.25">
      <c r="A9" s="118"/>
      <c r="B9" s="119"/>
      <c r="C9" s="119"/>
      <c r="D9" s="119"/>
      <c r="E9" s="119"/>
      <c r="F9" s="119"/>
      <c r="G9" s="119"/>
      <c r="H9" s="128"/>
    </row>
    <row r="10" spans="1:8" x14ac:dyDescent="0.25">
      <c r="A10" s="52" t="s">
        <v>21</v>
      </c>
      <c r="B10" s="53" t="s">
        <v>925</v>
      </c>
      <c r="C10" s="53" t="s">
        <v>22</v>
      </c>
      <c r="D10" s="129" t="s">
        <v>23</v>
      </c>
      <c r="E10" s="130"/>
      <c r="F10" s="53" t="s">
        <v>24</v>
      </c>
      <c r="G10" s="54" t="s">
        <v>25</v>
      </c>
      <c r="H10" s="55" t="s">
        <v>926</v>
      </c>
    </row>
    <row r="11" spans="1:8" x14ac:dyDescent="0.25">
      <c r="A11" s="56" t="s">
        <v>53</v>
      </c>
      <c r="B11" s="57" t="s">
        <v>50</v>
      </c>
      <c r="C11" s="57" t="s">
        <v>54</v>
      </c>
      <c r="D11" s="131" t="s">
        <v>55</v>
      </c>
      <c r="E11" s="131"/>
      <c r="F11" s="57" t="s">
        <v>56</v>
      </c>
      <c r="G11" s="58">
        <v>13</v>
      </c>
      <c r="H11" s="59">
        <v>0</v>
      </c>
    </row>
    <row r="12" spans="1:8" x14ac:dyDescent="0.25">
      <c r="A12" s="60"/>
      <c r="D12" s="61" t="s">
        <v>100</v>
      </c>
      <c r="E12" s="127" t="s">
        <v>927</v>
      </c>
      <c r="F12" s="127"/>
      <c r="G12" s="62">
        <v>13</v>
      </c>
      <c r="H12" s="63"/>
    </row>
    <row r="13" spans="1:8" x14ac:dyDescent="0.25">
      <c r="A13" s="2" t="s">
        <v>61</v>
      </c>
      <c r="B13" s="3" t="s">
        <v>50</v>
      </c>
      <c r="C13" s="3" t="s">
        <v>62</v>
      </c>
      <c r="D13" s="116" t="s">
        <v>63</v>
      </c>
      <c r="E13" s="116"/>
      <c r="F13" s="3" t="s">
        <v>64</v>
      </c>
      <c r="G13" s="30">
        <v>6</v>
      </c>
      <c r="H13" s="64">
        <v>0</v>
      </c>
    </row>
    <row r="14" spans="1:8" x14ac:dyDescent="0.25">
      <c r="A14" s="60"/>
      <c r="D14" s="61" t="s">
        <v>74</v>
      </c>
      <c r="E14" s="127" t="s">
        <v>928</v>
      </c>
      <c r="F14" s="127"/>
      <c r="G14" s="62">
        <v>6</v>
      </c>
      <c r="H14" s="63"/>
    </row>
    <row r="15" spans="1:8" x14ac:dyDescent="0.25">
      <c r="A15" s="2" t="s">
        <v>65</v>
      </c>
      <c r="B15" s="3" t="s">
        <v>50</v>
      </c>
      <c r="C15" s="3" t="s">
        <v>66</v>
      </c>
      <c r="D15" s="116" t="s">
        <v>67</v>
      </c>
      <c r="E15" s="116"/>
      <c r="F15" s="3" t="s">
        <v>64</v>
      </c>
      <c r="G15" s="30">
        <v>2.65</v>
      </c>
      <c r="H15" s="64">
        <v>0</v>
      </c>
    </row>
    <row r="16" spans="1:8" x14ac:dyDescent="0.25">
      <c r="A16" s="60"/>
      <c r="D16" s="61" t="s">
        <v>929</v>
      </c>
      <c r="E16" s="127" t="s">
        <v>930</v>
      </c>
      <c r="F16" s="127"/>
      <c r="G16" s="62">
        <v>2.65</v>
      </c>
      <c r="H16" s="63"/>
    </row>
    <row r="17" spans="1:8" x14ac:dyDescent="0.25">
      <c r="A17" s="2" t="s">
        <v>68</v>
      </c>
      <c r="B17" s="3" t="s">
        <v>50</v>
      </c>
      <c r="C17" s="3" t="s">
        <v>69</v>
      </c>
      <c r="D17" s="116" t="s">
        <v>70</v>
      </c>
      <c r="E17" s="116"/>
      <c r="F17" s="3" t="s">
        <v>64</v>
      </c>
      <c r="G17" s="30">
        <v>2.65</v>
      </c>
      <c r="H17" s="64">
        <v>0</v>
      </c>
    </row>
    <row r="18" spans="1:8" x14ac:dyDescent="0.25">
      <c r="A18" s="60"/>
      <c r="D18" s="61" t="s">
        <v>931</v>
      </c>
      <c r="E18" s="127" t="s">
        <v>930</v>
      </c>
      <c r="F18" s="127"/>
      <c r="G18" s="62">
        <v>2.65</v>
      </c>
      <c r="H18" s="63"/>
    </row>
    <row r="19" spans="1:8" x14ac:dyDescent="0.25">
      <c r="A19" s="2" t="s">
        <v>71</v>
      </c>
      <c r="B19" s="3" t="s">
        <v>50</v>
      </c>
      <c r="C19" s="3" t="s">
        <v>72</v>
      </c>
      <c r="D19" s="116" t="s">
        <v>73</v>
      </c>
      <c r="E19" s="116"/>
      <c r="F19" s="3" t="s">
        <v>56</v>
      </c>
      <c r="G19" s="30">
        <v>2</v>
      </c>
      <c r="H19" s="64">
        <v>0</v>
      </c>
    </row>
    <row r="20" spans="1:8" x14ac:dyDescent="0.25">
      <c r="A20" s="60"/>
      <c r="D20" s="61" t="s">
        <v>61</v>
      </c>
      <c r="E20" s="127" t="s">
        <v>930</v>
      </c>
      <c r="F20" s="127"/>
      <c r="G20" s="62">
        <v>2</v>
      </c>
      <c r="H20" s="63"/>
    </row>
    <row r="21" spans="1:8" x14ac:dyDescent="0.25">
      <c r="A21" s="2" t="s">
        <v>74</v>
      </c>
      <c r="B21" s="3" t="s">
        <v>50</v>
      </c>
      <c r="C21" s="3" t="s">
        <v>75</v>
      </c>
      <c r="D21" s="116" t="s">
        <v>76</v>
      </c>
      <c r="E21" s="116"/>
      <c r="F21" s="3" t="s">
        <v>64</v>
      </c>
      <c r="G21" s="30">
        <v>2.85</v>
      </c>
      <c r="H21" s="64">
        <v>0</v>
      </c>
    </row>
    <row r="22" spans="1:8" x14ac:dyDescent="0.25">
      <c r="A22" s="60"/>
      <c r="D22" s="61" t="s">
        <v>932</v>
      </c>
      <c r="E22" s="127" t="s">
        <v>933</v>
      </c>
      <c r="F22" s="127"/>
      <c r="G22" s="62">
        <v>2.85</v>
      </c>
      <c r="H22" s="63"/>
    </row>
    <row r="23" spans="1:8" x14ac:dyDescent="0.25">
      <c r="A23" s="2" t="s">
        <v>77</v>
      </c>
      <c r="B23" s="3" t="s">
        <v>50</v>
      </c>
      <c r="C23" s="3" t="s">
        <v>78</v>
      </c>
      <c r="D23" s="116" t="s">
        <v>79</v>
      </c>
      <c r="E23" s="116"/>
      <c r="F23" s="3" t="s">
        <v>80</v>
      </c>
      <c r="G23" s="30">
        <v>0.15525</v>
      </c>
      <c r="H23" s="64">
        <v>0</v>
      </c>
    </row>
    <row r="24" spans="1:8" x14ac:dyDescent="0.25">
      <c r="A24" s="60"/>
      <c r="D24" s="61" t="s">
        <v>934</v>
      </c>
      <c r="E24" s="127" t="s">
        <v>935</v>
      </c>
      <c r="F24" s="127"/>
      <c r="G24" s="62">
        <v>0.15525</v>
      </c>
      <c r="H24" s="63"/>
    </row>
    <row r="25" spans="1:8" x14ac:dyDescent="0.25">
      <c r="A25" s="2" t="s">
        <v>81</v>
      </c>
      <c r="B25" s="3" t="s">
        <v>50</v>
      </c>
      <c r="C25" s="3" t="s">
        <v>82</v>
      </c>
      <c r="D25" s="116" t="s">
        <v>83</v>
      </c>
      <c r="E25" s="116"/>
      <c r="F25" s="3" t="s">
        <v>64</v>
      </c>
      <c r="G25" s="30">
        <v>3.6360000000000001</v>
      </c>
      <c r="H25" s="64">
        <v>0</v>
      </c>
    </row>
    <row r="26" spans="1:8" x14ac:dyDescent="0.25">
      <c r="A26" s="60"/>
      <c r="D26" s="61" t="s">
        <v>936</v>
      </c>
      <c r="E26" s="127" t="s">
        <v>937</v>
      </c>
      <c r="F26" s="127"/>
      <c r="G26" s="62">
        <v>3.6360000000000001</v>
      </c>
      <c r="H26" s="63"/>
    </row>
    <row r="27" spans="1:8" x14ac:dyDescent="0.25">
      <c r="A27" s="2" t="s">
        <v>86</v>
      </c>
      <c r="B27" s="3" t="s">
        <v>50</v>
      </c>
      <c r="C27" s="3" t="s">
        <v>87</v>
      </c>
      <c r="D27" s="116" t="s">
        <v>88</v>
      </c>
      <c r="E27" s="116"/>
      <c r="F27" s="3" t="s">
        <v>56</v>
      </c>
      <c r="G27" s="30">
        <v>1</v>
      </c>
      <c r="H27" s="64">
        <v>0</v>
      </c>
    </row>
    <row r="28" spans="1:8" x14ac:dyDescent="0.25">
      <c r="A28" s="60"/>
      <c r="D28" s="61" t="s">
        <v>53</v>
      </c>
      <c r="E28" s="127" t="s">
        <v>938</v>
      </c>
      <c r="F28" s="127"/>
      <c r="G28" s="62">
        <v>1</v>
      </c>
      <c r="H28" s="63"/>
    </row>
    <row r="29" spans="1:8" x14ac:dyDescent="0.25">
      <c r="A29" s="2" t="s">
        <v>90</v>
      </c>
      <c r="B29" s="3" t="s">
        <v>50</v>
      </c>
      <c r="C29" s="3" t="s">
        <v>91</v>
      </c>
      <c r="D29" s="116" t="s">
        <v>92</v>
      </c>
      <c r="E29" s="116"/>
      <c r="F29" s="3" t="s">
        <v>56</v>
      </c>
      <c r="G29" s="30">
        <v>3</v>
      </c>
      <c r="H29" s="64">
        <v>0</v>
      </c>
    </row>
    <row r="30" spans="1:8" x14ac:dyDescent="0.25">
      <c r="A30" s="60"/>
      <c r="D30" s="61" t="s">
        <v>61</v>
      </c>
      <c r="E30" s="127" t="s">
        <v>938</v>
      </c>
      <c r="F30" s="127"/>
      <c r="G30" s="62">
        <v>2</v>
      </c>
      <c r="H30" s="63"/>
    </row>
    <row r="31" spans="1:8" x14ac:dyDescent="0.25">
      <c r="A31" s="2" t="s">
        <v>50</v>
      </c>
      <c r="B31" s="3" t="s">
        <v>50</v>
      </c>
      <c r="C31" s="3" t="s">
        <v>50</v>
      </c>
      <c r="D31" s="61" t="s">
        <v>53</v>
      </c>
      <c r="E31" s="127" t="s">
        <v>939</v>
      </c>
      <c r="F31" s="127"/>
      <c r="G31" s="62">
        <v>1</v>
      </c>
      <c r="H31" s="65" t="s">
        <v>50</v>
      </c>
    </row>
    <row r="32" spans="1:8" x14ac:dyDescent="0.25">
      <c r="A32" s="2" t="s">
        <v>93</v>
      </c>
      <c r="B32" s="3" t="s">
        <v>50</v>
      </c>
      <c r="C32" s="3" t="s">
        <v>94</v>
      </c>
      <c r="D32" s="116" t="s">
        <v>95</v>
      </c>
      <c r="E32" s="116"/>
      <c r="F32" s="3" t="s">
        <v>56</v>
      </c>
      <c r="G32" s="30">
        <v>3</v>
      </c>
      <c r="H32" s="64">
        <v>0</v>
      </c>
    </row>
    <row r="33" spans="1:8" x14ac:dyDescent="0.25">
      <c r="A33" s="60"/>
      <c r="D33" s="61" t="s">
        <v>65</v>
      </c>
      <c r="E33" s="127" t="s">
        <v>940</v>
      </c>
      <c r="F33" s="127"/>
      <c r="G33" s="62">
        <v>3</v>
      </c>
      <c r="H33" s="63"/>
    </row>
    <row r="34" spans="1:8" x14ac:dyDescent="0.25">
      <c r="A34" s="2" t="s">
        <v>96</v>
      </c>
      <c r="B34" s="3" t="s">
        <v>50</v>
      </c>
      <c r="C34" s="3" t="s">
        <v>97</v>
      </c>
      <c r="D34" s="116" t="s">
        <v>98</v>
      </c>
      <c r="E34" s="116"/>
      <c r="F34" s="3" t="s">
        <v>99</v>
      </c>
      <c r="G34" s="30">
        <v>60</v>
      </c>
      <c r="H34" s="64">
        <v>0</v>
      </c>
    </row>
    <row r="35" spans="1:8" x14ac:dyDescent="0.25">
      <c r="A35" s="60"/>
      <c r="D35" s="61" t="s">
        <v>941</v>
      </c>
      <c r="E35" s="127" t="s">
        <v>942</v>
      </c>
      <c r="F35" s="127"/>
      <c r="G35" s="62">
        <v>60</v>
      </c>
      <c r="H35" s="63"/>
    </row>
    <row r="36" spans="1:8" x14ac:dyDescent="0.25">
      <c r="A36" s="2" t="s">
        <v>100</v>
      </c>
      <c r="B36" s="3" t="s">
        <v>50</v>
      </c>
      <c r="C36" s="3" t="s">
        <v>101</v>
      </c>
      <c r="D36" s="116" t="s">
        <v>102</v>
      </c>
      <c r="E36" s="116"/>
      <c r="F36" s="3" t="s">
        <v>99</v>
      </c>
      <c r="G36" s="30">
        <v>133.25</v>
      </c>
      <c r="H36" s="64">
        <v>0</v>
      </c>
    </row>
    <row r="37" spans="1:8" x14ac:dyDescent="0.25">
      <c r="A37" s="60"/>
      <c r="D37" s="61" t="s">
        <v>943</v>
      </c>
      <c r="E37" s="127" t="s">
        <v>944</v>
      </c>
      <c r="F37" s="127"/>
      <c r="G37" s="62">
        <v>54.95</v>
      </c>
      <c r="H37" s="63"/>
    </row>
    <row r="38" spans="1:8" x14ac:dyDescent="0.25">
      <c r="A38" s="2" t="s">
        <v>50</v>
      </c>
      <c r="B38" s="3" t="s">
        <v>50</v>
      </c>
      <c r="C38" s="3" t="s">
        <v>50</v>
      </c>
      <c r="D38" s="61" t="s">
        <v>945</v>
      </c>
      <c r="E38" s="127" t="s">
        <v>946</v>
      </c>
      <c r="F38" s="127"/>
      <c r="G38" s="62">
        <v>78.3</v>
      </c>
      <c r="H38" s="65" t="s">
        <v>50</v>
      </c>
    </row>
    <row r="39" spans="1:8" x14ac:dyDescent="0.25">
      <c r="A39" s="2" t="s">
        <v>103</v>
      </c>
      <c r="B39" s="3" t="s">
        <v>50</v>
      </c>
      <c r="C39" s="3" t="s">
        <v>104</v>
      </c>
      <c r="D39" s="116" t="s">
        <v>105</v>
      </c>
      <c r="E39" s="116"/>
      <c r="F39" s="3" t="s">
        <v>99</v>
      </c>
      <c r="G39" s="30">
        <v>19.8</v>
      </c>
      <c r="H39" s="64">
        <v>0</v>
      </c>
    </row>
    <row r="40" spans="1:8" x14ac:dyDescent="0.25">
      <c r="A40" s="60"/>
      <c r="D40" s="61" t="s">
        <v>947</v>
      </c>
      <c r="E40" s="127" t="s">
        <v>948</v>
      </c>
      <c r="F40" s="127"/>
      <c r="G40" s="62">
        <v>19.8</v>
      </c>
      <c r="H40" s="63"/>
    </row>
    <row r="41" spans="1:8" x14ac:dyDescent="0.25">
      <c r="A41" s="2" t="s">
        <v>106</v>
      </c>
      <c r="B41" s="3" t="s">
        <v>50</v>
      </c>
      <c r="C41" s="3" t="s">
        <v>107</v>
      </c>
      <c r="D41" s="116" t="s">
        <v>108</v>
      </c>
      <c r="E41" s="116"/>
      <c r="F41" s="3" t="s">
        <v>109</v>
      </c>
      <c r="G41" s="30">
        <v>3.3212000000000002</v>
      </c>
      <c r="H41" s="64">
        <v>0</v>
      </c>
    </row>
    <row r="42" spans="1:8" x14ac:dyDescent="0.25">
      <c r="A42" s="2" t="s">
        <v>110</v>
      </c>
      <c r="B42" s="3" t="s">
        <v>50</v>
      </c>
      <c r="C42" s="3" t="s">
        <v>111</v>
      </c>
      <c r="D42" s="116" t="s">
        <v>112</v>
      </c>
      <c r="E42" s="116"/>
      <c r="F42" s="3" t="s">
        <v>109</v>
      </c>
      <c r="G42" s="30">
        <v>3.3212000000000002</v>
      </c>
      <c r="H42" s="64">
        <v>0</v>
      </c>
    </row>
    <row r="43" spans="1:8" x14ac:dyDescent="0.25">
      <c r="A43" s="2" t="s">
        <v>113</v>
      </c>
      <c r="B43" s="3" t="s">
        <v>50</v>
      </c>
      <c r="C43" s="3" t="s">
        <v>114</v>
      </c>
      <c r="D43" s="116" t="s">
        <v>115</v>
      </c>
      <c r="E43" s="116"/>
      <c r="F43" s="3" t="s">
        <v>109</v>
      </c>
      <c r="G43" s="30">
        <v>3.3212000000000002</v>
      </c>
      <c r="H43" s="64">
        <v>0</v>
      </c>
    </row>
    <row r="44" spans="1:8" x14ac:dyDescent="0.25">
      <c r="A44" s="60"/>
      <c r="D44" s="61" t="s">
        <v>949</v>
      </c>
      <c r="E44" s="127" t="s">
        <v>50</v>
      </c>
      <c r="F44" s="127"/>
      <c r="G44" s="62">
        <v>2.1672500000000001</v>
      </c>
      <c r="H44" s="63"/>
    </row>
    <row r="45" spans="1:8" x14ac:dyDescent="0.25">
      <c r="A45" s="2" t="s">
        <v>117</v>
      </c>
      <c r="B45" s="3" t="s">
        <v>50</v>
      </c>
      <c r="C45" s="3" t="s">
        <v>118</v>
      </c>
      <c r="D45" s="116" t="s">
        <v>119</v>
      </c>
      <c r="E45" s="116"/>
      <c r="F45" s="3" t="s">
        <v>64</v>
      </c>
      <c r="G45" s="30">
        <v>1.35E-2</v>
      </c>
      <c r="H45" s="64">
        <v>0</v>
      </c>
    </row>
    <row r="46" spans="1:8" x14ac:dyDescent="0.25">
      <c r="A46" s="60"/>
      <c r="D46" s="61" t="s">
        <v>950</v>
      </c>
      <c r="E46" s="127" t="s">
        <v>930</v>
      </c>
      <c r="F46" s="127"/>
      <c r="G46" s="62">
        <v>1.35E-2</v>
      </c>
      <c r="H46" s="63"/>
    </row>
    <row r="47" spans="1:8" x14ac:dyDescent="0.25">
      <c r="A47" s="2" t="s">
        <v>121</v>
      </c>
      <c r="B47" s="3" t="s">
        <v>50</v>
      </c>
      <c r="C47" s="3" t="s">
        <v>122</v>
      </c>
      <c r="D47" s="116" t="s">
        <v>123</v>
      </c>
      <c r="E47" s="116"/>
      <c r="F47" s="3" t="s">
        <v>99</v>
      </c>
      <c r="G47" s="30">
        <v>8.4499999999999993</v>
      </c>
      <c r="H47" s="64">
        <v>0</v>
      </c>
    </row>
    <row r="48" spans="1:8" x14ac:dyDescent="0.25">
      <c r="A48" s="60"/>
      <c r="D48" s="61" t="s">
        <v>951</v>
      </c>
      <c r="E48" s="127" t="s">
        <v>930</v>
      </c>
      <c r="F48" s="127"/>
      <c r="G48" s="62">
        <v>8.4499999999999993</v>
      </c>
      <c r="H48" s="63"/>
    </row>
    <row r="49" spans="1:8" x14ac:dyDescent="0.25">
      <c r="A49" s="2" t="s">
        <v>124</v>
      </c>
      <c r="B49" s="3" t="s">
        <v>50</v>
      </c>
      <c r="C49" s="3" t="s">
        <v>125</v>
      </c>
      <c r="D49" s="116" t="s">
        <v>126</v>
      </c>
      <c r="E49" s="116"/>
      <c r="F49" s="3" t="s">
        <v>64</v>
      </c>
      <c r="G49" s="30">
        <v>4.3014999999999999</v>
      </c>
      <c r="H49" s="64">
        <v>0</v>
      </c>
    </row>
    <row r="50" spans="1:8" x14ac:dyDescent="0.25">
      <c r="A50" s="60"/>
      <c r="D50" s="61" t="s">
        <v>952</v>
      </c>
      <c r="E50" s="127" t="s">
        <v>930</v>
      </c>
      <c r="F50" s="127"/>
      <c r="G50" s="62">
        <v>4.3014999999999999</v>
      </c>
      <c r="H50" s="63"/>
    </row>
    <row r="51" spans="1:8" x14ac:dyDescent="0.25">
      <c r="A51" s="2" t="s">
        <v>128</v>
      </c>
      <c r="B51" s="3" t="s">
        <v>50</v>
      </c>
      <c r="C51" s="3" t="s">
        <v>129</v>
      </c>
      <c r="D51" s="116" t="s">
        <v>130</v>
      </c>
      <c r="E51" s="116"/>
      <c r="F51" s="3" t="s">
        <v>80</v>
      </c>
      <c r="G51" s="30">
        <v>0.11541999999999999</v>
      </c>
      <c r="H51" s="64">
        <v>0</v>
      </c>
    </row>
    <row r="52" spans="1:8" x14ac:dyDescent="0.25">
      <c r="A52" s="60"/>
      <c r="D52" s="61" t="s">
        <v>953</v>
      </c>
      <c r="E52" s="127" t="s">
        <v>930</v>
      </c>
      <c r="F52" s="127"/>
      <c r="G52" s="62">
        <v>0.11541999999999999</v>
      </c>
      <c r="H52" s="63"/>
    </row>
    <row r="53" spans="1:8" x14ac:dyDescent="0.25">
      <c r="A53" s="2" t="s">
        <v>131</v>
      </c>
      <c r="B53" s="3" t="s">
        <v>50</v>
      </c>
      <c r="C53" s="3" t="s">
        <v>132</v>
      </c>
      <c r="D53" s="116" t="s">
        <v>133</v>
      </c>
      <c r="E53" s="116"/>
      <c r="F53" s="3" t="s">
        <v>109</v>
      </c>
      <c r="G53" s="30">
        <v>2.1059999999999999E-2</v>
      </c>
      <c r="H53" s="64">
        <v>0</v>
      </c>
    </row>
    <row r="54" spans="1:8" x14ac:dyDescent="0.25">
      <c r="A54" s="60"/>
      <c r="D54" s="61" t="s">
        <v>954</v>
      </c>
      <c r="E54" s="127" t="s">
        <v>955</v>
      </c>
      <c r="F54" s="127"/>
      <c r="G54" s="62">
        <v>2.1059999999999999E-2</v>
      </c>
      <c r="H54" s="63"/>
    </row>
    <row r="55" spans="1:8" x14ac:dyDescent="0.25">
      <c r="A55" s="2" t="s">
        <v>135</v>
      </c>
      <c r="B55" s="3" t="s">
        <v>50</v>
      </c>
      <c r="C55" s="3" t="s">
        <v>136</v>
      </c>
      <c r="D55" s="116" t="s">
        <v>137</v>
      </c>
      <c r="E55" s="116"/>
      <c r="F55" s="3" t="s">
        <v>64</v>
      </c>
      <c r="G55" s="30">
        <v>0.83199999999999996</v>
      </c>
      <c r="H55" s="64">
        <v>0</v>
      </c>
    </row>
    <row r="56" spans="1:8" x14ac:dyDescent="0.25">
      <c r="A56" s="60"/>
      <c r="D56" s="61" t="s">
        <v>956</v>
      </c>
      <c r="E56" s="127" t="s">
        <v>955</v>
      </c>
      <c r="F56" s="127"/>
      <c r="G56" s="62">
        <v>0.83199999999999996</v>
      </c>
      <c r="H56" s="63"/>
    </row>
    <row r="57" spans="1:8" x14ac:dyDescent="0.25">
      <c r="A57" s="2" t="s">
        <v>138</v>
      </c>
      <c r="B57" s="3" t="s">
        <v>50</v>
      </c>
      <c r="C57" s="3" t="s">
        <v>139</v>
      </c>
      <c r="D57" s="116" t="s">
        <v>140</v>
      </c>
      <c r="E57" s="116"/>
      <c r="F57" s="3" t="s">
        <v>64</v>
      </c>
      <c r="G57" s="30">
        <v>2.16</v>
      </c>
      <c r="H57" s="64">
        <v>0</v>
      </c>
    </row>
    <row r="58" spans="1:8" x14ac:dyDescent="0.25">
      <c r="A58" s="60"/>
      <c r="D58" s="61" t="s">
        <v>957</v>
      </c>
      <c r="E58" s="127" t="s">
        <v>958</v>
      </c>
      <c r="F58" s="127"/>
      <c r="G58" s="62">
        <v>2.16</v>
      </c>
      <c r="H58" s="63"/>
    </row>
    <row r="59" spans="1:8" x14ac:dyDescent="0.25">
      <c r="A59" s="2" t="s">
        <v>141</v>
      </c>
      <c r="B59" s="3" t="s">
        <v>50</v>
      </c>
      <c r="C59" s="3" t="s">
        <v>142</v>
      </c>
      <c r="D59" s="116" t="s">
        <v>143</v>
      </c>
      <c r="E59" s="116"/>
      <c r="F59" s="3" t="s">
        <v>64</v>
      </c>
      <c r="G59" s="30">
        <v>3.6539999999999999</v>
      </c>
      <c r="H59" s="64">
        <v>0</v>
      </c>
    </row>
    <row r="60" spans="1:8" x14ac:dyDescent="0.25">
      <c r="A60" s="60"/>
      <c r="D60" s="61" t="s">
        <v>959</v>
      </c>
      <c r="E60" s="127" t="s">
        <v>960</v>
      </c>
      <c r="F60" s="127"/>
      <c r="G60" s="62">
        <v>3.6539999999999999</v>
      </c>
      <c r="H60" s="63"/>
    </row>
    <row r="61" spans="1:8" x14ac:dyDescent="0.25">
      <c r="A61" s="2" t="s">
        <v>144</v>
      </c>
      <c r="B61" s="3" t="s">
        <v>50</v>
      </c>
      <c r="C61" s="3" t="s">
        <v>145</v>
      </c>
      <c r="D61" s="116" t="s">
        <v>146</v>
      </c>
      <c r="E61" s="116"/>
      <c r="F61" s="3" t="s">
        <v>64</v>
      </c>
      <c r="G61" s="30">
        <v>2.601</v>
      </c>
      <c r="H61" s="64">
        <v>0</v>
      </c>
    </row>
    <row r="62" spans="1:8" x14ac:dyDescent="0.25">
      <c r="A62" s="60"/>
      <c r="D62" s="61" t="s">
        <v>961</v>
      </c>
      <c r="E62" s="127" t="s">
        <v>962</v>
      </c>
      <c r="F62" s="127"/>
      <c r="G62" s="62">
        <v>2.601</v>
      </c>
      <c r="H62" s="63"/>
    </row>
    <row r="63" spans="1:8" x14ac:dyDescent="0.25">
      <c r="A63" s="2" t="s">
        <v>148</v>
      </c>
      <c r="B63" s="3" t="s">
        <v>50</v>
      </c>
      <c r="C63" s="3" t="s">
        <v>149</v>
      </c>
      <c r="D63" s="116" t="s">
        <v>150</v>
      </c>
      <c r="E63" s="116"/>
      <c r="F63" s="3" t="s">
        <v>64</v>
      </c>
      <c r="G63" s="30">
        <v>22.741499999999998</v>
      </c>
      <c r="H63" s="64">
        <v>0</v>
      </c>
    </row>
    <row r="64" spans="1:8" x14ac:dyDescent="0.25">
      <c r="A64" s="60"/>
      <c r="D64" s="61" t="s">
        <v>963</v>
      </c>
      <c r="E64" s="127" t="s">
        <v>964</v>
      </c>
      <c r="F64" s="127"/>
      <c r="G64" s="62">
        <v>7.7220000000000004</v>
      </c>
      <c r="H64" s="63"/>
    </row>
    <row r="65" spans="1:8" x14ac:dyDescent="0.25">
      <c r="A65" s="2" t="s">
        <v>50</v>
      </c>
      <c r="B65" s="3" t="s">
        <v>50</v>
      </c>
      <c r="C65" s="3" t="s">
        <v>50</v>
      </c>
      <c r="D65" s="61" t="s">
        <v>965</v>
      </c>
      <c r="E65" s="127" t="s">
        <v>966</v>
      </c>
      <c r="F65" s="127"/>
      <c r="G65" s="62">
        <v>15.019500000000001</v>
      </c>
      <c r="H65" s="65" t="s">
        <v>50</v>
      </c>
    </row>
    <row r="66" spans="1:8" x14ac:dyDescent="0.25">
      <c r="A66" s="2" t="s">
        <v>151</v>
      </c>
      <c r="B66" s="3" t="s">
        <v>50</v>
      </c>
      <c r="C66" s="3" t="s">
        <v>152</v>
      </c>
      <c r="D66" s="116" t="s">
        <v>153</v>
      </c>
      <c r="E66" s="116"/>
      <c r="F66" s="3" t="s">
        <v>56</v>
      </c>
      <c r="G66" s="30">
        <v>1</v>
      </c>
      <c r="H66" s="64">
        <v>0</v>
      </c>
    </row>
    <row r="67" spans="1:8" x14ac:dyDescent="0.25">
      <c r="A67" s="60"/>
      <c r="D67" s="61" t="s">
        <v>53</v>
      </c>
      <c r="E67" s="127" t="s">
        <v>967</v>
      </c>
      <c r="F67" s="127"/>
      <c r="G67" s="62">
        <v>1</v>
      </c>
      <c r="H67" s="63"/>
    </row>
    <row r="68" spans="1:8" x14ac:dyDescent="0.25">
      <c r="A68" s="2" t="s">
        <v>154</v>
      </c>
      <c r="B68" s="3" t="s">
        <v>50</v>
      </c>
      <c r="C68" s="3" t="s">
        <v>155</v>
      </c>
      <c r="D68" s="116" t="s">
        <v>156</v>
      </c>
      <c r="E68" s="116"/>
      <c r="F68" s="3" t="s">
        <v>64</v>
      </c>
      <c r="G68" s="30">
        <v>11.09</v>
      </c>
      <c r="H68" s="64">
        <v>0</v>
      </c>
    </row>
    <row r="69" spans="1:8" x14ac:dyDescent="0.25">
      <c r="A69" s="60"/>
      <c r="D69" s="61" t="s">
        <v>968</v>
      </c>
      <c r="E69" s="127" t="s">
        <v>969</v>
      </c>
      <c r="F69" s="127"/>
      <c r="G69" s="62">
        <v>11.09</v>
      </c>
      <c r="H69" s="63"/>
    </row>
    <row r="70" spans="1:8" x14ac:dyDescent="0.25">
      <c r="A70" s="2" t="s">
        <v>158</v>
      </c>
      <c r="B70" s="3" t="s">
        <v>50</v>
      </c>
      <c r="C70" s="3" t="s">
        <v>159</v>
      </c>
      <c r="D70" s="116" t="s">
        <v>156</v>
      </c>
      <c r="E70" s="116"/>
      <c r="F70" s="3" t="s">
        <v>64</v>
      </c>
      <c r="G70" s="30">
        <v>8.43</v>
      </c>
      <c r="H70" s="64">
        <v>0</v>
      </c>
    </row>
    <row r="71" spans="1:8" x14ac:dyDescent="0.25">
      <c r="A71" s="60"/>
      <c r="D71" s="61" t="s">
        <v>970</v>
      </c>
      <c r="E71" s="127" t="s">
        <v>971</v>
      </c>
      <c r="F71" s="127"/>
      <c r="G71" s="62">
        <v>8.43</v>
      </c>
      <c r="H71" s="63"/>
    </row>
    <row r="72" spans="1:8" x14ac:dyDescent="0.25">
      <c r="A72" s="2" t="s">
        <v>161</v>
      </c>
      <c r="B72" s="3" t="s">
        <v>50</v>
      </c>
      <c r="C72" s="3" t="s">
        <v>162</v>
      </c>
      <c r="D72" s="116" t="s">
        <v>163</v>
      </c>
      <c r="E72" s="116"/>
      <c r="F72" s="3" t="s">
        <v>109</v>
      </c>
      <c r="G72" s="30">
        <v>0.25220999999999999</v>
      </c>
      <c r="H72" s="64">
        <v>0</v>
      </c>
    </row>
    <row r="73" spans="1:8" x14ac:dyDescent="0.25">
      <c r="A73" s="2" t="s">
        <v>166</v>
      </c>
      <c r="B73" s="3" t="s">
        <v>50</v>
      </c>
      <c r="C73" s="3" t="s">
        <v>167</v>
      </c>
      <c r="D73" s="116" t="s">
        <v>168</v>
      </c>
      <c r="E73" s="116"/>
      <c r="F73" s="3" t="s">
        <v>64</v>
      </c>
      <c r="G73" s="30">
        <v>22.438600000000001</v>
      </c>
      <c r="H73" s="64">
        <v>0</v>
      </c>
    </row>
    <row r="74" spans="1:8" x14ac:dyDescent="0.25">
      <c r="A74" s="60"/>
      <c r="D74" s="61" t="s">
        <v>972</v>
      </c>
      <c r="E74" s="127" t="s">
        <v>973</v>
      </c>
      <c r="F74" s="127"/>
      <c r="G74" s="62">
        <v>15.5626</v>
      </c>
      <c r="H74" s="63"/>
    </row>
    <row r="75" spans="1:8" x14ac:dyDescent="0.25">
      <c r="A75" s="2" t="s">
        <v>50</v>
      </c>
      <c r="B75" s="3" t="s">
        <v>50</v>
      </c>
      <c r="C75" s="3" t="s">
        <v>50</v>
      </c>
      <c r="D75" s="61" t="s">
        <v>974</v>
      </c>
      <c r="E75" s="127" t="s">
        <v>975</v>
      </c>
      <c r="F75" s="127"/>
      <c r="G75" s="62">
        <v>6.8760000000000003</v>
      </c>
      <c r="H75" s="65" t="s">
        <v>50</v>
      </c>
    </row>
    <row r="76" spans="1:8" x14ac:dyDescent="0.25">
      <c r="A76" s="2" t="s">
        <v>171</v>
      </c>
      <c r="B76" s="3" t="s">
        <v>50</v>
      </c>
      <c r="C76" s="3" t="s">
        <v>172</v>
      </c>
      <c r="D76" s="116" t="s">
        <v>173</v>
      </c>
      <c r="E76" s="116"/>
      <c r="F76" s="3" t="s">
        <v>64</v>
      </c>
      <c r="G76" s="30">
        <v>13.577999999999999</v>
      </c>
      <c r="H76" s="64">
        <v>0</v>
      </c>
    </row>
    <row r="77" spans="1:8" x14ac:dyDescent="0.25">
      <c r="A77" s="60"/>
      <c r="D77" s="61" t="s">
        <v>976</v>
      </c>
      <c r="E77" s="127" t="s">
        <v>977</v>
      </c>
      <c r="F77" s="127"/>
      <c r="G77" s="62">
        <v>3.948</v>
      </c>
      <c r="H77" s="63"/>
    </row>
    <row r="78" spans="1:8" x14ac:dyDescent="0.25">
      <c r="A78" s="2" t="s">
        <v>50</v>
      </c>
      <c r="B78" s="3" t="s">
        <v>50</v>
      </c>
      <c r="C78" s="3" t="s">
        <v>50</v>
      </c>
      <c r="D78" s="61" t="s">
        <v>978</v>
      </c>
      <c r="E78" s="127" t="s">
        <v>979</v>
      </c>
      <c r="F78" s="127"/>
      <c r="G78" s="62">
        <v>9.6300000000000008</v>
      </c>
      <c r="H78" s="65" t="s">
        <v>50</v>
      </c>
    </row>
    <row r="79" spans="1:8" x14ac:dyDescent="0.25">
      <c r="A79" s="2" t="s">
        <v>51</v>
      </c>
      <c r="B79" s="3" t="s">
        <v>50</v>
      </c>
      <c r="C79" s="3" t="s">
        <v>107</v>
      </c>
      <c r="D79" s="116" t="s">
        <v>108</v>
      </c>
      <c r="E79" s="116"/>
      <c r="F79" s="3" t="s">
        <v>109</v>
      </c>
      <c r="G79" s="30">
        <v>0.92330000000000001</v>
      </c>
      <c r="H79" s="64">
        <v>0</v>
      </c>
    </row>
    <row r="80" spans="1:8" x14ac:dyDescent="0.25">
      <c r="A80" s="2" t="s">
        <v>174</v>
      </c>
      <c r="B80" s="3" t="s">
        <v>50</v>
      </c>
      <c r="C80" s="3" t="s">
        <v>111</v>
      </c>
      <c r="D80" s="116" t="s">
        <v>112</v>
      </c>
      <c r="E80" s="116"/>
      <c r="F80" s="3" t="s">
        <v>109</v>
      </c>
      <c r="G80" s="30">
        <v>0.92330000000000001</v>
      </c>
      <c r="H80" s="64">
        <v>0</v>
      </c>
    </row>
    <row r="81" spans="1:8" x14ac:dyDescent="0.25">
      <c r="A81" s="60"/>
      <c r="D81" s="61" t="s">
        <v>980</v>
      </c>
      <c r="E81" s="127" t="s">
        <v>981</v>
      </c>
      <c r="F81" s="127"/>
      <c r="G81" s="62">
        <v>6.8000000000000005E-2</v>
      </c>
      <c r="H81" s="63"/>
    </row>
    <row r="82" spans="1:8" x14ac:dyDescent="0.25">
      <c r="A82" s="2" t="s">
        <v>175</v>
      </c>
      <c r="B82" s="3" t="s">
        <v>50</v>
      </c>
      <c r="C82" s="3" t="s">
        <v>176</v>
      </c>
      <c r="D82" s="116" t="s">
        <v>177</v>
      </c>
      <c r="E82" s="116"/>
      <c r="F82" s="3" t="s">
        <v>109</v>
      </c>
      <c r="G82" s="30">
        <v>0.92330000000000001</v>
      </c>
      <c r="H82" s="64">
        <v>0</v>
      </c>
    </row>
    <row r="83" spans="1:8" x14ac:dyDescent="0.25">
      <c r="A83" s="60"/>
      <c r="D83" s="61" t="s">
        <v>982</v>
      </c>
      <c r="E83" s="127" t="s">
        <v>983</v>
      </c>
      <c r="F83" s="127"/>
      <c r="G83" s="62">
        <v>0.92330000000000001</v>
      </c>
      <c r="H83" s="63"/>
    </row>
    <row r="84" spans="1:8" x14ac:dyDescent="0.25">
      <c r="A84" s="2" t="s">
        <v>179</v>
      </c>
      <c r="B84" s="3" t="s">
        <v>50</v>
      </c>
      <c r="C84" s="3" t="s">
        <v>180</v>
      </c>
      <c r="D84" s="116" t="s">
        <v>181</v>
      </c>
      <c r="E84" s="116"/>
      <c r="F84" s="3" t="s">
        <v>99</v>
      </c>
      <c r="G84" s="30">
        <v>213.05</v>
      </c>
      <c r="H84" s="64">
        <v>0</v>
      </c>
    </row>
    <row r="85" spans="1:8" x14ac:dyDescent="0.25">
      <c r="A85" s="60"/>
      <c r="D85" s="61" t="s">
        <v>984</v>
      </c>
      <c r="E85" s="127" t="s">
        <v>985</v>
      </c>
      <c r="F85" s="127"/>
      <c r="G85" s="62">
        <v>213.05</v>
      </c>
      <c r="H85" s="63"/>
    </row>
    <row r="86" spans="1:8" x14ac:dyDescent="0.25">
      <c r="A86" s="2" t="s">
        <v>183</v>
      </c>
      <c r="B86" s="3" t="s">
        <v>50</v>
      </c>
      <c r="C86" s="3" t="s">
        <v>184</v>
      </c>
      <c r="D86" s="116" t="s">
        <v>185</v>
      </c>
      <c r="E86" s="116"/>
      <c r="F86" s="3" t="s">
        <v>64</v>
      </c>
      <c r="G86" s="30">
        <v>13.577999999999999</v>
      </c>
      <c r="H86" s="64">
        <v>0</v>
      </c>
    </row>
    <row r="87" spans="1:8" x14ac:dyDescent="0.25">
      <c r="A87" s="60"/>
      <c r="D87" s="61" t="s">
        <v>976</v>
      </c>
      <c r="E87" s="127" t="s">
        <v>977</v>
      </c>
      <c r="F87" s="127"/>
      <c r="G87" s="62">
        <v>3.948</v>
      </c>
      <c r="H87" s="63"/>
    </row>
    <row r="88" spans="1:8" x14ac:dyDescent="0.25">
      <c r="A88" s="2" t="s">
        <v>50</v>
      </c>
      <c r="B88" s="3" t="s">
        <v>50</v>
      </c>
      <c r="C88" s="3" t="s">
        <v>50</v>
      </c>
      <c r="D88" s="61" t="s">
        <v>978</v>
      </c>
      <c r="E88" s="127" t="s">
        <v>979</v>
      </c>
      <c r="F88" s="127"/>
      <c r="G88" s="62">
        <v>9.6300000000000008</v>
      </c>
      <c r="H88" s="65" t="s">
        <v>50</v>
      </c>
    </row>
    <row r="89" spans="1:8" x14ac:dyDescent="0.25">
      <c r="A89" s="2" t="s">
        <v>186</v>
      </c>
      <c r="B89" s="3" t="s">
        <v>50</v>
      </c>
      <c r="C89" s="3" t="s">
        <v>187</v>
      </c>
      <c r="D89" s="116" t="s">
        <v>188</v>
      </c>
      <c r="E89" s="116"/>
      <c r="F89" s="3" t="s">
        <v>64</v>
      </c>
      <c r="G89" s="30">
        <v>403.69159999999999</v>
      </c>
      <c r="H89" s="64">
        <v>0</v>
      </c>
    </row>
    <row r="90" spans="1:8" x14ac:dyDescent="0.25">
      <c r="A90" s="60"/>
      <c r="D90" s="61" t="s">
        <v>986</v>
      </c>
      <c r="E90" s="127" t="s">
        <v>987</v>
      </c>
      <c r="F90" s="127"/>
      <c r="G90" s="62">
        <v>15.7247</v>
      </c>
      <c r="H90" s="63"/>
    </row>
    <row r="91" spans="1:8" x14ac:dyDescent="0.25">
      <c r="A91" s="2" t="s">
        <v>50</v>
      </c>
      <c r="B91" s="3" t="s">
        <v>50</v>
      </c>
      <c r="C91" s="3" t="s">
        <v>50</v>
      </c>
      <c r="D91" s="61" t="s">
        <v>988</v>
      </c>
      <c r="E91" s="127" t="s">
        <v>989</v>
      </c>
      <c r="F91" s="127"/>
      <c r="G91" s="62">
        <v>9.9359999999999999</v>
      </c>
      <c r="H91" s="65" t="s">
        <v>50</v>
      </c>
    </row>
    <row r="92" spans="1:8" x14ac:dyDescent="0.25">
      <c r="A92" s="2" t="s">
        <v>50</v>
      </c>
      <c r="B92" s="3" t="s">
        <v>50</v>
      </c>
      <c r="C92" s="3" t="s">
        <v>50</v>
      </c>
      <c r="D92" s="61" t="s">
        <v>990</v>
      </c>
      <c r="E92" s="127" t="s">
        <v>991</v>
      </c>
      <c r="F92" s="127"/>
      <c r="G92" s="62">
        <v>9.1202000000000005</v>
      </c>
      <c r="H92" s="65" t="s">
        <v>50</v>
      </c>
    </row>
    <row r="93" spans="1:8" x14ac:dyDescent="0.25">
      <c r="A93" s="2" t="s">
        <v>50</v>
      </c>
      <c r="B93" s="3" t="s">
        <v>50</v>
      </c>
      <c r="C93" s="3" t="s">
        <v>50</v>
      </c>
      <c r="D93" s="61" t="s">
        <v>992</v>
      </c>
      <c r="E93" s="127" t="s">
        <v>993</v>
      </c>
      <c r="F93" s="127"/>
      <c r="G93" s="62">
        <v>39.303100000000001</v>
      </c>
      <c r="H93" s="65" t="s">
        <v>50</v>
      </c>
    </row>
    <row r="94" spans="1:8" x14ac:dyDescent="0.25">
      <c r="A94" s="2" t="s">
        <v>50</v>
      </c>
      <c r="B94" s="3" t="s">
        <v>50</v>
      </c>
      <c r="C94" s="3" t="s">
        <v>50</v>
      </c>
      <c r="D94" s="61" t="s">
        <v>994</v>
      </c>
      <c r="E94" s="127" t="s">
        <v>995</v>
      </c>
      <c r="F94" s="127"/>
      <c r="G94" s="62">
        <v>41.481900000000003</v>
      </c>
      <c r="H94" s="65" t="s">
        <v>50</v>
      </c>
    </row>
    <row r="95" spans="1:8" x14ac:dyDescent="0.25">
      <c r="A95" s="2" t="s">
        <v>50</v>
      </c>
      <c r="B95" s="3" t="s">
        <v>50</v>
      </c>
      <c r="C95" s="3" t="s">
        <v>50</v>
      </c>
      <c r="D95" s="61" t="s">
        <v>996</v>
      </c>
      <c r="E95" s="127" t="s">
        <v>997</v>
      </c>
      <c r="F95" s="127"/>
      <c r="G95" s="62">
        <v>41.9255</v>
      </c>
      <c r="H95" s="65" t="s">
        <v>50</v>
      </c>
    </row>
    <row r="96" spans="1:8" x14ac:dyDescent="0.25">
      <c r="A96" s="2" t="s">
        <v>50</v>
      </c>
      <c r="B96" s="3" t="s">
        <v>50</v>
      </c>
      <c r="C96" s="3" t="s">
        <v>50</v>
      </c>
      <c r="D96" s="61" t="s">
        <v>998</v>
      </c>
      <c r="E96" s="127" t="s">
        <v>999</v>
      </c>
      <c r="F96" s="127"/>
      <c r="G96" s="62">
        <v>58.366999999999997</v>
      </c>
      <c r="H96" s="65" t="s">
        <v>50</v>
      </c>
    </row>
    <row r="97" spans="1:8" x14ac:dyDescent="0.25">
      <c r="A97" s="2" t="s">
        <v>50</v>
      </c>
      <c r="B97" s="3" t="s">
        <v>50</v>
      </c>
      <c r="C97" s="3" t="s">
        <v>50</v>
      </c>
      <c r="D97" s="61" t="s">
        <v>1000</v>
      </c>
      <c r="E97" s="127" t="s">
        <v>1001</v>
      </c>
      <c r="F97" s="127"/>
      <c r="G97" s="62">
        <v>39.351999999999997</v>
      </c>
      <c r="H97" s="65" t="s">
        <v>50</v>
      </c>
    </row>
    <row r="98" spans="1:8" x14ac:dyDescent="0.25">
      <c r="A98" s="2" t="s">
        <v>50</v>
      </c>
      <c r="B98" s="3" t="s">
        <v>50</v>
      </c>
      <c r="C98" s="3" t="s">
        <v>50</v>
      </c>
      <c r="D98" s="61" t="s">
        <v>1002</v>
      </c>
      <c r="E98" s="127" t="s">
        <v>967</v>
      </c>
      <c r="F98" s="127"/>
      <c r="G98" s="62">
        <v>36.031999999999996</v>
      </c>
      <c r="H98" s="65" t="s">
        <v>50</v>
      </c>
    </row>
    <row r="99" spans="1:8" x14ac:dyDescent="0.25">
      <c r="A99" s="2" t="s">
        <v>50</v>
      </c>
      <c r="B99" s="3" t="s">
        <v>50</v>
      </c>
      <c r="C99" s="3" t="s">
        <v>50</v>
      </c>
      <c r="D99" s="61" t="s">
        <v>1003</v>
      </c>
      <c r="E99" s="127" t="s">
        <v>1004</v>
      </c>
      <c r="F99" s="127"/>
      <c r="G99" s="62">
        <v>11.129200000000001</v>
      </c>
      <c r="H99" s="65" t="s">
        <v>50</v>
      </c>
    </row>
    <row r="100" spans="1:8" x14ac:dyDescent="0.25">
      <c r="A100" s="2" t="s">
        <v>50</v>
      </c>
      <c r="B100" s="3" t="s">
        <v>50</v>
      </c>
      <c r="C100" s="3" t="s">
        <v>50</v>
      </c>
      <c r="D100" s="61" t="s">
        <v>1005</v>
      </c>
      <c r="E100" s="127" t="s">
        <v>1006</v>
      </c>
      <c r="F100" s="127"/>
      <c r="G100" s="62">
        <v>101.32</v>
      </c>
      <c r="H100" s="65" t="s">
        <v>50</v>
      </c>
    </row>
    <row r="101" spans="1:8" x14ac:dyDescent="0.25">
      <c r="A101" s="2" t="s">
        <v>189</v>
      </c>
      <c r="B101" s="3" t="s">
        <v>50</v>
      </c>
      <c r="C101" s="3" t="s">
        <v>190</v>
      </c>
      <c r="D101" s="116" t="s">
        <v>191</v>
      </c>
      <c r="E101" s="116"/>
      <c r="F101" s="3" t="s">
        <v>64</v>
      </c>
      <c r="G101" s="30">
        <v>23.954000000000001</v>
      </c>
      <c r="H101" s="64">
        <v>0</v>
      </c>
    </row>
    <row r="102" spans="1:8" x14ac:dyDescent="0.25">
      <c r="A102" s="60"/>
      <c r="D102" s="61" t="s">
        <v>1007</v>
      </c>
      <c r="E102" s="127" t="s">
        <v>1008</v>
      </c>
      <c r="F102" s="127"/>
      <c r="G102" s="62">
        <v>21.074000000000002</v>
      </c>
      <c r="H102" s="63"/>
    </row>
    <row r="103" spans="1:8" x14ac:dyDescent="0.25">
      <c r="A103" s="2" t="s">
        <v>50</v>
      </c>
      <c r="B103" s="3" t="s">
        <v>50</v>
      </c>
      <c r="C103" s="3" t="s">
        <v>50</v>
      </c>
      <c r="D103" s="61" t="s">
        <v>1009</v>
      </c>
      <c r="E103" s="127" t="s">
        <v>999</v>
      </c>
      <c r="F103" s="127"/>
      <c r="G103" s="62">
        <v>2.88</v>
      </c>
      <c r="H103" s="65" t="s">
        <v>50</v>
      </c>
    </row>
    <row r="104" spans="1:8" x14ac:dyDescent="0.25">
      <c r="A104" s="2" t="s">
        <v>192</v>
      </c>
      <c r="B104" s="3" t="s">
        <v>50</v>
      </c>
      <c r="C104" s="3" t="s">
        <v>193</v>
      </c>
      <c r="D104" s="116" t="s">
        <v>194</v>
      </c>
      <c r="E104" s="116"/>
      <c r="F104" s="3" t="s">
        <v>195</v>
      </c>
      <c r="G104" s="30">
        <v>75.455100000000002</v>
      </c>
      <c r="H104" s="64">
        <v>0</v>
      </c>
    </row>
    <row r="105" spans="1:8" x14ac:dyDescent="0.25">
      <c r="A105" s="60"/>
      <c r="D105" s="61" t="s">
        <v>1010</v>
      </c>
      <c r="E105" s="127" t="s">
        <v>1011</v>
      </c>
      <c r="F105" s="127"/>
      <c r="G105" s="62">
        <v>8.64</v>
      </c>
      <c r="H105" s="63"/>
    </row>
    <row r="106" spans="1:8" x14ac:dyDescent="0.25">
      <c r="A106" s="2" t="s">
        <v>50</v>
      </c>
      <c r="B106" s="3" t="s">
        <v>50</v>
      </c>
      <c r="C106" s="3" t="s">
        <v>50</v>
      </c>
      <c r="D106" s="61" t="s">
        <v>1012</v>
      </c>
      <c r="E106" s="127" t="s">
        <v>1008</v>
      </c>
      <c r="F106" s="127"/>
      <c r="G106" s="62">
        <v>63.222000000000001</v>
      </c>
      <c r="H106" s="65" t="s">
        <v>50</v>
      </c>
    </row>
    <row r="107" spans="1:8" x14ac:dyDescent="0.25">
      <c r="A107" s="2" t="s">
        <v>50</v>
      </c>
      <c r="B107" s="3" t="s">
        <v>50</v>
      </c>
      <c r="C107" s="3" t="s">
        <v>50</v>
      </c>
      <c r="D107" s="61" t="s">
        <v>1013</v>
      </c>
      <c r="E107" s="127" t="s">
        <v>50</v>
      </c>
      <c r="F107" s="127"/>
      <c r="G107" s="62">
        <v>3.5931000000000002</v>
      </c>
      <c r="H107" s="65" t="s">
        <v>50</v>
      </c>
    </row>
    <row r="108" spans="1:8" x14ac:dyDescent="0.25">
      <c r="A108" s="2" t="s">
        <v>196</v>
      </c>
      <c r="B108" s="3" t="s">
        <v>50</v>
      </c>
      <c r="C108" s="3" t="s">
        <v>197</v>
      </c>
      <c r="D108" s="116" t="s">
        <v>198</v>
      </c>
      <c r="E108" s="116"/>
      <c r="F108" s="3" t="s">
        <v>64</v>
      </c>
      <c r="G108" s="30">
        <v>33.444000000000003</v>
      </c>
      <c r="H108" s="64">
        <v>0</v>
      </c>
    </row>
    <row r="109" spans="1:8" x14ac:dyDescent="0.25">
      <c r="A109" s="60"/>
      <c r="D109" s="61" t="s">
        <v>1014</v>
      </c>
      <c r="E109" s="127" t="s">
        <v>971</v>
      </c>
      <c r="F109" s="127"/>
      <c r="G109" s="62">
        <v>30.564</v>
      </c>
      <c r="H109" s="63"/>
    </row>
    <row r="110" spans="1:8" x14ac:dyDescent="0.25">
      <c r="A110" s="2" t="s">
        <v>50</v>
      </c>
      <c r="B110" s="3" t="s">
        <v>50</v>
      </c>
      <c r="C110" s="3" t="s">
        <v>50</v>
      </c>
      <c r="D110" s="61" t="s">
        <v>1009</v>
      </c>
      <c r="E110" s="127" t="s">
        <v>999</v>
      </c>
      <c r="F110" s="127"/>
      <c r="G110" s="62">
        <v>2.88</v>
      </c>
      <c r="H110" s="65" t="s">
        <v>50</v>
      </c>
    </row>
    <row r="111" spans="1:8" x14ac:dyDescent="0.25">
      <c r="A111" s="2" t="s">
        <v>199</v>
      </c>
      <c r="B111" s="3" t="s">
        <v>50</v>
      </c>
      <c r="C111" s="3" t="s">
        <v>200</v>
      </c>
      <c r="D111" s="116" t="s">
        <v>201</v>
      </c>
      <c r="E111" s="116"/>
      <c r="F111" s="3" t="s">
        <v>99</v>
      </c>
      <c r="G111" s="30">
        <v>38</v>
      </c>
      <c r="H111" s="64">
        <v>0</v>
      </c>
    </row>
    <row r="112" spans="1:8" x14ac:dyDescent="0.25">
      <c r="A112" s="60"/>
      <c r="D112" s="61" t="s">
        <v>1015</v>
      </c>
      <c r="E112" s="127" t="s">
        <v>971</v>
      </c>
      <c r="F112" s="127"/>
      <c r="G112" s="62">
        <v>38</v>
      </c>
      <c r="H112" s="63"/>
    </row>
    <row r="113" spans="1:8" x14ac:dyDescent="0.25">
      <c r="A113" s="2" t="s">
        <v>202</v>
      </c>
      <c r="B113" s="3" t="s">
        <v>50</v>
      </c>
      <c r="C113" s="3" t="s">
        <v>203</v>
      </c>
      <c r="D113" s="116" t="s">
        <v>204</v>
      </c>
      <c r="E113" s="116"/>
      <c r="F113" s="3" t="s">
        <v>64</v>
      </c>
      <c r="G113" s="30">
        <v>302.3716</v>
      </c>
      <c r="H113" s="64">
        <v>0</v>
      </c>
    </row>
    <row r="114" spans="1:8" x14ac:dyDescent="0.25">
      <c r="A114" s="60"/>
      <c r="D114" s="61" t="s">
        <v>986</v>
      </c>
      <c r="E114" s="127" t="s">
        <v>987</v>
      </c>
      <c r="F114" s="127"/>
      <c r="G114" s="62">
        <v>15.7247</v>
      </c>
      <c r="H114" s="63"/>
    </row>
    <row r="115" spans="1:8" x14ac:dyDescent="0.25">
      <c r="A115" s="2" t="s">
        <v>50</v>
      </c>
      <c r="B115" s="3" t="s">
        <v>50</v>
      </c>
      <c r="C115" s="3" t="s">
        <v>50</v>
      </c>
      <c r="D115" s="61" t="s">
        <v>988</v>
      </c>
      <c r="E115" s="127" t="s">
        <v>989</v>
      </c>
      <c r="F115" s="127"/>
      <c r="G115" s="62">
        <v>9.9359999999999999</v>
      </c>
      <c r="H115" s="65" t="s">
        <v>50</v>
      </c>
    </row>
    <row r="116" spans="1:8" x14ac:dyDescent="0.25">
      <c r="A116" s="2" t="s">
        <v>50</v>
      </c>
      <c r="B116" s="3" t="s">
        <v>50</v>
      </c>
      <c r="C116" s="3" t="s">
        <v>50</v>
      </c>
      <c r="D116" s="61" t="s">
        <v>990</v>
      </c>
      <c r="E116" s="127" t="s">
        <v>991</v>
      </c>
      <c r="F116" s="127"/>
      <c r="G116" s="62">
        <v>9.1202000000000005</v>
      </c>
      <c r="H116" s="65" t="s">
        <v>50</v>
      </c>
    </row>
    <row r="117" spans="1:8" x14ac:dyDescent="0.25">
      <c r="A117" s="2" t="s">
        <v>50</v>
      </c>
      <c r="B117" s="3" t="s">
        <v>50</v>
      </c>
      <c r="C117" s="3" t="s">
        <v>50</v>
      </c>
      <c r="D117" s="61" t="s">
        <v>992</v>
      </c>
      <c r="E117" s="127" t="s">
        <v>993</v>
      </c>
      <c r="F117" s="127"/>
      <c r="G117" s="62">
        <v>39.303100000000001</v>
      </c>
      <c r="H117" s="65" t="s">
        <v>50</v>
      </c>
    </row>
    <row r="118" spans="1:8" x14ac:dyDescent="0.25">
      <c r="A118" s="2" t="s">
        <v>50</v>
      </c>
      <c r="B118" s="3" t="s">
        <v>50</v>
      </c>
      <c r="C118" s="3" t="s">
        <v>50</v>
      </c>
      <c r="D118" s="61" t="s">
        <v>994</v>
      </c>
      <c r="E118" s="127" t="s">
        <v>995</v>
      </c>
      <c r="F118" s="127"/>
      <c r="G118" s="62">
        <v>41.481900000000003</v>
      </c>
      <c r="H118" s="65" t="s">
        <v>50</v>
      </c>
    </row>
    <row r="119" spans="1:8" x14ac:dyDescent="0.25">
      <c r="A119" s="2" t="s">
        <v>50</v>
      </c>
      <c r="B119" s="3" t="s">
        <v>50</v>
      </c>
      <c r="C119" s="3" t="s">
        <v>50</v>
      </c>
      <c r="D119" s="61" t="s">
        <v>996</v>
      </c>
      <c r="E119" s="127" t="s">
        <v>997</v>
      </c>
      <c r="F119" s="127"/>
      <c r="G119" s="62">
        <v>41.9255</v>
      </c>
      <c r="H119" s="65" t="s">
        <v>50</v>
      </c>
    </row>
    <row r="120" spans="1:8" x14ac:dyDescent="0.25">
      <c r="A120" s="2" t="s">
        <v>50</v>
      </c>
      <c r="B120" s="3" t="s">
        <v>50</v>
      </c>
      <c r="C120" s="3" t="s">
        <v>50</v>
      </c>
      <c r="D120" s="61" t="s">
        <v>998</v>
      </c>
      <c r="E120" s="127" t="s">
        <v>999</v>
      </c>
      <c r="F120" s="127"/>
      <c r="G120" s="62">
        <v>58.366999999999997</v>
      </c>
      <c r="H120" s="65" t="s">
        <v>50</v>
      </c>
    </row>
    <row r="121" spans="1:8" x14ac:dyDescent="0.25">
      <c r="A121" s="2" t="s">
        <v>50</v>
      </c>
      <c r="B121" s="3" t="s">
        <v>50</v>
      </c>
      <c r="C121" s="3" t="s">
        <v>50</v>
      </c>
      <c r="D121" s="61" t="s">
        <v>1000</v>
      </c>
      <c r="E121" s="127" t="s">
        <v>1001</v>
      </c>
      <c r="F121" s="127"/>
      <c r="G121" s="62">
        <v>39.351999999999997</v>
      </c>
      <c r="H121" s="65" t="s">
        <v>50</v>
      </c>
    </row>
    <row r="122" spans="1:8" x14ac:dyDescent="0.25">
      <c r="A122" s="2" t="s">
        <v>50</v>
      </c>
      <c r="B122" s="3" t="s">
        <v>50</v>
      </c>
      <c r="C122" s="3" t="s">
        <v>50</v>
      </c>
      <c r="D122" s="61" t="s">
        <v>1002</v>
      </c>
      <c r="E122" s="127" t="s">
        <v>967</v>
      </c>
      <c r="F122" s="127"/>
      <c r="G122" s="62">
        <v>36.031999999999996</v>
      </c>
      <c r="H122" s="65" t="s">
        <v>50</v>
      </c>
    </row>
    <row r="123" spans="1:8" x14ac:dyDescent="0.25">
      <c r="A123" s="2" t="s">
        <v>50</v>
      </c>
      <c r="B123" s="3" t="s">
        <v>50</v>
      </c>
      <c r="C123" s="3" t="s">
        <v>50</v>
      </c>
      <c r="D123" s="61" t="s">
        <v>1003</v>
      </c>
      <c r="E123" s="127" t="s">
        <v>1004</v>
      </c>
      <c r="F123" s="127"/>
      <c r="G123" s="62">
        <v>11.129200000000001</v>
      </c>
      <c r="H123" s="65" t="s">
        <v>50</v>
      </c>
    </row>
    <row r="124" spans="1:8" x14ac:dyDescent="0.25">
      <c r="A124" s="2" t="s">
        <v>206</v>
      </c>
      <c r="B124" s="3" t="s">
        <v>50</v>
      </c>
      <c r="C124" s="3" t="s">
        <v>207</v>
      </c>
      <c r="D124" s="116" t="s">
        <v>208</v>
      </c>
      <c r="E124" s="116"/>
      <c r="F124" s="3" t="s">
        <v>99</v>
      </c>
      <c r="G124" s="30">
        <v>135.501</v>
      </c>
      <c r="H124" s="64">
        <v>0</v>
      </c>
    </row>
    <row r="125" spans="1:8" x14ac:dyDescent="0.25">
      <c r="A125" s="60"/>
      <c r="D125" s="61" t="s">
        <v>1016</v>
      </c>
      <c r="E125" s="127" t="s">
        <v>973</v>
      </c>
      <c r="F125" s="127"/>
      <c r="G125" s="62">
        <v>38.301000000000002</v>
      </c>
      <c r="H125" s="63"/>
    </row>
    <row r="126" spans="1:8" x14ac:dyDescent="0.25">
      <c r="A126" s="2" t="s">
        <v>50</v>
      </c>
      <c r="B126" s="3" t="s">
        <v>50</v>
      </c>
      <c r="C126" s="3" t="s">
        <v>50</v>
      </c>
      <c r="D126" s="61" t="s">
        <v>1017</v>
      </c>
      <c r="E126" s="127" t="s">
        <v>975</v>
      </c>
      <c r="F126" s="127"/>
      <c r="G126" s="62">
        <v>97.2</v>
      </c>
      <c r="H126" s="65" t="s">
        <v>50</v>
      </c>
    </row>
    <row r="127" spans="1:8" x14ac:dyDescent="0.25">
      <c r="A127" s="2" t="s">
        <v>209</v>
      </c>
      <c r="B127" s="3" t="s">
        <v>50</v>
      </c>
      <c r="C127" s="3" t="s">
        <v>210</v>
      </c>
      <c r="D127" s="116" t="s">
        <v>211</v>
      </c>
      <c r="E127" s="116"/>
      <c r="F127" s="3" t="s">
        <v>64</v>
      </c>
      <c r="G127" s="30">
        <v>302.3716</v>
      </c>
      <c r="H127" s="64">
        <v>0</v>
      </c>
    </row>
    <row r="128" spans="1:8" x14ac:dyDescent="0.25">
      <c r="A128" s="60"/>
      <c r="D128" s="61" t="s">
        <v>986</v>
      </c>
      <c r="E128" s="127" t="s">
        <v>987</v>
      </c>
      <c r="F128" s="127"/>
      <c r="G128" s="62">
        <v>15.7247</v>
      </c>
      <c r="H128" s="63"/>
    </row>
    <row r="129" spans="1:8" x14ac:dyDescent="0.25">
      <c r="A129" s="2" t="s">
        <v>50</v>
      </c>
      <c r="B129" s="3" t="s">
        <v>50</v>
      </c>
      <c r="C129" s="3" t="s">
        <v>50</v>
      </c>
      <c r="D129" s="61" t="s">
        <v>988</v>
      </c>
      <c r="E129" s="127" t="s">
        <v>989</v>
      </c>
      <c r="F129" s="127"/>
      <c r="G129" s="62">
        <v>9.9359999999999999</v>
      </c>
      <c r="H129" s="65" t="s">
        <v>50</v>
      </c>
    </row>
    <row r="130" spans="1:8" x14ac:dyDescent="0.25">
      <c r="A130" s="2" t="s">
        <v>50</v>
      </c>
      <c r="B130" s="3" t="s">
        <v>50</v>
      </c>
      <c r="C130" s="3" t="s">
        <v>50</v>
      </c>
      <c r="D130" s="61" t="s">
        <v>990</v>
      </c>
      <c r="E130" s="127" t="s">
        <v>991</v>
      </c>
      <c r="F130" s="127"/>
      <c r="G130" s="62">
        <v>9.1202000000000005</v>
      </c>
      <c r="H130" s="65" t="s">
        <v>50</v>
      </c>
    </row>
    <row r="131" spans="1:8" x14ac:dyDescent="0.25">
      <c r="A131" s="2" t="s">
        <v>50</v>
      </c>
      <c r="B131" s="3" t="s">
        <v>50</v>
      </c>
      <c r="C131" s="3" t="s">
        <v>50</v>
      </c>
      <c r="D131" s="61" t="s">
        <v>992</v>
      </c>
      <c r="E131" s="127" t="s">
        <v>993</v>
      </c>
      <c r="F131" s="127"/>
      <c r="G131" s="62">
        <v>39.303100000000001</v>
      </c>
      <c r="H131" s="65" t="s">
        <v>50</v>
      </c>
    </row>
    <row r="132" spans="1:8" x14ac:dyDescent="0.25">
      <c r="A132" s="2" t="s">
        <v>50</v>
      </c>
      <c r="B132" s="3" t="s">
        <v>50</v>
      </c>
      <c r="C132" s="3" t="s">
        <v>50</v>
      </c>
      <c r="D132" s="61" t="s">
        <v>994</v>
      </c>
      <c r="E132" s="127" t="s">
        <v>995</v>
      </c>
      <c r="F132" s="127"/>
      <c r="G132" s="62">
        <v>41.481900000000003</v>
      </c>
      <c r="H132" s="65" t="s">
        <v>50</v>
      </c>
    </row>
    <row r="133" spans="1:8" x14ac:dyDescent="0.25">
      <c r="A133" s="2" t="s">
        <v>50</v>
      </c>
      <c r="B133" s="3" t="s">
        <v>50</v>
      </c>
      <c r="C133" s="3" t="s">
        <v>50</v>
      </c>
      <c r="D133" s="61" t="s">
        <v>996</v>
      </c>
      <c r="E133" s="127" t="s">
        <v>997</v>
      </c>
      <c r="F133" s="127"/>
      <c r="G133" s="62">
        <v>41.9255</v>
      </c>
      <c r="H133" s="65" t="s">
        <v>50</v>
      </c>
    </row>
    <row r="134" spans="1:8" x14ac:dyDescent="0.25">
      <c r="A134" s="2" t="s">
        <v>50</v>
      </c>
      <c r="B134" s="3" t="s">
        <v>50</v>
      </c>
      <c r="C134" s="3" t="s">
        <v>50</v>
      </c>
      <c r="D134" s="61" t="s">
        <v>998</v>
      </c>
      <c r="E134" s="127" t="s">
        <v>999</v>
      </c>
      <c r="F134" s="127"/>
      <c r="G134" s="62">
        <v>58.366999999999997</v>
      </c>
      <c r="H134" s="65" t="s">
        <v>50</v>
      </c>
    </row>
    <row r="135" spans="1:8" x14ac:dyDescent="0.25">
      <c r="A135" s="2" t="s">
        <v>50</v>
      </c>
      <c r="B135" s="3" t="s">
        <v>50</v>
      </c>
      <c r="C135" s="3" t="s">
        <v>50</v>
      </c>
      <c r="D135" s="61" t="s">
        <v>1000</v>
      </c>
      <c r="E135" s="127" t="s">
        <v>1001</v>
      </c>
      <c r="F135" s="127"/>
      <c r="G135" s="62">
        <v>39.351999999999997</v>
      </c>
      <c r="H135" s="65" t="s">
        <v>50</v>
      </c>
    </row>
    <row r="136" spans="1:8" x14ac:dyDescent="0.25">
      <c r="A136" s="2" t="s">
        <v>50</v>
      </c>
      <c r="B136" s="3" t="s">
        <v>50</v>
      </c>
      <c r="C136" s="3" t="s">
        <v>50</v>
      </c>
      <c r="D136" s="61" t="s">
        <v>1002</v>
      </c>
      <c r="E136" s="127" t="s">
        <v>967</v>
      </c>
      <c r="F136" s="127"/>
      <c r="G136" s="62">
        <v>36.031999999999996</v>
      </c>
      <c r="H136" s="65" t="s">
        <v>50</v>
      </c>
    </row>
    <row r="137" spans="1:8" x14ac:dyDescent="0.25">
      <c r="A137" s="2" t="s">
        <v>50</v>
      </c>
      <c r="B137" s="3" t="s">
        <v>50</v>
      </c>
      <c r="C137" s="3" t="s">
        <v>50</v>
      </c>
      <c r="D137" s="61" t="s">
        <v>1003</v>
      </c>
      <c r="E137" s="127" t="s">
        <v>1004</v>
      </c>
      <c r="F137" s="127"/>
      <c r="G137" s="62">
        <v>11.129200000000001</v>
      </c>
      <c r="H137" s="65" t="s">
        <v>50</v>
      </c>
    </row>
    <row r="138" spans="1:8" x14ac:dyDescent="0.25">
      <c r="A138" s="2" t="s">
        <v>212</v>
      </c>
      <c r="B138" s="3" t="s">
        <v>50</v>
      </c>
      <c r="C138" s="3" t="s">
        <v>213</v>
      </c>
      <c r="D138" s="116" t="s">
        <v>214</v>
      </c>
      <c r="E138" s="116"/>
      <c r="F138" s="3" t="s">
        <v>64</v>
      </c>
      <c r="G138" s="30">
        <v>81.8</v>
      </c>
      <c r="H138" s="64">
        <v>0</v>
      </c>
    </row>
    <row r="139" spans="1:8" x14ac:dyDescent="0.25">
      <c r="A139" s="60"/>
      <c r="D139" s="61" t="s">
        <v>1018</v>
      </c>
      <c r="E139" s="127" t="s">
        <v>1019</v>
      </c>
      <c r="F139" s="127"/>
      <c r="G139" s="62">
        <v>81.8</v>
      </c>
      <c r="H139" s="63"/>
    </row>
    <row r="140" spans="1:8" x14ac:dyDescent="0.25">
      <c r="A140" s="2" t="s">
        <v>216</v>
      </c>
      <c r="B140" s="3" t="s">
        <v>50</v>
      </c>
      <c r="C140" s="3" t="s">
        <v>217</v>
      </c>
      <c r="D140" s="116" t="s">
        <v>218</v>
      </c>
      <c r="E140" s="116"/>
      <c r="F140" s="3" t="s">
        <v>64</v>
      </c>
      <c r="G140" s="30">
        <v>81.8</v>
      </c>
      <c r="H140" s="64">
        <v>0</v>
      </c>
    </row>
    <row r="141" spans="1:8" x14ac:dyDescent="0.25">
      <c r="A141" s="60"/>
      <c r="D141" s="61" t="s">
        <v>1018</v>
      </c>
      <c r="E141" s="127" t="s">
        <v>1019</v>
      </c>
      <c r="F141" s="127"/>
      <c r="G141" s="62">
        <v>81.8</v>
      </c>
      <c r="H141" s="63"/>
    </row>
    <row r="142" spans="1:8" x14ac:dyDescent="0.25">
      <c r="A142" s="2" t="s">
        <v>219</v>
      </c>
      <c r="B142" s="3" t="s">
        <v>50</v>
      </c>
      <c r="C142" s="3" t="s">
        <v>220</v>
      </c>
      <c r="D142" s="116" t="s">
        <v>221</v>
      </c>
      <c r="E142" s="116"/>
      <c r="F142" s="3" t="s">
        <v>64</v>
      </c>
      <c r="G142" s="30">
        <v>6</v>
      </c>
      <c r="H142" s="64">
        <v>0</v>
      </c>
    </row>
    <row r="143" spans="1:8" x14ac:dyDescent="0.25">
      <c r="A143" s="60"/>
      <c r="D143" s="61" t="s">
        <v>1020</v>
      </c>
      <c r="E143" s="127" t="s">
        <v>1021</v>
      </c>
      <c r="F143" s="127"/>
      <c r="G143" s="62">
        <v>6</v>
      </c>
      <c r="H143" s="63"/>
    </row>
    <row r="144" spans="1:8" x14ac:dyDescent="0.25">
      <c r="A144" s="2" t="s">
        <v>222</v>
      </c>
      <c r="B144" s="3" t="s">
        <v>50</v>
      </c>
      <c r="C144" s="3" t="s">
        <v>162</v>
      </c>
      <c r="D144" s="116" t="s">
        <v>163</v>
      </c>
      <c r="E144" s="116"/>
      <c r="F144" s="3" t="s">
        <v>109</v>
      </c>
      <c r="G144" s="30">
        <v>3.8195899999999998</v>
      </c>
      <c r="H144" s="64">
        <v>0</v>
      </c>
    </row>
    <row r="145" spans="1:8" x14ac:dyDescent="0.25">
      <c r="A145" s="2" t="s">
        <v>225</v>
      </c>
      <c r="B145" s="3" t="s">
        <v>50</v>
      </c>
      <c r="C145" s="3" t="s">
        <v>226</v>
      </c>
      <c r="D145" s="116" t="s">
        <v>227</v>
      </c>
      <c r="E145" s="116"/>
      <c r="F145" s="3" t="s">
        <v>56</v>
      </c>
      <c r="G145" s="30">
        <v>1</v>
      </c>
      <c r="H145" s="64">
        <v>0</v>
      </c>
    </row>
    <row r="146" spans="1:8" x14ac:dyDescent="0.25">
      <c r="A146" s="60"/>
      <c r="D146" s="61" t="s">
        <v>53</v>
      </c>
      <c r="E146" s="127" t="s">
        <v>967</v>
      </c>
      <c r="F146" s="127"/>
      <c r="G146" s="62">
        <v>1</v>
      </c>
      <c r="H146" s="63"/>
    </row>
    <row r="147" spans="1:8" x14ac:dyDescent="0.25">
      <c r="A147" s="2" t="s">
        <v>229</v>
      </c>
      <c r="B147" s="3" t="s">
        <v>50</v>
      </c>
      <c r="C147" s="3" t="s">
        <v>230</v>
      </c>
      <c r="D147" s="116" t="s">
        <v>231</v>
      </c>
      <c r="E147" s="116"/>
      <c r="F147" s="3" t="s">
        <v>56</v>
      </c>
      <c r="G147" s="30">
        <v>1</v>
      </c>
      <c r="H147" s="64">
        <v>0</v>
      </c>
    </row>
    <row r="148" spans="1:8" x14ac:dyDescent="0.25">
      <c r="A148" s="60"/>
      <c r="D148" s="61" t="s">
        <v>53</v>
      </c>
      <c r="E148" s="127" t="s">
        <v>995</v>
      </c>
      <c r="F148" s="127"/>
      <c r="G148" s="62">
        <v>1</v>
      </c>
      <c r="H148" s="63"/>
    </row>
    <row r="149" spans="1:8" x14ac:dyDescent="0.25">
      <c r="A149" s="2" t="s">
        <v>233</v>
      </c>
      <c r="B149" s="3" t="s">
        <v>50</v>
      </c>
      <c r="C149" s="3" t="s">
        <v>234</v>
      </c>
      <c r="D149" s="116" t="s">
        <v>235</v>
      </c>
      <c r="E149" s="116"/>
      <c r="F149" s="3" t="s">
        <v>56</v>
      </c>
      <c r="G149" s="30">
        <v>1</v>
      </c>
      <c r="H149" s="64">
        <v>0</v>
      </c>
    </row>
    <row r="150" spans="1:8" x14ac:dyDescent="0.25">
      <c r="A150" s="60"/>
      <c r="D150" s="61" t="s">
        <v>53</v>
      </c>
      <c r="E150" s="127" t="s">
        <v>995</v>
      </c>
      <c r="F150" s="127"/>
      <c r="G150" s="62">
        <v>1</v>
      </c>
      <c r="H150" s="63"/>
    </row>
    <row r="151" spans="1:8" x14ac:dyDescent="0.25">
      <c r="A151" s="2" t="s">
        <v>236</v>
      </c>
      <c r="B151" s="3" t="s">
        <v>50</v>
      </c>
      <c r="C151" s="3" t="s">
        <v>237</v>
      </c>
      <c r="D151" s="116" t="s">
        <v>238</v>
      </c>
      <c r="E151" s="116"/>
      <c r="F151" s="3" t="s">
        <v>56</v>
      </c>
      <c r="G151" s="30">
        <v>1</v>
      </c>
      <c r="H151" s="64">
        <v>0</v>
      </c>
    </row>
    <row r="152" spans="1:8" x14ac:dyDescent="0.25">
      <c r="A152" s="60"/>
      <c r="D152" s="61" t="s">
        <v>53</v>
      </c>
      <c r="E152" s="127" t="s">
        <v>1001</v>
      </c>
      <c r="F152" s="127"/>
      <c r="G152" s="62">
        <v>1</v>
      </c>
      <c r="H152" s="63"/>
    </row>
    <row r="153" spans="1:8" x14ac:dyDescent="0.25">
      <c r="A153" s="2" t="s">
        <v>239</v>
      </c>
      <c r="B153" s="3" t="s">
        <v>50</v>
      </c>
      <c r="C153" s="3" t="s">
        <v>240</v>
      </c>
      <c r="D153" s="116" t="s">
        <v>241</v>
      </c>
      <c r="E153" s="116"/>
      <c r="F153" s="3" t="s">
        <v>56</v>
      </c>
      <c r="G153" s="30">
        <v>9</v>
      </c>
      <c r="H153" s="64">
        <v>0</v>
      </c>
    </row>
    <row r="154" spans="1:8" x14ac:dyDescent="0.25">
      <c r="A154" s="60"/>
      <c r="D154" s="61" t="s">
        <v>86</v>
      </c>
      <c r="E154" s="127" t="s">
        <v>1022</v>
      </c>
      <c r="F154" s="127"/>
      <c r="G154" s="62">
        <v>9</v>
      </c>
      <c r="H154" s="63"/>
    </row>
    <row r="155" spans="1:8" x14ac:dyDescent="0.25">
      <c r="A155" s="2" t="s">
        <v>242</v>
      </c>
      <c r="B155" s="3" t="s">
        <v>50</v>
      </c>
      <c r="C155" s="3" t="s">
        <v>243</v>
      </c>
      <c r="D155" s="116" t="s">
        <v>244</v>
      </c>
      <c r="E155" s="116"/>
      <c r="F155" s="3" t="s">
        <v>56</v>
      </c>
      <c r="G155" s="30">
        <v>1</v>
      </c>
      <c r="H155" s="64">
        <v>0</v>
      </c>
    </row>
    <row r="156" spans="1:8" x14ac:dyDescent="0.25">
      <c r="A156" s="60"/>
      <c r="D156" s="61" t="s">
        <v>53</v>
      </c>
      <c r="E156" s="127" t="s">
        <v>991</v>
      </c>
      <c r="F156" s="127"/>
      <c r="G156" s="62">
        <v>1</v>
      </c>
      <c r="H156" s="63"/>
    </row>
    <row r="157" spans="1:8" x14ac:dyDescent="0.25">
      <c r="A157" s="2" t="s">
        <v>245</v>
      </c>
      <c r="B157" s="3" t="s">
        <v>50</v>
      </c>
      <c r="C157" s="3" t="s">
        <v>246</v>
      </c>
      <c r="D157" s="116" t="s">
        <v>247</v>
      </c>
      <c r="E157" s="116"/>
      <c r="F157" s="3" t="s">
        <v>56</v>
      </c>
      <c r="G157" s="30">
        <v>1</v>
      </c>
      <c r="H157" s="64">
        <v>0</v>
      </c>
    </row>
    <row r="158" spans="1:8" x14ac:dyDescent="0.25">
      <c r="A158" s="60"/>
      <c r="D158" s="61" t="s">
        <v>53</v>
      </c>
      <c r="E158" s="127" t="s">
        <v>50</v>
      </c>
      <c r="F158" s="127"/>
      <c r="G158" s="62">
        <v>1</v>
      </c>
      <c r="H158" s="63"/>
    </row>
    <row r="159" spans="1:8" x14ac:dyDescent="0.25">
      <c r="A159" s="2" t="s">
        <v>248</v>
      </c>
      <c r="B159" s="3" t="s">
        <v>50</v>
      </c>
      <c r="C159" s="3" t="s">
        <v>249</v>
      </c>
      <c r="D159" s="116" t="s">
        <v>250</v>
      </c>
      <c r="E159" s="116"/>
      <c r="F159" s="3" t="s">
        <v>56</v>
      </c>
      <c r="G159" s="30">
        <v>1</v>
      </c>
      <c r="H159" s="64">
        <v>0</v>
      </c>
    </row>
    <row r="160" spans="1:8" x14ac:dyDescent="0.25">
      <c r="A160" s="60"/>
      <c r="D160" s="61" t="s">
        <v>53</v>
      </c>
      <c r="E160" s="127" t="s">
        <v>991</v>
      </c>
      <c r="F160" s="127"/>
      <c r="G160" s="62">
        <v>1</v>
      </c>
      <c r="H160" s="63"/>
    </row>
    <row r="161" spans="1:8" x14ac:dyDescent="0.25">
      <c r="A161" s="2" t="s">
        <v>252</v>
      </c>
      <c r="B161" s="3" t="s">
        <v>50</v>
      </c>
      <c r="C161" s="3" t="s">
        <v>162</v>
      </c>
      <c r="D161" s="116" t="s">
        <v>163</v>
      </c>
      <c r="E161" s="116"/>
      <c r="F161" s="3" t="s">
        <v>109</v>
      </c>
      <c r="G161" s="30">
        <v>0.17154</v>
      </c>
      <c r="H161" s="64">
        <v>0</v>
      </c>
    </row>
    <row r="162" spans="1:8" x14ac:dyDescent="0.25">
      <c r="A162" s="2" t="s">
        <v>255</v>
      </c>
      <c r="B162" s="3" t="s">
        <v>50</v>
      </c>
      <c r="C162" s="3" t="s">
        <v>256</v>
      </c>
      <c r="D162" s="116" t="s">
        <v>257</v>
      </c>
      <c r="E162" s="116"/>
      <c r="F162" s="3" t="s">
        <v>99</v>
      </c>
      <c r="G162" s="30">
        <v>16.399999999999999</v>
      </c>
      <c r="H162" s="64">
        <v>0</v>
      </c>
    </row>
    <row r="163" spans="1:8" x14ac:dyDescent="0.25">
      <c r="A163" s="60"/>
      <c r="D163" s="61" t="s">
        <v>1023</v>
      </c>
      <c r="E163" s="127" t="s">
        <v>1024</v>
      </c>
      <c r="F163" s="127"/>
      <c r="G163" s="62">
        <v>16.399999999999999</v>
      </c>
      <c r="H163" s="63"/>
    </row>
    <row r="164" spans="1:8" x14ac:dyDescent="0.25">
      <c r="A164" s="2" t="s">
        <v>164</v>
      </c>
      <c r="B164" s="3" t="s">
        <v>50</v>
      </c>
      <c r="C164" s="3" t="s">
        <v>260</v>
      </c>
      <c r="D164" s="116" t="s">
        <v>261</v>
      </c>
      <c r="E164" s="116"/>
      <c r="F164" s="3" t="s">
        <v>99</v>
      </c>
      <c r="G164" s="30">
        <v>3.4</v>
      </c>
      <c r="H164" s="64">
        <v>0</v>
      </c>
    </row>
    <row r="165" spans="1:8" x14ac:dyDescent="0.25">
      <c r="A165" s="60"/>
      <c r="D165" s="61" t="s">
        <v>1025</v>
      </c>
      <c r="E165" s="127" t="s">
        <v>1024</v>
      </c>
      <c r="F165" s="127"/>
      <c r="G165" s="62">
        <v>3.4</v>
      </c>
      <c r="H165" s="63"/>
    </row>
    <row r="166" spans="1:8" x14ac:dyDescent="0.25">
      <c r="A166" s="2" t="s">
        <v>262</v>
      </c>
      <c r="B166" s="3" t="s">
        <v>50</v>
      </c>
      <c r="C166" s="3" t="s">
        <v>263</v>
      </c>
      <c r="D166" s="116" t="s">
        <v>264</v>
      </c>
      <c r="E166" s="116"/>
      <c r="F166" s="3" t="s">
        <v>56</v>
      </c>
      <c r="G166" s="30">
        <v>8</v>
      </c>
      <c r="H166" s="64">
        <v>0</v>
      </c>
    </row>
    <row r="167" spans="1:8" x14ac:dyDescent="0.25">
      <c r="A167" s="60"/>
      <c r="D167" s="61" t="s">
        <v>81</v>
      </c>
      <c r="E167" s="127" t="s">
        <v>1024</v>
      </c>
      <c r="F167" s="127"/>
      <c r="G167" s="62">
        <v>8</v>
      </c>
      <c r="H167" s="63"/>
    </row>
    <row r="168" spans="1:8" x14ac:dyDescent="0.25">
      <c r="A168" s="2" t="s">
        <v>265</v>
      </c>
      <c r="B168" s="3" t="s">
        <v>50</v>
      </c>
      <c r="C168" s="3" t="s">
        <v>266</v>
      </c>
      <c r="D168" s="116" t="s">
        <v>267</v>
      </c>
      <c r="E168" s="116"/>
      <c r="F168" s="3" t="s">
        <v>56</v>
      </c>
      <c r="G168" s="30">
        <v>2</v>
      </c>
      <c r="H168" s="64">
        <v>0</v>
      </c>
    </row>
    <row r="169" spans="1:8" x14ac:dyDescent="0.25">
      <c r="A169" s="60"/>
      <c r="D169" s="61" t="s">
        <v>61</v>
      </c>
      <c r="E169" s="127" t="s">
        <v>1024</v>
      </c>
      <c r="F169" s="127"/>
      <c r="G169" s="62">
        <v>2</v>
      </c>
      <c r="H169" s="63"/>
    </row>
    <row r="170" spans="1:8" x14ac:dyDescent="0.25">
      <c r="A170" s="2" t="s">
        <v>223</v>
      </c>
      <c r="B170" s="3" t="s">
        <v>50</v>
      </c>
      <c r="C170" s="3" t="s">
        <v>268</v>
      </c>
      <c r="D170" s="116" t="s">
        <v>269</v>
      </c>
      <c r="E170" s="116"/>
      <c r="F170" s="3" t="s">
        <v>56</v>
      </c>
      <c r="G170" s="30">
        <v>2</v>
      </c>
      <c r="H170" s="64">
        <v>0</v>
      </c>
    </row>
    <row r="171" spans="1:8" x14ac:dyDescent="0.25">
      <c r="A171" s="60"/>
      <c r="D171" s="61" t="s">
        <v>61</v>
      </c>
      <c r="E171" s="127" t="s">
        <v>50</v>
      </c>
      <c r="F171" s="127"/>
      <c r="G171" s="62">
        <v>2</v>
      </c>
      <c r="H171" s="63"/>
    </row>
    <row r="172" spans="1:8" x14ac:dyDescent="0.25">
      <c r="A172" s="2" t="s">
        <v>270</v>
      </c>
      <c r="B172" s="3" t="s">
        <v>50</v>
      </c>
      <c r="C172" s="3" t="s">
        <v>271</v>
      </c>
      <c r="D172" s="116" t="s">
        <v>272</v>
      </c>
      <c r="E172" s="116"/>
      <c r="F172" s="3" t="s">
        <v>56</v>
      </c>
      <c r="G172" s="30">
        <v>1</v>
      </c>
      <c r="H172" s="64">
        <v>0</v>
      </c>
    </row>
    <row r="173" spans="1:8" x14ac:dyDescent="0.25">
      <c r="A173" s="60"/>
      <c r="D173" s="61" t="s">
        <v>53</v>
      </c>
      <c r="E173" s="127" t="s">
        <v>50</v>
      </c>
      <c r="F173" s="127"/>
      <c r="G173" s="62">
        <v>1</v>
      </c>
      <c r="H173" s="63"/>
    </row>
    <row r="174" spans="1:8" x14ac:dyDescent="0.25">
      <c r="A174" s="2" t="s">
        <v>273</v>
      </c>
      <c r="B174" s="3" t="s">
        <v>50</v>
      </c>
      <c r="C174" s="3" t="s">
        <v>274</v>
      </c>
      <c r="D174" s="116" t="s">
        <v>275</v>
      </c>
      <c r="E174" s="116"/>
      <c r="F174" s="3" t="s">
        <v>99</v>
      </c>
      <c r="G174" s="30">
        <v>19.8</v>
      </c>
      <c r="H174" s="64">
        <v>0</v>
      </c>
    </row>
    <row r="175" spans="1:8" x14ac:dyDescent="0.25">
      <c r="A175" s="60"/>
      <c r="D175" s="61" t="s">
        <v>947</v>
      </c>
      <c r="E175" s="127" t="s">
        <v>1024</v>
      </c>
      <c r="F175" s="127"/>
      <c r="G175" s="62">
        <v>19.8</v>
      </c>
      <c r="H175" s="63"/>
    </row>
    <row r="176" spans="1:8" x14ac:dyDescent="0.25">
      <c r="A176" s="2" t="s">
        <v>276</v>
      </c>
      <c r="B176" s="3" t="s">
        <v>50</v>
      </c>
      <c r="C176" s="3" t="s">
        <v>277</v>
      </c>
      <c r="D176" s="116" t="s">
        <v>278</v>
      </c>
      <c r="E176" s="116"/>
      <c r="F176" s="3" t="s">
        <v>109</v>
      </c>
      <c r="G176" s="30">
        <v>1.2880000000000001E-2</v>
      </c>
      <c r="H176" s="64">
        <v>0</v>
      </c>
    </row>
    <row r="177" spans="1:8" x14ac:dyDescent="0.25">
      <c r="A177" s="2" t="s">
        <v>281</v>
      </c>
      <c r="B177" s="3" t="s">
        <v>50</v>
      </c>
      <c r="C177" s="3" t="s">
        <v>282</v>
      </c>
      <c r="D177" s="116" t="s">
        <v>283</v>
      </c>
      <c r="E177" s="116"/>
      <c r="F177" s="3" t="s">
        <v>99</v>
      </c>
      <c r="G177" s="30">
        <v>34.950000000000003</v>
      </c>
      <c r="H177" s="64">
        <v>0</v>
      </c>
    </row>
    <row r="178" spans="1:8" x14ac:dyDescent="0.25">
      <c r="A178" s="60"/>
      <c r="D178" s="61" t="s">
        <v>1026</v>
      </c>
      <c r="E178" s="127" t="s">
        <v>1027</v>
      </c>
      <c r="F178" s="127"/>
      <c r="G178" s="62">
        <v>18.95</v>
      </c>
      <c r="H178" s="63"/>
    </row>
    <row r="179" spans="1:8" x14ac:dyDescent="0.25">
      <c r="A179" s="2" t="s">
        <v>50</v>
      </c>
      <c r="B179" s="3" t="s">
        <v>50</v>
      </c>
      <c r="C179" s="3" t="s">
        <v>50</v>
      </c>
      <c r="D179" s="61" t="s">
        <v>1028</v>
      </c>
      <c r="E179" s="127" t="s">
        <v>1029</v>
      </c>
      <c r="F179" s="127"/>
      <c r="G179" s="62">
        <v>16</v>
      </c>
      <c r="H179" s="65" t="s">
        <v>50</v>
      </c>
    </row>
    <row r="180" spans="1:8" x14ac:dyDescent="0.25">
      <c r="A180" s="2" t="s">
        <v>285</v>
      </c>
      <c r="B180" s="3" t="s">
        <v>50</v>
      </c>
      <c r="C180" s="3" t="s">
        <v>286</v>
      </c>
      <c r="D180" s="116" t="s">
        <v>287</v>
      </c>
      <c r="E180" s="116"/>
      <c r="F180" s="3" t="s">
        <v>99</v>
      </c>
      <c r="G180" s="30">
        <v>20</v>
      </c>
      <c r="H180" s="64">
        <v>0</v>
      </c>
    </row>
    <row r="181" spans="1:8" x14ac:dyDescent="0.25">
      <c r="A181" s="60"/>
      <c r="D181" s="61" t="s">
        <v>1030</v>
      </c>
      <c r="E181" s="127" t="s">
        <v>1027</v>
      </c>
      <c r="F181" s="127"/>
      <c r="G181" s="62">
        <v>10</v>
      </c>
      <c r="H181" s="63"/>
    </row>
    <row r="182" spans="1:8" x14ac:dyDescent="0.25">
      <c r="A182" s="2" t="s">
        <v>50</v>
      </c>
      <c r="B182" s="3" t="s">
        <v>50</v>
      </c>
      <c r="C182" s="3" t="s">
        <v>50</v>
      </c>
      <c r="D182" s="61" t="s">
        <v>1030</v>
      </c>
      <c r="E182" s="127" t="s">
        <v>1029</v>
      </c>
      <c r="F182" s="127"/>
      <c r="G182" s="62">
        <v>10</v>
      </c>
      <c r="H182" s="65" t="s">
        <v>50</v>
      </c>
    </row>
    <row r="183" spans="1:8" x14ac:dyDescent="0.25">
      <c r="A183" s="2" t="s">
        <v>288</v>
      </c>
      <c r="B183" s="3" t="s">
        <v>50</v>
      </c>
      <c r="C183" s="3" t="s">
        <v>289</v>
      </c>
      <c r="D183" s="116" t="s">
        <v>290</v>
      </c>
      <c r="E183" s="116"/>
      <c r="F183" s="3" t="s">
        <v>99</v>
      </c>
      <c r="G183" s="30">
        <v>34.950000000000003</v>
      </c>
      <c r="H183" s="64">
        <v>0</v>
      </c>
    </row>
    <row r="184" spans="1:8" x14ac:dyDescent="0.25">
      <c r="A184" s="60"/>
      <c r="D184" s="61" t="s">
        <v>1026</v>
      </c>
      <c r="E184" s="127" t="s">
        <v>1027</v>
      </c>
      <c r="F184" s="127"/>
      <c r="G184" s="62">
        <v>18.95</v>
      </c>
      <c r="H184" s="63"/>
    </row>
    <row r="185" spans="1:8" x14ac:dyDescent="0.25">
      <c r="A185" s="2" t="s">
        <v>50</v>
      </c>
      <c r="B185" s="3" t="s">
        <v>50</v>
      </c>
      <c r="C185" s="3" t="s">
        <v>50</v>
      </c>
      <c r="D185" s="61" t="s">
        <v>1028</v>
      </c>
      <c r="E185" s="127" t="s">
        <v>1029</v>
      </c>
      <c r="F185" s="127"/>
      <c r="G185" s="62">
        <v>16</v>
      </c>
      <c r="H185" s="65" t="s">
        <v>50</v>
      </c>
    </row>
    <row r="186" spans="1:8" x14ac:dyDescent="0.25">
      <c r="A186" s="2" t="s">
        <v>291</v>
      </c>
      <c r="B186" s="3" t="s">
        <v>50</v>
      </c>
      <c r="C186" s="3" t="s">
        <v>292</v>
      </c>
      <c r="D186" s="116" t="s">
        <v>293</v>
      </c>
      <c r="E186" s="116"/>
      <c r="F186" s="3" t="s">
        <v>99</v>
      </c>
      <c r="G186" s="30">
        <v>20</v>
      </c>
      <c r="H186" s="64">
        <v>0</v>
      </c>
    </row>
    <row r="187" spans="1:8" x14ac:dyDescent="0.25">
      <c r="A187" s="60"/>
      <c r="D187" s="61" t="s">
        <v>1030</v>
      </c>
      <c r="E187" s="127" t="s">
        <v>1027</v>
      </c>
      <c r="F187" s="127"/>
      <c r="G187" s="62">
        <v>10</v>
      </c>
      <c r="H187" s="63"/>
    </row>
    <row r="188" spans="1:8" x14ac:dyDescent="0.25">
      <c r="A188" s="2" t="s">
        <v>50</v>
      </c>
      <c r="B188" s="3" t="s">
        <v>50</v>
      </c>
      <c r="C188" s="3" t="s">
        <v>50</v>
      </c>
      <c r="D188" s="61" t="s">
        <v>1030</v>
      </c>
      <c r="E188" s="127" t="s">
        <v>1029</v>
      </c>
      <c r="F188" s="127"/>
      <c r="G188" s="62">
        <v>10</v>
      </c>
      <c r="H188" s="65" t="s">
        <v>50</v>
      </c>
    </row>
    <row r="189" spans="1:8" x14ac:dyDescent="0.25">
      <c r="A189" s="2" t="s">
        <v>294</v>
      </c>
      <c r="B189" s="3" t="s">
        <v>50</v>
      </c>
      <c r="C189" s="3" t="s">
        <v>295</v>
      </c>
      <c r="D189" s="116" t="s">
        <v>296</v>
      </c>
      <c r="E189" s="116"/>
      <c r="F189" s="3" t="s">
        <v>99</v>
      </c>
      <c r="G189" s="30">
        <v>34.950000000000003</v>
      </c>
      <c r="H189" s="64">
        <v>0</v>
      </c>
    </row>
    <row r="190" spans="1:8" x14ac:dyDescent="0.25">
      <c r="A190" s="60"/>
      <c r="D190" s="61" t="s">
        <v>1026</v>
      </c>
      <c r="E190" s="127" t="s">
        <v>1027</v>
      </c>
      <c r="F190" s="127"/>
      <c r="G190" s="62">
        <v>18.95</v>
      </c>
      <c r="H190" s="63"/>
    </row>
    <row r="191" spans="1:8" x14ac:dyDescent="0.25">
      <c r="A191" s="2" t="s">
        <v>50</v>
      </c>
      <c r="B191" s="3" t="s">
        <v>50</v>
      </c>
      <c r="C191" s="3" t="s">
        <v>50</v>
      </c>
      <c r="D191" s="61" t="s">
        <v>1028</v>
      </c>
      <c r="E191" s="127" t="s">
        <v>1029</v>
      </c>
      <c r="F191" s="127"/>
      <c r="G191" s="62">
        <v>16</v>
      </c>
      <c r="H191" s="65" t="s">
        <v>50</v>
      </c>
    </row>
    <row r="192" spans="1:8" x14ac:dyDescent="0.25">
      <c r="A192" s="2" t="s">
        <v>298</v>
      </c>
      <c r="B192" s="3" t="s">
        <v>50</v>
      </c>
      <c r="C192" s="3" t="s">
        <v>299</v>
      </c>
      <c r="D192" s="116" t="s">
        <v>296</v>
      </c>
      <c r="E192" s="116"/>
      <c r="F192" s="3" t="s">
        <v>99</v>
      </c>
      <c r="G192" s="30">
        <v>20</v>
      </c>
      <c r="H192" s="64">
        <v>0</v>
      </c>
    </row>
    <row r="193" spans="1:8" x14ac:dyDescent="0.25">
      <c r="A193" s="60"/>
      <c r="D193" s="61" t="s">
        <v>1030</v>
      </c>
      <c r="E193" s="127" t="s">
        <v>1027</v>
      </c>
      <c r="F193" s="127"/>
      <c r="G193" s="62">
        <v>10</v>
      </c>
      <c r="H193" s="63"/>
    </row>
    <row r="194" spans="1:8" x14ac:dyDescent="0.25">
      <c r="A194" s="2" t="s">
        <v>50</v>
      </c>
      <c r="B194" s="3" t="s">
        <v>50</v>
      </c>
      <c r="C194" s="3" t="s">
        <v>50</v>
      </c>
      <c r="D194" s="61" t="s">
        <v>1030</v>
      </c>
      <c r="E194" s="127" t="s">
        <v>1029</v>
      </c>
      <c r="F194" s="127"/>
      <c r="G194" s="62">
        <v>10</v>
      </c>
      <c r="H194" s="65" t="s">
        <v>50</v>
      </c>
    </row>
    <row r="195" spans="1:8" x14ac:dyDescent="0.25">
      <c r="A195" s="2" t="s">
        <v>301</v>
      </c>
      <c r="B195" s="3" t="s">
        <v>50</v>
      </c>
      <c r="C195" s="3" t="s">
        <v>302</v>
      </c>
      <c r="D195" s="116" t="s">
        <v>303</v>
      </c>
      <c r="E195" s="116"/>
      <c r="F195" s="3" t="s">
        <v>56</v>
      </c>
      <c r="G195" s="30">
        <v>15</v>
      </c>
      <c r="H195" s="64">
        <v>0</v>
      </c>
    </row>
    <row r="196" spans="1:8" x14ac:dyDescent="0.25">
      <c r="A196" s="60"/>
      <c r="D196" s="61" t="s">
        <v>106</v>
      </c>
      <c r="E196" s="127" t="s">
        <v>50</v>
      </c>
      <c r="F196" s="127"/>
      <c r="G196" s="62">
        <v>15</v>
      </c>
      <c r="H196" s="63"/>
    </row>
    <row r="197" spans="1:8" x14ac:dyDescent="0.25">
      <c r="A197" s="2" t="s">
        <v>304</v>
      </c>
      <c r="B197" s="3" t="s">
        <v>50</v>
      </c>
      <c r="C197" s="3" t="s">
        <v>305</v>
      </c>
      <c r="D197" s="116" t="s">
        <v>306</v>
      </c>
      <c r="E197" s="116"/>
      <c r="F197" s="3" t="s">
        <v>56</v>
      </c>
      <c r="G197" s="30">
        <v>2</v>
      </c>
      <c r="H197" s="64">
        <v>0</v>
      </c>
    </row>
    <row r="198" spans="1:8" x14ac:dyDescent="0.25">
      <c r="A198" s="60"/>
      <c r="D198" s="61" t="s">
        <v>61</v>
      </c>
      <c r="E198" s="127" t="s">
        <v>50</v>
      </c>
      <c r="F198" s="127"/>
      <c r="G198" s="62">
        <v>2</v>
      </c>
      <c r="H198" s="63"/>
    </row>
    <row r="199" spans="1:8" x14ac:dyDescent="0.25">
      <c r="A199" s="2" t="s">
        <v>307</v>
      </c>
      <c r="B199" s="3" t="s">
        <v>50</v>
      </c>
      <c r="C199" s="3" t="s">
        <v>308</v>
      </c>
      <c r="D199" s="116" t="s">
        <v>309</v>
      </c>
      <c r="E199" s="116"/>
      <c r="F199" s="3" t="s">
        <v>56</v>
      </c>
      <c r="G199" s="30">
        <v>2</v>
      </c>
      <c r="H199" s="64">
        <v>0</v>
      </c>
    </row>
    <row r="200" spans="1:8" x14ac:dyDescent="0.25">
      <c r="A200" s="60"/>
      <c r="D200" s="61" t="s">
        <v>61</v>
      </c>
      <c r="E200" s="127" t="s">
        <v>50</v>
      </c>
      <c r="F200" s="127"/>
      <c r="G200" s="62">
        <v>2</v>
      </c>
      <c r="H200" s="63"/>
    </row>
    <row r="201" spans="1:8" x14ac:dyDescent="0.25">
      <c r="A201" s="2" t="s">
        <v>310</v>
      </c>
      <c r="B201" s="3" t="s">
        <v>50</v>
      </c>
      <c r="C201" s="3" t="s">
        <v>311</v>
      </c>
      <c r="D201" s="116" t="s">
        <v>312</v>
      </c>
      <c r="E201" s="116"/>
      <c r="F201" s="3" t="s">
        <v>56</v>
      </c>
      <c r="G201" s="30">
        <v>15</v>
      </c>
      <c r="H201" s="64">
        <v>0</v>
      </c>
    </row>
    <row r="202" spans="1:8" x14ac:dyDescent="0.25">
      <c r="A202" s="60"/>
      <c r="D202" s="61" t="s">
        <v>106</v>
      </c>
      <c r="E202" s="127" t="s">
        <v>50</v>
      </c>
      <c r="F202" s="127"/>
      <c r="G202" s="62">
        <v>15</v>
      </c>
      <c r="H202" s="63"/>
    </row>
    <row r="203" spans="1:8" x14ac:dyDescent="0.25">
      <c r="A203" s="2" t="s">
        <v>313</v>
      </c>
      <c r="B203" s="3" t="s">
        <v>50</v>
      </c>
      <c r="C203" s="3" t="s">
        <v>314</v>
      </c>
      <c r="D203" s="116" t="s">
        <v>315</v>
      </c>
      <c r="E203" s="116"/>
      <c r="F203" s="3" t="s">
        <v>56</v>
      </c>
      <c r="G203" s="30">
        <v>2</v>
      </c>
      <c r="H203" s="64">
        <v>0</v>
      </c>
    </row>
    <row r="204" spans="1:8" x14ac:dyDescent="0.25">
      <c r="A204" s="60"/>
      <c r="D204" s="61" t="s">
        <v>61</v>
      </c>
      <c r="E204" s="127" t="s">
        <v>50</v>
      </c>
      <c r="F204" s="127"/>
      <c r="G204" s="62">
        <v>2</v>
      </c>
      <c r="H204" s="63"/>
    </row>
    <row r="205" spans="1:8" x14ac:dyDescent="0.25">
      <c r="A205" s="2" t="s">
        <v>316</v>
      </c>
      <c r="B205" s="3" t="s">
        <v>50</v>
      </c>
      <c r="C205" s="3" t="s">
        <v>317</v>
      </c>
      <c r="D205" s="116" t="s">
        <v>318</v>
      </c>
      <c r="E205" s="116"/>
      <c r="F205" s="3" t="s">
        <v>319</v>
      </c>
      <c r="G205" s="30">
        <v>2</v>
      </c>
      <c r="H205" s="64">
        <v>0</v>
      </c>
    </row>
    <row r="206" spans="1:8" x14ac:dyDescent="0.25">
      <c r="A206" s="60"/>
      <c r="D206" s="61" t="s">
        <v>61</v>
      </c>
      <c r="E206" s="127" t="s">
        <v>50</v>
      </c>
      <c r="F206" s="127"/>
      <c r="G206" s="62">
        <v>2</v>
      </c>
      <c r="H206" s="63"/>
    </row>
    <row r="207" spans="1:8" x14ac:dyDescent="0.25">
      <c r="A207" s="2" t="s">
        <v>320</v>
      </c>
      <c r="B207" s="3" t="s">
        <v>50</v>
      </c>
      <c r="C207" s="3" t="s">
        <v>321</v>
      </c>
      <c r="D207" s="116" t="s">
        <v>322</v>
      </c>
      <c r="E207" s="116"/>
      <c r="F207" s="3" t="s">
        <v>56</v>
      </c>
      <c r="G207" s="30">
        <v>11</v>
      </c>
      <c r="H207" s="64">
        <v>0</v>
      </c>
    </row>
    <row r="208" spans="1:8" x14ac:dyDescent="0.25">
      <c r="A208" s="60"/>
      <c r="D208" s="61" t="s">
        <v>93</v>
      </c>
      <c r="E208" s="127" t="s">
        <v>50</v>
      </c>
      <c r="F208" s="127"/>
      <c r="G208" s="62">
        <v>11</v>
      </c>
      <c r="H208" s="63"/>
    </row>
    <row r="209" spans="1:8" x14ac:dyDescent="0.25">
      <c r="A209" s="2" t="s">
        <v>323</v>
      </c>
      <c r="B209" s="3" t="s">
        <v>50</v>
      </c>
      <c r="C209" s="3" t="s">
        <v>324</v>
      </c>
      <c r="D209" s="116" t="s">
        <v>325</v>
      </c>
      <c r="E209" s="116"/>
      <c r="F209" s="3" t="s">
        <v>99</v>
      </c>
      <c r="G209" s="30">
        <v>54.9</v>
      </c>
      <c r="H209" s="64">
        <v>0</v>
      </c>
    </row>
    <row r="210" spans="1:8" x14ac:dyDescent="0.25">
      <c r="A210" s="60"/>
      <c r="D210" s="61" t="s">
        <v>1031</v>
      </c>
      <c r="E210" s="127" t="s">
        <v>1032</v>
      </c>
      <c r="F210" s="127"/>
      <c r="G210" s="62">
        <v>54.9</v>
      </c>
      <c r="H210" s="63"/>
    </row>
    <row r="211" spans="1:8" x14ac:dyDescent="0.25">
      <c r="A211" s="2" t="s">
        <v>326</v>
      </c>
      <c r="B211" s="3" t="s">
        <v>50</v>
      </c>
      <c r="C211" s="3" t="s">
        <v>327</v>
      </c>
      <c r="D211" s="116" t="s">
        <v>328</v>
      </c>
      <c r="E211" s="116"/>
      <c r="F211" s="3" t="s">
        <v>99</v>
      </c>
      <c r="G211" s="30">
        <v>54.9</v>
      </c>
      <c r="H211" s="64">
        <v>0</v>
      </c>
    </row>
    <row r="212" spans="1:8" x14ac:dyDescent="0.25">
      <c r="A212" s="60"/>
      <c r="D212" s="61" t="s">
        <v>1031</v>
      </c>
      <c r="E212" s="127" t="s">
        <v>1032</v>
      </c>
      <c r="F212" s="127"/>
      <c r="G212" s="62">
        <v>54.9</v>
      </c>
      <c r="H212" s="63"/>
    </row>
    <row r="213" spans="1:8" x14ac:dyDescent="0.25">
      <c r="A213" s="2" t="s">
        <v>329</v>
      </c>
      <c r="B213" s="3" t="s">
        <v>50</v>
      </c>
      <c r="C213" s="3" t="s">
        <v>330</v>
      </c>
      <c r="D213" s="116" t="s">
        <v>331</v>
      </c>
      <c r="E213" s="116"/>
      <c r="F213" s="3" t="s">
        <v>109</v>
      </c>
      <c r="G213" s="30">
        <v>0.27766000000000002</v>
      </c>
      <c r="H213" s="64">
        <v>0</v>
      </c>
    </row>
    <row r="214" spans="1:8" x14ac:dyDescent="0.25">
      <c r="A214" s="2" t="s">
        <v>334</v>
      </c>
      <c r="B214" s="3" t="s">
        <v>50</v>
      </c>
      <c r="C214" s="3" t="s">
        <v>335</v>
      </c>
      <c r="D214" s="116" t="s">
        <v>336</v>
      </c>
      <c r="E214" s="116"/>
      <c r="F214" s="3" t="s">
        <v>99</v>
      </c>
      <c r="G214" s="30">
        <v>7.5</v>
      </c>
      <c r="H214" s="64">
        <v>0</v>
      </c>
    </row>
    <row r="215" spans="1:8" x14ac:dyDescent="0.25">
      <c r="A215" s="60"/>
      <c r="D215" s="61" t="s">
        <v>1033</v>
      </c>
      <c r="E215" s="127" t="s">
        <v>1034</v>
      </c>
      <c r="F215" s="127"/>
      <c r="G215" s="62">
        <v>7.5</v>
      </c>
      <c r="H215" s="63"/>
    </row>
    <row r="216" spans="1:8" x14ac:dyDescent="0.25">
      <c r="A216" s="2" t="s">
        <v>338</v>
      </c>
      <c r="B216" s="3" t="s">
        <v>50</v>
      </c>
      <c r="C216" s="3" t="s">
        <v>339</v>
      </c>
      <c r="D216" s="116" t="s">
        <v>340</v>
      </c>
      <c r="E216" s="116"/>
      <c r="F216" s="3" t="s">
        <v>56</v>
      </c>
      <c r="G216" s="30">
        <v>1</v>
      </c>
      <c r="H216" s="64">
        <v>0</v>
      </c>
    </row>
    <row r="217" spans="1:8" x14ac:dyDescent="0.25">
      <c r="A217" s="60"/>
      <c r="D217" s="61" t="s">
        <v>53</v>
      </c>
      <c r="E217" s="127" t="s">
        <v>50</v>
      </c>
      <c r="F217" s="127"/>
      <c r="G217" s="62">
        <v>1</v>
      </c>
      <c r="H217" s="63"/>
    </row>
    <row r="218" spans="1:8" x14ac:dyDescent="0.25">
      <c r="A218" s="2" t="s">
        <v>341</v>
      </c>
      <c r="B218" s="3" t="s">
        <v>50</v>
      </c>
      <c r="C218" s="3" t="s">
        <v>342</v>
      </c>
      <c r="D218" s="116" t="s">
        <v>343</v>
      </c>
      <c r="E218" s="116"/>
      <c r="F218" s="3" t="s">
        <v>99</v>
      </c>
      <c r="G218" s="30">
        <v>7.5</v>
      </c>
      <c r="H218" s="64">
        <v>0</v>
      </c>
    </row>
    <row r="219" spans="1:8" x14ac:dyDescent="0.25">
      <c r="A219" s="60"/>
      <c r="D219" s="61" t="s">
        <v>1033</v>
      </c>
      <c r="E219" s="127" t="s">
        <v>1034</v>
      </c>
      <c r="F219" s="127"/>
      <c r="G219" s="62">
        <v>7.5</v>
      </c>
      <c r="H219" s="63"/>
    </row>
    <row r="220" spans="1:8" x14ac:dyDescent="0.25">
      <c r="A220" s="2" t="s">
        <v>344</v>
      </c>
      <c r="B220" s="3" t="s">
        <v>50</v>
      </c>
      <c r="C220" s="3" t="s">
        <v>345</v>
      </c>
      <c r="D220" s="116" t="s">
        <v>346</v>
      </c>
      <c r="E220" s="116"/>
      <c r="F220" s="3" t="s">
        <v>56</v>
      </c>
      <c r="G220" s="30">
        <v>1</v>
      </c>
      <c r="H220" s="64">
        <v>0</v>
      </c>
    </row>
    <row r="221" spans="1:8" x14ac:dyDescent="0.25">
      <c r="A221" s="60"/>
      <c r="D221" s="61" t="s">
        <v>53</v>
      </c>
      <c r="E221" s="127" t="s">
        <v>1035</v>
      </c>
      <c r="F221" s="127"/>
      <c r="G221" s="62">
        <v>1</v>
      </c>
      <c r="H221" s="63"/>
    </row>
    <row r="222" spans="1:8" x14ac:dyDescent="0.25">
      <c r="A222" s="2" t="s">
        <v>347</v>
      </c>
      <c r="B222" s="3" t="s">
        <v>50</v>
      </c>
      <c r="C222" s="3" t="s">
        <v>348</v>
      </c>
      <c r="D222" s="116" t="s">
        <v>349</v>
      </c>
      <c r="E222" s="116"/>
      <c r="F222" s="3" t="s">
        <v>109</v>
      </c>
      <c r="G222" s="30">
        <v>1.5859999999999999E-2</v>
      </c>
      <c r="H222" s="64">
        <v>0</v>
      </c>
    </row>
    <row r="223" spans="1:8" x14ac:dyDescent="0.25">
      <c r="A223" s="2" t="s">
        <v>352</v>
      </c>
      <c r="B223" s="3" t="s">
        <v>50</v>
      </c>
      <c r="C223" s="3" t="s">
        <v>353</v>
      </c>
      <c r="D223" s="116" t="s">
        <v>354</v>
      </c>
      <c r="E223" s="116"/>
      <c r="F223" s="3" t="s">
        <v>355</v>
      </c>
      <c r="G223" s="30">
        <v>1</v>
      </c>
      <c r="H223" s="64">
        <v>0</v>
      </c>
    </row>
    <row r="224" spans="1:8" x14ac:dyDescent="0.25">
      <c r="A224" s="60"/>
      <c r="D224" s="61" t="s">
        <v>53</v>
      </c>
      <c r="E224" s="127" t="s">
        <v>50</v>
      </c>
      <c r="F224" s="127"/>
      <c r="G224" s="62">
        <v>1</v>
      </c>
      <c r="H224" s="63"/>
    </row>
    <row r="225" spans="1:8" x14ac:dyDescent="0.25">
      <c r="A225" s="2" t="s">
        <v>357</v>
      </c>
      <c r="B225" s="3" t="s">
        <v>50</v>
      </c>
      <c r="C225" s="3" t="s">
        <v>358</v>
      </c>
      <c r="D225" s="116" t="s">
        <v>359</v>
      </c>
      <c r="E225" s="116"/>
      <c r="F225" s="3" t="s">
        <v>355</v>
      </c>
      <c r="G225" s="30">
        <v>1</v>
      </c>
      <c r="H225" s="64">
        <v>0</v>
      </c>
    </row>
    <row r="226" spans="1:8" x14ac:dyDescent="0.25">
      <c r="A226" s="60"/>
      <c r="D226" s="61" t="s">
        <v>53</v>
      </c>
      <c r="E226" s="127" t="s">
        <v>50</v>
      </c>
      <c r="F226" s="127"/>
      <c r="G226" s="62">
        <v>1</v>
      </c>
      <c r="H226" s="63"/>
    </row>
    <row r="227" spans="1:8" x14ac:dyDescent="0.25">
      <c r="A227" s="2" t="s">
        <v>360</v>
      </c>
      <c r="B227" s="3" t="s">
        <v>50</v>
      </c>
      <c r="C227" s="3" t="s">
        <v>361</v>
      </c>
      <c r="D227" s="116" t="s">
        <v>362</v>
      </c>
      <c r="E227" s="116"/>
      <c r="F227" s="3" t="s">
        <v>56</v>
      </c>
      <c r="G227" s="30">
        <v>2</v>
      </c>
      <c r="H227" s="64">
        <v>0</v>
      </c>
    </row>
    <row r="228" spans="1:8" x14ac:dyDescent="0.25">
      <c r="A228" s="60"/>
      <c r="D228" s="61" t="s">
        <v>61</v>
      </c>
      <c r="E228" s="127" t="s">
        <v>1036</v>
      </c>
      <c r="F228" s="127"/>
      <c r="G228" s="62">
        <v>2</v>
      </c>
      <c r="H228" s="63"/>
    </row>
    <row r="229" spans="1:8" x14ac:dyDescent="0.25">
      <c r="A229" s="2" t="s">
        <v>363</v>
      </c>
      <c r="B229" s="3" t="s">
        <v>50</v>
      </c>
      <c r="C229" s="3" t="s">
        <v>364</v>
      </c>
      <c r="D229" s="116" t="s">
        <v>365</v>
      </c>
      <c r="E229" s="116"/>
      <c r="F229" s="3" t="s">
        <v>355</v>
      </c>
      <c r="G229" s="30">
        <v>1</v>
      </c>
      <c r="H229" s="64">
        <v>0</v>
      </c>
    </row>
    <row r="230" spans="1:8" x14ac:dyDescent="0.25">
      <c r="A230" s="60"/>
      <c r="D230" s="61" t="s">
        <v>53</v>
      </c>
      <c r="E230" s="127" t="s">
        <v>50</v>
      </c>
      <c r="F230" s="127"/>
      <c r="G230" s="62">
        <v>1</v>
      </c>
      <c r="H230" s="63"/>
    </row>
    <row r="231" spans="1:8" x14ac:dyDescent="0.25">
      <c r="A231" s="2" t="s">
        <v>366</v>
      </c>
      <c r="B231" s="3" t="s">
        <v>50</v>
      </c>
      <c r="C231" s="3" t="s">
        <v>367</v>
      </c>
      <c r="D231" s="116" t="s">
        <v>368</v>
      </c>
      <c r="E231" s="116"/>
      <c r="F231" s="3" t="s">
        <v>355</v>
      </c>
      <c r="G231" s="30">
        <v>2</v>
      </c>
      <c r="H231" s="64">
        <v>0</v>
      </c>
    </row>
    <row r="232" spans="1:8" x14ac:dyDescent="0.25">
      <c r="A232" s="60"/>
      <c r="D232" s="61" t="s">
        <v>53</v>
      </c>
      <c r="E232" s="127" t="s">
        <v>1037</v>
      </c>
      <c r="F232" s="127"/>
      <c r="G232" s="62">
        <v>1</v>
      </c>
      <c r="H232" s="63"/>
    </row>
    <row r="233" spans="1:8" x14ac:dyDescent="0.25">
      <c r="A233" s="2" t="s">
        <v>50</v>
      </c>
      <c r="B233" s="3" t="s">
        <v>50</v>
      </c>
      <c r="C233" s="3" t="s">
        <v>50</v>
      </c>
      <c r="D233" s="61" t="s">
        <v>53</v>
      </c>
      <c r="E233" s="127" t="s">
        <v>1038</v>
      </c>
      <c r="F233" s="127"/>
      <c r="G233" s="62">
        <v>1</v>
      </c>
      <c r="H233" s="65" t="s">
        <v>50</v>
      </c>
    </row>
    <row r="234" spans="1:8" x14ac:dyDescent="0.25">
      <c r="A234" s="2" t="s">
        <v>369</v>
      </c>
      <c r="B234" s="3" t="s">
        <v>50</v>
      </c>
      <c r="C234" s="3" t="s">
        <v>370</v>
      </c>
      <c r="D234" s="116" t="s">
        <v>371</v>
      </c>
      <c r="E234" s="116"/>
      <c r="F234" s="3" t="s">
        <v>56</v>
      </c>
      <c r="G234" s="30">
        <v>2</v>
      </c>
      <c r="H234" s="64">
        <v>0</v>
      </c>
    </row>
    <row r="235" spans="1:8" x14ac:dyDescent="0.25">
      <c r="A235" s="60"/>
      <c r="D235" s="61" t="s">
        <v>53</v>
      </c>
      <c r="E235" s="127" t="s">
        <v>1037</v>
      </c>
      <c r="F235" s="127"/>
      <c r="G235" s="62">
        <v>1</v>
      </c>
      <c r="H235" s="63"/>
    </row>
    <row r="236" spans="1:8" x14ac:dyDescent="0.25">
      <c r="A236" s="2" t="s">
        <v>50</v>
      </c>
      <c r="B236" s="3" t="s">
        <v>50</v>
      </c>
      <c r="C236" s="3" t="s">
        <v>50</v>
      </c>
      <c r="D236" s="61" t="s">
        <v>53</v>
      </c>
      <c r="E236" s="127" t="s">
        <v>1038</v>
      </c>
      <c r="F236" s="127"/>
      <c r="G236" s="62">
        <v>1</v>
      </c>
      <c r="H236" s="65" t="s">
        <v>50</v>
      </c>
    </row>
    <row r="237" spans="1:8" x14ac:dyDescent="0.25">
      <c r="A237" s="2" t="s">
        <v>373</v>
      </c>
      <c r="B237" s="3" t="s">
        <v>50</v>
      </c>
      <c r="C237" s="3" t="s">
        <v>374</v>
      </c>
      <c r="D237" s="116" t="s">
        <v>375</v>
      </c>
      <c r="E237" s="116"/>
      <c r="F237" s="3" t="s">
        <v>56</v>
      </c>
      <c r="G237" s="30">
        <v>1</v>
      </c>
      <c r="H237" s="64">
        <v>0</v>
      </c>
    </row>
    <row r="238" spans="1:8" x14ac:dyDescent="0.25">
      <c r="A238" s="60"/>
      <c r="D238" s="61" t="s">
        <v>53</v>
      </c>
      <c r="E238" s="127" t="s">
        <v>1036</v>
      </c>
      <c r="F238" s="127"/>
      <c r="G238" s="62">
        <v>1</v>
      </c>
      <c r="H238" s="63"/>
    </row>
    <row r="239" spans="1:8" x14ac:dyDescent="0.25">
      <c r="A239" s="2" t="s">
        <v>376</v>
      </c>
      <c r="B239" s="3" t="s">
        <v>50</v>
      </c>
      <c r="C239" s="3" t="s">
        <v>377</v>
      </c>
      <c r="D239" s="116" t="s">
        <v>378</v>
      </c>
      <c r="E239" s="116"/>
      <c r="F239" s="3" t="s">
        <v>56</v>
      </c>
      <c r="G239" s="30">
        <v>1</v>
      </c>
      <c r="H239" s="64">
        <v>0</v>
      </c>
    </row>
    <row r="240" spans="1:8" x14ac:dyDescent="0.25">
      <c r="A240" s="60"/>
      <c r="D240" s="61" t="s">
        <v>53</v>
      </c>
      <c r="E240" s="127" t="s">
        <v>1036</v>
      </c>
      <c r="F240" s="127"/>
      <c r="G240" s="62">
        <v>1</v>
      </c>
      <c r="H240" s="63"/>
    </row>
    <row r="241" spans="1:8" x14ac:dyDescent="0.25">
      <c r="A241" s="2" t="s">
        <v>379</v>
      </c>
      <c r="B241" s="3" t="s">
        <v>50</v>
      </c>
      <c r="C241" s="3" t="s">
        <v>380</v>
      </c>
      <c r="D241" s="116" t="s">
        <v>381</v>
      </c>
      <c r="E241" s="116"/>
      <c r="F241" s="3" t="s">
        <v>56</v>
      </c>
      <c r="G241" s="30">
        <v>1</v>
      </c>
      <c r="H241" s="64">
        <v>0</v>
      </c>
    </row>
    <row r="242" spans="1:8" x14ac:dyDescent="0.25">
      <c r="A242" s="60"/>
      <c r="D242" s="61" t="s">
        <v>53</v>
      </c>
      <c r="E242" s="127" t="s">
        <v>1039</v>
      </c>
      <c r="F242" s="127"/>
      <c r="G242" s="62">
        <v>1</v>
      </c>
      <c r="H242" s="63"/>
    </row>
    <row r="243" spans="1:8" x14ac:dyDescent="0.25">
      <c r="A243" s="2" t="s">
        <v>382</v>
      </c>
      <c r="B243" s="3" t="s">
        <v>50</v>
      </c>
      <c r="C243" s="3" t="s">
        <v>383</v>
      </c>
      <c r="D243" s="116" t="s">
        <v>384</v>
      </c>
      <c r="E243" s="116"/>
      <c r="F243" s="3" t="s">
        <v>355</v>
      </c>
      <c r="G243" s="30">
        <v>2</v>
      </c>
      <c r="H243" s="64">
        <v>0</v>
      </c>
    </row>
    <row r="244" spans="1:8" x14ac:dyDescent="0.25">
      <c r="A244" s="60"/>
      <c r="D244" s="61" t="s">
        <v>61</v>
      </c>
      <c r="E244" s="127" t="s">
        <v>1040</v>
      </c>
      <c r="F244" s="127"/>
      <c r="G244" s="62">
        <v>2</v>
      </c>
      <c r="H244" s="63"/>
    </row>
    <row r="245" spans="1:8" x14ac:dyDescent="0.25">
      <c r="A245" s="2" t="s">
        <v>385</v>
      </c>
      <c r="B245" s="3" t="s">
        <v>50</v>
      </c>
      <c r="C245" s="3" t="s">
        <v>386</v>
      </c>
      <c r="D245" s="116" t="s">
        <v>387</v>
      </c>
      <c r="E245" s="116"/>
      <c r="F245" s="3" t="s">
        <v>355</v>
      </c>
      <c r="G245" s="30">
        <v>2</v>
      </c>
      <c r="H245" s="64">
        <v>0</v>
      </c>
    </row>
    <row r="246" spans="1:8" x14ac:dyDescent="0.25">
      <c r="A246" s="60"/>
      <c r="D246" s="61" t="s">
        <v>61</v>
      </c>
      <c r="E246" s="127" t="s">
        <v>1040</v>
      </c>
      <c r="F246" s="127"/>
      <c r="G246" s="62">
        <v>2</v>
      </c>
      <c r="H246" s="63"/>
    </row>
    <row r="247" spans="1:8" x14ac:dyDescent="0.25">
      <c r="A247" s="2" t="s">
        <v>388</v>
      </c>
      <c r="B247" s="3" t="s">
        <v>50</v>
      </c>
      <c r="C247" s="3" t="s">
        <v>389</v>
      </c>
      <c r="D247" s="116" t="s">
        <v>390</v>
      </c>
      <c r="E247" s="116"/>
      <c r="F247" s="3" t="s">
        <v>56</v>
      </c>
      <c r="G247" s="30">
        <v>2</v>
      </c>
      <c r="H247" s="64">
        <v>0</v>
      </c>
    </row>
    <row r="248" spans="1:8" x14ac:dyDescent="0.25">
      <c r="A248" s="60"/>
      <c r="D248" s="61" t="s">
        <v>61</v>
      </c>
      <c r="E248" s="127" t="s">
        <v>1040</v>
      </c>
      <c r="F248" s="127"/>
      <c r="G248" s="62">
        <v>2</v>
      </c>
      <c r="H248" s="63"/>
    </row>
    <row r="249" spans="1:8" x14ac:dyDescent="0.25">
      <c r="A249" s="2" t="s">
        <v>391</v>
      </c>
      <c r="B249" s="3" t="s">
        <v>50</v>
      </c>
      <c r="C249" s="3" t="s">
        <v>392</v>
      </c>
      <c r="D249" s="116" t="s">
        <v>393</v>
      </c>
      <c r="E249" s="116"/>
      <c r="F249" s="3" t="s">
        <v>56</v>
      </c>
      <c r="G249" s="30">
        <v>2</v>
      </c>
      <c r="H249" s="64">
        <v>0</v>
      </c>
    </row>
    <row r="250" spans="1:8" x14ac:dyDescent="0.25">
      <c r="A250" s="60"/>
      <c r="D250" s="61" t="s">
        <v>61</v>
      </c>
      <c r="E250" s="127" t="s">
        <v>1040</v>
      </c>
      <c r="F250" s="127"/>
      <c r="G250" s="62">
        <v>2</v>
      </c>
      <c r="H250" s="63"/>
    </row>
    <row r="251" spans="1:8" x14ac:dyDescent="0.25">
      <c r="A251" s="2" t="s">
        <v>394</v>
      </c>
      <c r="B251" s="3" t="s">
        <v>50</v>
      </c>
      <c r="C251" s="3" t="s">
        <v>395</v>
      </c>
      <c r="D251" s="116" t="s">
        <v>396</v>
      </c>
      <c r="E251" s="116"/>
      <c r="F251" s="3" t="s">
        <v>56</v>
      </c>
      <c r="G251" s="30">
        <v>2</v>
      </c>
      <c r="H251" s="64">
        <v>0</v>
      </c>
    </row>
    <row r="252" spans="1:8" x14ac:dyDescent="0.25">
      <c r="A252" s="60"/>
      <c r="D252" s="61" t="s">
        <v>61</v>
      </c>
      <c r="E252" s="127" t="s">
        <v>1041</v>
      </c>
      <c r="F252" s="127"/>
      <c r="G252" s="62">
        <v>2</v>
      </c>
      <c r="H252" s="63"/>
    </row>
    <row r="253" spans="1:8" x14ac:dyDescent="0.25">
      <c r="A253" s="2" t="s">
        <v>397</v>
      </c>
      <c r="B253" s="3" t="s">
        <v>50</v>
      </c>
      <c r="C253" s="3" t="s">
        <v>398</v>
      </c>
      <c r="D253" s="116" t="s">
        <v>399</v>
      </c>
      <c r="E253" s="116"/>
      <c r="F253" s="3" t="s">
        <v>56</v>
      </c>
      <c r="G253" s="30">
        <v>1</v>
      </c>
      <c r="H253" s="64">
        <v>0</v>
      </c>
    </row>
    <row r="254" spans="1:8" x14ac:dyDescent="0.25">
      <c r="A254" s="60"/>
      <c r="D254" s="61" t="s">
        <v>53</v>
      </c>
      <c r="E254" s="127" t="s">
        <v>1041</v>
      </c>
      <c r="F254" s="127"/>
      <c r="G254" s="62">
        <v>1</v>
      </c>
      <c r="H254" s="63"/>
    </row>
    <row r="255" spans="1:8" x14ac:dyDescent="0.25">
      <c r="A255" s="2" t="s">
        <v>400</v>
      </c>
      <c r="B255" s="3" t="s">
        <v>50</v>
      </c>
      <c r="C255" s="3" t="s">
        <v>401</v>
      </c>
      <c r="D255" s="116" t="s">
        <v>402</v>
      </c>
      <c r="E255" s="116"/>
      <c r="F255" s="3" t="s">
        <v>56</v>
      </c>
      <c r="G255" s="30">
        <v>1</v>
      </c>
      <c r="H255" s="64">
        <v>0</v>
      </c>
    </row>
    <row r="256" spans="1:8" x14ac:dyDescent="0.25">
      <c r="A256" s="60"/>
      <c r="D256" s="61" t="s">
        <v>53</v>
      </c>
      <c r="E256" s="127" t="s">
        <v>1037</v>
      </c>
      <c r="F256" s="127"/>
      <c r="G256" s="62">
        <v>1</v>
      </c>
      <c r="H256" s="63"/>
    </row>
    <row r="257" spans="1:8" x14ac:dyDescent="0.25">
      <c r="A257" s="2" t="s">
        <v>403</v>
      </c>
      <c r="B257" s="3" t="s">
        <v>50</v>
      </c>
      <c r="C257" s="3" t="s">
        <v>404</v>
      </c>
      <c r="D257" s="116" t="s">
        <v>405</v>
      </c>
      <c r="E257" s="116"/>
      <c r="F257" s="3" t="s">
        <v>56</v>
      </c>
      <c r="G257" s="30">
        <v>1</v>
      </c>
      <c r="H257" s="64">
        <v>0</v>
      </c>
    </row>
    <row r="258" spans="1:8" x14ac:dyDescent="0.25">
      <c r="A258" s="60"/>
      <c r="D258" s="61" t="s">
        <v>53</v>
      </c>
      <c r="E258" s="127" t="s">
        <v>1041</v>
      </c>
      <c r="F258" s="127"/>
      <c r="G258" s="62">
        <v>1</v>
      </c>
      <c r="H258" s="63"/>
    </row>
    <row r="259" spans="1:8" x14ac:dyDescent="0.25">
      <c r="A259" s="2" t="s">
        <v>406</v>
      </c>
      <c r="B259" s="3" t="s">
        <v>50</v>
      </c>
      <c r="C259" s="3" t="s">
        <v>407</v>
      </c>
      <c r="D259" s="116" t="s">
        <v>408</v>
      </c>
      <c r="E259" s="116"/>
      <c r="F259" s="3" t="s">
        <v>56</v>
      </c>
      <c r="G259" s="30">
        <v>1</v>
      </c>
      <c r="H259" s="64">
        <v>0</v>
      </c>
    </row>
    <row r="260" spans="1:8" x14ac:dyDescent="0.25">
      <c r="A260" s="60"/>
      <c r="D260" s="61" t="s">
        <v>53</v>
      </c>
      <c r="E260" s="127" t="s">
        <v>1041</v>
      </c>
      <c r="F260" s="127"/>
      <c r="G260" s="62">
        <v>1</v>
      </c>
      <c r="H260" s="63"/>
    </row>
    <row r="261" spans="1:8" x14ac:dyDescent="0.25">
      <c r="A261" s="2" t="s">
        <v>409</v>
      </c>
      <c r="B261" s="3" t="s">
        <v>50</v>
      </c>
      <c r="C261" s="3" t="s">
        <v>410</v>
      </c>
      <c r="D261" s="116" t="s">
        <v>411</v>
      </c>
      <c r="E261" s="116"/>
      <c r="F261" s="3" t="s">
        <v>56</v>
      </c>
      <c r="G261" s="30">
        <v>2</v>
      </c>
      <c r="H261" s="64">
        <v>0</v>
      </c>
    </row>
    <row r="262" spans="1:8" x14ac:dyDescent="0.25">
      <c r="A262" s="60"/>
      <c r="D262" s="61" t="s">
        <v>61</v>
      </c>
      <c r="E262" s="127" t="s">
        <v>1041</v>
      </c>
      <c r="F262" s="127"/>
      <c r="G262" s="62">
        <v>2</v>
      </c>
      <c r="H262" s="63"/>
    </row>
    <row r="263" spans="1:8" x14ac:dyDescent="0.25">
      <c r="A263" s="2" t="s">
        <v>412</v>
      </c>
      <c r="B263" s="3" t="s">
        <v>50</v>
      </c>
      <c r="C263" s="3" t="s">
        <v>413</v>
      </c>
      <c r="D263" s="116" t="s">
        <v>414</v>
      </c>
      <c r="E263" s="116"/>
      <c r="F263" s="3" t="s">
        <v>56</v>
      </c>
      <c r="G263" s="30">
        <v>2</v>
      </c>
      <c r="H263" s="64">
        <v>0</v>
      </c>
    </row>
    <row r="264" spans="1:8" x14ac:dyDescent="0.25">
      <c r="A264" s="60"/>
      <c r="D264" s="61" t="s">
        <v>61</v>
      </c>
      <c r="E264" s="127" t="s">
        <v>1041</v>
      </c>
      <c r="F264" s="127"/>
      <c r="G264" s="62">
        <v>2</v>
      </c>
      <c r="H264" s="63"/>
    </row>
    <row r="265" spans="1:8" x14ac:dyDescent="0.25">
      <c r="A265" s="2" t="s">
        <v>415</v>
      </c>
      <c r="B265" s="3" t="s">
        <v>50</v>
      </c>
      <c r="C265" s="3" t="s">
        <v>416</v>
      </c>
      <c r="D265" s="116" t="s">
        <v>417</v>
      </c>
      <c r="E265" s="116"/>
      <c r="F265" s="3" t="s">
        <v>56</v>
      </c>
      <c r="G265" s="30">
        <v>1</v>
      </c>
      <c r="H265" s="64">
        <v>0</v>
      </c>
    </row>
    <row r="266" spans="1:8" x14ac:dyDescent="0.25">
      <c r="A266" s="60"/>
      <c r="D266" s="61" t="s">
        <v>53</v>
      </c>
      <c r="E266" s="127" t="s">
        <v>1037</v>
      </c>
      <c r="F266" s="127"/>
      <c r="G266" s="62">
        <v>1</v>
      </c>
      <c r="H266" s="63"/>
    </row>
    <row r="267" spans="1:8" x14ac:dyDescent="0.25">
      <c r="A267" s="2" t="s">
        <v>418</v>
      </c>
      <c r="B267" s="3" t="s">
        <v>50</v>
      </c>
      <c r="C267" s="3" t="s">
        <v>419</v>
      </c>
      <c r="D267" s="116" t="s">
        <v>420</v>
      </c>
      <c r="E267" s="116"/>
      <c r="F267" s="3" t="s">
        <v>56</v>
      </c>
      <c r="G267" s="30">
        <v>1</v>
      </c>
      <c r="H267" s="64">
        <v>0</v>
      </c>
    </row>
    <row r="268" spans="1:8" x14ac:dyDescent="0.25">
      <c r="A268" s="60"/>
      <c r="D268" s="61" t="s">
        <v>53</v>
      </c>
      <c r="E268" s="127" t="s">
        <v>1037</v>
      </c>
      <c r="F268" s="127"/>
      <c r="G268" s="62">
        <v>1</v>
      </c>
      <c r="H268" s="63"/>
    </row>
    <row r="269" spans="1:8" x14ac:dyDescent="0.25">
      <c r="A269" s="2" t="s">
        <v>421</v>
      </c>
      <c r="B269" s="3" t="s">
        <v>50</v>
      </c>
      <c r="C269" s="3" t="s">
        <v>422</v>
      </c>
      <c r="D269" s="116" t="s">
        <v>423</v>
      </c>
      <c r="E269" s="116"/>
      <c r="F269" s="3" t="s">
        <v>355</v>
      </c>
      <c r="G269" s="30">
        <v>1</v>
      </c>
      <c r="H269" s="64">
        <v>0</v>
      </c>
    </row>
    <row r="270" spans="1:8" x14ac:dyDescent="0.25">
      <c r="A270" s="60"/>
      <c r="D270" s="61" t="s">
        <v>53</v>
      </c>
      <c r="E270" s="127" t="s">
        <v>1038</v>
      </c>
      <c r="F270" s="127"/>
      <c r="G270" s="62">
        <v>1</v>
      </c>
      <c r="H270" s="63"/>
    </row>
    <row r="271" spans="1:8" x14ac:dyDescent="0.25">
      <c r="A271" s="2" t="s">
        <v>424</v>
      </c>
      <c r="B271" s="3" t="s">
        <v>50</v>
      </c>
      <c r="C271" s="3" t="s">
        <v>425</v>
      </c>
      <c r="D271" s="116" t="s">
        <v>426</v>
      </c>
      <c r="E271" s="116"/>
      <c r="F271" s="3" t="s">
        <v>56</v>
      </c>
      <c r="G271" s="30">
        <v>1</v>
      </c>
      <c r="H271" s="64">
        <v>0</v>
      </c>
    </row>
    <row r="272" spans="1:8" x14ac:dyDescent="0.25">
      <c r="A272" s="60"/>
      <c r="D272" s="61" t="s">
        <v>53</v>
      </c>
      <c r="E272" s="127" t="s">
        <v>1038</v>
      </c>
      <c r="F272" s="127"/>
      <c r="G272" s="62">
        <v>1</v>
      </c>
      <c r="H272" s="63"/>
    </row>
    <row r="273" spans="1:8" x14ac:dyDescent="0.25">
      <c r="A273" s="2" t="s">
        <v>427</v>
      </c>
      <c r="B273" s="3" t="s">
        <v>50</v>
      </c>
      <c r="C273" s="3" t="s">
        <v>428</v>
      </c>
      <c r="D273" s="116" t="s">
        <v>429</v>
      </c>
      <c r="E273" s="116"/>
      <c r="F273" s="3" t="s">
        <v>56</v>
      </c>
      <c r="G273" s="30">
        <v>1</v>
      </c>
      <c r="H273" s="64">
        <v>0</v>
      </c>
    </row>
    <row r="274" spans="1:8" x14ac:dyDescent="0.25">
      <c r="A274" s="60"/>
      <c r="D274" s="61" t="s">
        <v>53</v>
      </c>
      <c r="E274" s="127" t="s">
        <v>1038</v>
      </c>
      <c r="F274" s="127"/>
      <c r="G274" s="62">
        <v>1</v>
      </c>
      <c r="H274" s="63"/>
    </row>
    <row r="275" spans="1:8" x14ac:dyDescent="0.25">
      <c r="A275" s="2" t="s">
        <v>430</v>
      </c>
      <c r="B275" s="3" t="s">
        <v>50</v>
      </c>
      <c r="C275" s="3" t="s">
        <v>431</v>
      </c>
      <c r="D275" s="116" t="s">
        <v>432</v>
      </c>
      <c r="E275" s="116"/>
      <c r="F275" s="3" t="s">
        <v>355</v>
      </c>
      <c r="G275" s="30">
        <v>1</v>
      </c>
      <c r="H275" s="64">
        <v>0</v>
      </c>
    </row>
    <row r="276" spans="1:8" x14ac:dyDescent="0.25">
      <c r="A276" s="60"/>
      <c r="D276" s="61" t="s">
        <v>53</v>
      </c>
      <c r="E276" s="127" t="s">
        <v>1038</v>
      </c>
      <c r="F276" s="127"/>
      <c r="G276" s="62">
        <v>1</v>
      </c>
      <c r="H276" s="63"/>
    </row>
    <row r="277" spans="1:8" x14ac:dyDescent="0.25">
      <c r="A277" s="2" t="s">
        <v>433</v>
      </c>
      <c r="B277" s="3" t="s">
        <v>50</v>
      </c>
      <c r="C277" s="3" t="s">
        <v>434</v>
      </c>
      <c r="D277" s="116" t="s">
        <v>435</v>
      </c>
      <c r="E277" s="116"/>
      <c r="F277" s="3" t="s">
        <v>64</v>
      </c>
      <c r="G277" s="30">
        <v>1</v>
      </c>
      <c r="H277" s="64">
        <v>0</v>
      </c>
    </row>
    <row r="278" spans="1:8" x14ac:dyDescent="0.25">
      <c r="A278" s="60"/>
      <c r="D278" s="61" t="s">
        <v>53</v>
      </c>
      <c r="E278" s="127" t="s">
        <v>1042</v>
      </c>
      <c r="F278" s="127"/>
      <c r="G278" s="62">
        <v>1</v>
      </c>
      <c r="H278" s="63"/>
    </row>
    <row r="279" spans="1:8" x14ac:dyDescent="0.25">
      <c r="A279" s="2" t="s">
        <v>436</v>
      </c>
      <c r="B279" s="3" t="s">
        <v>50</v>
      </c>
      <c r="C279" s="3" t="s">
        <v>437</v>
      </c>
      <c r="D279" s="116" t="s">
        <v>438</v>
      </c>
      <c r="E279" s="116"/>
      <c r="F279" s="3" t="s">
        <v>56</v>
      </c>
      <c r="G279" s="30">
        <v>2</v>
      </c>
      <c r="H279" s="64">
        <v>0</v>
      </c>
    </row>
    <row r="280" spans="1:8" x14ac:dyDescent="0.25">
      <c r="A280" s="60"/>
      <c r="D280" s="61" t="s">
        <v>61</v>
      </c>
      <c r="E280" s="127" t="s">
        <v>1043</v>
      </c>
      <c r="F280" s="127"/>
      <c r="G280" s="62">
        <v>2</v>
      </c>
      <c r="H280" s="63"/>
    </row>
    <row r="281" spans="1:8" x14ac:dyDescent="0.25">
      <c r="A281" s="2" t="s">
        <v>439</v>
      </c>
      <c r="B281" s="3" t="s">
        <v>50</v>
      </c>
      <c r="C281" s="3" t="s">
        <v>440</v>
      </c>
      <c r="D281" s="116" t="s">
        <v>441</v>
      </c>
      <c r="E281" s="116"/>
      <c r="F281" s="3" t="s">
        <v>56</v>
      </c>
      <c r="G281" s="30">
        <v>1</v>
      </c>
      <c r="H281" s="64">
        <v>0</v>
      </c>
    </row>
    <row r="282" spans="1:8" x14ac:dyDescent="0.25">
      <c r="A282" s="60"/>
      <c r="D282" s="61" t="s">
        <v>53</v>
      </c>
      <c r="E282" s="127" t="s">
        <v>1044</v>
      </c>
      <c r="F282" s="127"/>
      <c r="G282" s="62">
        <v>1</v>
      </c>
      <c r="H282" s="63"/>
    </row>
    <row r="283" spans="1:8" x14ac:dyDescent="0.25">
      <c r="A283" s="2" t="s">
        <v>442</v>
      </c>
      <c r="B283" s="3" t="s">
        <v>50</v>
      </c>
      <c r="C283" s="3" t="s">
        <v>443</v>
      </c>
      <c r="D283" s="116" t="s">
        <v>444</v>
      </c>
      <c r="E283" s="116"/>
      <c r="F283" s="3" t="s">
        <v>56</v>
      </c>
      <c r="G283" s="30">
        <v>1</v>
      </c>
      <c r="H283" s="64">
        <v>0</v>
      </c>
    </row>
    <row r="284" spans="1:8" x14ac:dyDescent="0.25">
      <c r="A284" s="60"/>
      <c r="D284" s="61" t="s">
        <v>53</v>
      </c>
      <c r="E284" s="127" t="s">
        <v>50</v>
      </c>
      <c r="F284" s="127"/>
      <c r="G284" s="62">
        <v>1</v>
      </c>
      <c r="H284" s="63"/>
    </row>
    <row r="285" spans="1:8" x14ac:dyDescent="0.25">
      <c r="A285" s="2" t="s">
        <v>445</v>
      </c>
      <c r="B285" s="3" t="s">
        <v>50</v>
      </c>
      <c r="C285" s="3" t="s">
        <v>446</v>
      </c>
      <c r="D285" s="116" t="s">
        <v>447</v>
      </c>
      <c r="E285" s="116"/>
      <c r="F285" s="3" t="s">
        <v>56</v>
      </c>
      <c r="G285" s="30">
        <v>1</v>
      </c>
      <c r="H285" s="64">
        <v>0</v>
      </c>
    </row>
    <row r="286" spans="1:8" x14ac:dyDescent="0.25">
      <c r="A286" s="60"/>
      <c r="D286" s="61" t="s">
        <v>53</v>
      </c>
      <c r="E286" s="127" t="s">
        <v>1045</v>
      </c>
      <c r="F286" s="127"/>
      <c r="G286" s="62">
        <v>1</v>
      </c>
      <c r="H286" s="63"/>
    </row>
    <row r="287" spans="1:8" x14ac:dyDescent="0.25">
      <c r="A287" s="2" t="s">
        <v>449</v>
      </c>
      <c r="B287" s="3" t="s">
        <v>50</v>
      </c>
      <c r="C287" s="3" t="s">
        <v>450</v>
      </c>
      <c r="D287" s="116" t="s">
        <v>451</v>
      </c>
      <c r="E287" s="116"/>
      <c r="F287" s="3" t="s">
        <v>56</v>
      </c>
      <c r="G287" s="30">
        <v>2</v>
      </c>
      <c r="H287" s="64">
        <v>0</v>
      </c>
    </row>
    <row r="288" spans="1:8" x14ac:dyDescent="0.25">
      <c r="A288" s="60"/>
      <c r="D288" s="61" t="s">
        <v>61</v>
      </c>
      <c r="E288" s="127" t="s">
        <v>1037</v>
      </c>
      <c r="F288" s="127"/>
      <c r="G288" s="62">
        <v>2</v>
      </c>
      <c r="H288" s="63"/>
    </row>
    <row r="289" spans="1:8" x14ac:dyDescent="0.25">
      <c r="A289" s="2" t="s">
        <v>452</v>
      </c>
      <c r="B289" s="3" t="s">
        <v>50</v>
      </c>
      <c r="C289" s="3" t="s">
        <v>453</v>
      </c>
      <c r="D289" s="116" t="s">
        <v>454</v>
      </c>
      <c r="E289" s="116"/>
      <c r="F289" s="3" t="s">
        <v>109</v>
      </c>
      <c r="G289" s="30">
        <v>0.63432999999999995</v>
      </c>
      <c r="H289" s="64">
        <v>0</v>
      </c>
    </row>
    <row r="290" spans="1:8" x14ac:dyDescent="0.25">
      <c r="A290" s="2" t="s">
        <v>457</v>
      </c>
      <c r="B290" s="3" t="s">
        <v>50</v>
      </c>
      <c r="C290" s="3" t="s">
        <v>458</v>
      </c>
      <c r="D290" s="116" t="s">
        <v>459</v>
      </c>
      <c r="E290" s="116"/>
      <c r="F290" s="3" t="s">
        <v>56</v>
      </c>
      <c r="G290" s="30">
        <v>1</v>
      </c>
      <c r="H290" s="64">
        <v>0</v>
      </c>
    </row>
    <row r="291" spans="1:8" x14ac:dyDescent="0.25">
      <c r="A291" s="60"/>
      <c r="D291" s="61" t="s">
        <v>53</v>
      </c>
      <c r="E291" s="127" t="s">
        <v>1046</v>
      </c>
      <c r="F291" s="127"/>
      <c r="G291" s="62">
        <v>1</v>
      </c>
      <c r="H291" s="63"/>
    </row>
    <row r="292" spans="1:8" x14ac:dyDescent="0.25">
      <c r="A292" s="2" t="s">
        <v>461</v>
      </c>
      <c r="B292" s="3" t="s">
        <v>50</v>
      </c>
      <c r="C292" s="3" t="s">
        <v>260</v>
      </c>
      <c r="D292" s="116" t="s">
        <v>462</v>
      </c>
      <c r="E292" s="116"/>
      <c r="F292" s="3" t="s">
        <v>99</v>
      </c>
      <c r="G292" s="30">
        <v>9.1999999999999993</v>
      </c>
      <c r="H292" s="64">
        <v>0</v>
      </c>
    </row>
    <row r="293" spans="1:8" x14ac:dyDescent="0.25">
      <c r="A293" s="60"/>
      <c r="D293" s="61" t="s">
        <v>1047</v>
      </c>
      <c r="E293" s="127" t="s">
        <v>1048</v>
      </c>
      <c r="F293" s="127"/>
      <c r="G293" s="62">
        <v>3.8</v>
      </c>
      <c r="H293" s="63"/>
    </row>
    <row r="294" spans="1:8" x14ac:dyDescent="0.25">
      <c r="A294" s="2" t="s">
        <v>50</v>
      </c>
      <c r="B294" s="3" t="s">
        <v>50</v>
      </c>
      <c r="C294" s="3" t="s">
        <v>50</v>
      </c>
      <c r="D294" s="61" t="s">
        <v>1049</v>
      </c>
      <c r="E294" s="127" t="s">
        <v>1050</v>
      </c>
      <c r="F294" s="127"/>
      <c r="G294" s="62">
        <v>2.1</v>
      </c>
      <c r="H294" s="65" t="s">
        <v>50</v>
      </c>
    </row>
    <row r="295" spans="1:8" x14ac:dyDescent="0.25">
      <c r="A295" s="2" t="s">
        <v>50</v>
      </c>
      <c r="B295" s="3" t="s">
        <v>50</v>
      </c>
      <c r="C295" s="3" t="s">
        <v>50</v>
      </c>
      <c r="D295" s="61" t="s">
        <v>1051</v>
      </c>
      <c r="E295" s="127" t="s">
        <v>1052</v>
      </c>
      <c r="F295" s="127"/>
      <c r="G295" s="62">
        <v>3.3</v>
      </c>
      <c r="H295" s="65" t="s">
        <v>50</v>
      </c>
    </row>
    <row r="296" spans="1:8" x14ac:dyDescent="0.25">
      <c r="A296" s="2" t="s">
        <v>463</v>
      </c>
      <c r="B296" s="3" t="s">
        <v>50</v>
      </c>
      <c r="C296" s="3" t="s">
        <v>464</v>
      </c>
      <c r="D296" s="116" t="s">
        <v>465</v>
      </c>
      <c r="E296" s="116"/>
      <c r="F296" s="3" t="s">
        <v>99</v>
      </c>
      <c r="G296" s="30">
        <v>1.75</v>
      </c>
      <c r="H296" s="64">
        <v>0</v>
      </c>
    </row>
    <row r="297" spans="1:8" x14ac:dyDescent="0.25">
      <c r="A297" s="60"/>
      <c r="D297" s="61" t="s">
        <v>1053</v>
      </c>
      <c r="E297" s="127" t="s">
        <v>1054</v>
      </c>
      <c r="F297" s="127"/>
      <c r="G297" s="62">
        <v>1.75</v>
      </c>
      <c r="H297" s="63"/>
    </row>
    <row r="298" spans="1:8" x14ac:dyDescent="0.25">
      <c r="A298" s="2" t="s">
        <v>466</v>
      </c>
      <c r="B298" s="3" t="s">
        <v>50</v>
      </c>
      <c r="C298" s="3" t="s">
        <v>271</v>
      </c>
      <c r="D298" s="116" t="s">
        <v>272</v>
      </c>
      <c r="E298" s="116"/>
      <c r="F298" s="3" t="s">
        <v>56</v>
      </c>
      <c r="G298" s="30">
        <v>2</v>
      </c>
      <c r="H298" s="64">
        <v>0</v>
      </c>
    </row>
    <row r="299" spans="1:8" x14ac:dyDescent="0.25">
      <c r="A299" s="60"/>
      <c r="D299" s="61" t="s">
        <v>61</v>
      </c>
      <c r="E299" s="127" t="s">
        <v>1054</v>
      </c>
      <c r="F299" s="127"/>
      <c r="G299" s="62">
        <v>2</v>
      </c>
      <c r="H299" s="63"/>
    </row>
    <row r="300" spans="1:8" x14ac:dyDescent="0.25">
      <c r="A300" s="2" t="s">
        <v>467</v>
      </c>
      <c r="B300" s="3" t="s">
        <v>50</v>
      </c>
      <c r="C300" s="3" t="s">
        <v>468</v>
      </c>
      <c r="D300" s="116" t="s">
        <v>469</v>
      </c>
      <c r="E300" s="116"/>
      <c r="F300" s="3" t="s">
        <v>56</v>
      </c>
      <c r="G300" s="30">
        <v>2</v>
      </c>
      <c r="H300" s="64">
        <v>0</v>
      </c>
    </row>
    <row r="301" spans="1:8" x14ac:dyDescent="0.25">
      <c r="A301" s="60"/>
      <c r="D301" s="61" t="s">
        <v>61</v>
      </c>
      <c r="E301" s="127" t="s">
        <v>1055</v>
      </c>
      <c r="F301" s="127"/>
      <c r="G301" s="62">
        <v>2</v>
      </c>
      <c r="H301" s="63"/>
    </row>
    <row r="302" spans="1:8" x14ac:dyDescent="0.25">
      <c r="A302" s="2" t="s">
        <v>470</v>
      </c>
      <c r="B302" s="3" t="s">
        <v>50</v>
      </c>
      <c r="C302" s="3" t="s">
        <v>471</v>
      </c>
      <c r="D302" s="116" t="s">
        <v>472</v>
      </c>
      <c r="E302" s="116"/>
      <c r="F302" s="3" t="s">
        <v>56</v>
      </c>
      <c r="G302" s="30">
        <v>2</v>
      </c>
      <c r="H302" s="64">
        <v>0</v>
      </c>
    </row>
    <row r="303" spans="1:8" x14ac:dyDescent="0.25">
      <c r="A303" s="60"/>
      <c r="D303" s="61" t="s">
        <v>61</v>
      </c>
      <c r="E303" s="127" t="s">
        <v>1055</v>
      </c>
      <c r="F303" s="127"/>
      <c r="G303" s="62">
        <v>2</v>
      </c>
      <c r="H303" s="63"/>
    </row>
    <row r="304" spans="1:8" x14ac:dyDescent="0.25">
      <c r="A304" s="2" t="s">
        <v>473</v>
      </c>
      <c r="B304" s="3" t="s">
        <v>50</v>
      </c>
      <c r="C304" s="3" t="s">
        <v>474</v>
      </c>
      <c r="D304" s="116" t="s">
        <v>475</v>
      </c>
      <c r="E304" s="116"/>
      <c r="F304" s="3" t="s">
        <v>56</v>
      </c>
      <c r="G304" s="30">
        <v>2</v>
      </c>
      <c r="H304" s="64">
        <v>0</v>
      </c>
    </row>
    <row r="305" spans="1:8" x14ac:dyDescent="0.25">
      <c r="A305" s="60"/>
      <c r="D305" s="61" t="s">
        <v>61</v>
      </c>
      <c r="E305" s="127" t="s">
        <v>1056</v>
      </c>
      <c r="F305" s="127"/>
      <c r="G305" s="62">
        <v>2</v>
      </c>
      <c r="H305" s="63"/>
    </row>
    <row r="306" spans="1:8" x14ac:dyDescent="0.25">
      <c r="A306" s="2" t="s">
        <v>476</v>
      </c>
      <c r="B306" s="3" t="s">
        <v>50</v>
      </c>
      <c r="C306" s="3" t="s">
        <v>477</v>
      </c>
      <c r="D306" s="116" t="s">
        <v>478</v>
      </c>
      <c r="E306" s="116"/>
      <c r="F306" s="3" t="s">
        <v>56</v>
      </c>
      <c r="G306" s="30">
        <v>2</v>
      </c>
      <c r="H306" s="64">
        <v>0</v>
      </c>
    </row>
    <row r="307" spans="1:8" x14ac:dyDescent="0.25">
      <c r="A307" s="60"/>
      <c r="D307" s="61" t="s">
        <v>61</v>
      </c>
      <c r="E307" s="127" t="s">
        <v>1056</v>
      </c>
      <c r="F307" s="127"/>
      <c r="G307" s="62">
        <v>2</v>
      </c>
      <c r="H307" s="63"/>
    </row>
    <row r="308" spans="1:8" x14ac:dyDescent="0.25">
      <c r="A308" s="2" t="s">
        <v>479</v>
      </c>
      <c r="B308" s="3" t="s">
        <v>50</v>
      </c>
      <c r="C308" s="3" t="s">
        <v>480</v>
      </c>
      <c r="D308" s="116" t="s">
        <v>481</v>
      </c>
      <c r="E308" s="116"/>
      <c r="F308" s="3" t="s">
        <v>56</v>
      </c>
      <c r="G308" s="30">
        <v>2</v>
      </c>
      <c r="H308" s="64">
        <v>0</v>
      </c>
    </row>
    <row r="309" spans="1:8" x14ac:dyDescent="0.25">
      <c r="A309" s="60"/>
      <c r="D309" s="61" t="s">
        <v>61</v>
      </c>
      <c r="E309" s="127" t="s">
        <v>1057</v>
      </c>
      <c r="F309" s="127"/>
      <c r="G309" s="62">
        <v>2</v>
      </c>
      <c r="H309" s="63"/>
    </row>
    <row r="310" spans="1:8" x14ac:dyDescent="0.25">
      <c r="A310" s="2" t="s">
        <v>482</v>
      </c>
      <c r="B310" s="3" t="s">
        <v>50</v>
      </c>
      <c r="C310" s="3" t="s">
        <v>483</v>
      </c>
      <c r="D310" s="116" t="s">
        <v>484</v>
      </c>
      <c r="E310" s="116"/>
      <c r="F310" s="3" t="s">
        <v>56</v>
      </c>
      <c r="G310" s="30">
        <v>2</v>
      </c>
      <c r="H310" s="64">
        <v>0</v>
      </c>
    </row>
    <row r="311" spans="1:8" x14ac:dyDescent="0.25">
      <c r="A311" s="60"/>
      <c r="D311" s="61" t="s">
        <v>61</v>
      </c>
      <c r="E311" s="127" t="s">
        <v>1057</v>
      </c>
      <c r="F311" s="127"/>
      <c r="G311" s="62">
        <v>2</v>
      </c>
      <c r="H311" s="63"/>
    </row>
    <row r="312" spans="1:8" x14ac:dyDescent="0.25">
      <c r="A312" s="2" t="s">
        <v>485</v>
      </c>
      <c r="B312" s="3" t="s">
        <v>50</v>
      </c>
      <c r="C312" s="3" t="s">
        <v>486</v>
      </c>
      <c r="D312" s="116" t="s">
        <v>487</v>
      </c>
      <c r="E312" s="116"/>
      <c r="F312" s="3" t="s">
        <v>109</v>
      </c>
      <c r="G312" s="30">
        <v>1.7979999999999999E-2</v>
      </c>
      <c r="H312" s="64">
        <v>0</v>
      </c>
    </row>
    <row r="313" spans="1:8" x14ac:dyDescent="0.25">
      <c r="A313" s="2" t="s">
        <v>490</v>
      </c>
      <c r="B313" s="3" t="s">
        <v>50</v>
      </c>
      <c r="C313" s="3" t="s">
        <v>491</v>
      </c>
      <c r="D313" s="116" t="s">
        <v>492</v>
      </c>
      <c r="E313" s="116"/>
      <c r="F313" s="3" t="s">
        <v>355</v>
      </c>
      <c r="G313" s="30">
        <v>1</v>
      </c>
      <c r="H313" s="64">
        <v>0</v>
      </c>
    </row>
    <row r="314" spans="1:8" x14ac:dyDescent="0.25">
      <c r="A314" s="60"/>
      <c r="D314" s="61" t="s">
        <v>53</v>
      </c>
      <c r="E314" s="127" t="s">
        <v>1058</v>
      </c>
      <c r="F314" s="127"/>
      <c r="G314" s="62">
        <v>1</v>
      </c>
      <c r="H314" s="63"/>
    </row>
    <row r="315" spans="1:8" x14ac:dyDescent="0.25">
      <c r="A315" s="2" t="s">
        <v>495</v>
      </c>
      <c r="B315" s="3" t="s">
        <v>50</v>
      </c>
      <c r="C315" s="3" t="s">
        <v>496</v>
      </c>
      <c r="D315" s="116" t="s">
        <v>497</v>
      </c>
      <c r="E315" s="116"/>
      <c r="F315" s="3" t="s">
        <v>56</v>
      </c>
      <c r="G315" s="30">
        <v>1</v>
      </c>
      <c r="H315" s="64">
        <v>0</v>
      </c>
    </row>
    <row r="316" spans="1:8" x14ac:dyDescent="0.25">
      <c r="A316" s="60"/>
      <c r="D316" s="61" t="s">
        <v>53</v>
      </c>
      <c r="E316" s="127" t="s">
        <v>50</v>
      </c>
      <c r="F316" s="127"/>
      <c r="G316" s="62">
        <v>1</v>
      </c>
      <c r="H316" s="63"/>
    </row>
    <row r="317" spans="1:8" x14ac:dyDescent="0.25">
      <c r="A317" s="2" t="s">
        <v>498</v>
      </c>
      <c r="B317" s="3" t="s">
        <v>50</v>
      </c>
      <c r="C317" s="3" t="s">
        <v>499</v>
      </c>
      <c r="D317" s="116" t="s">
        <v>500</v>
      </c>
      <c r="E317" s="116"/>
      <c r="F317" s="3" t="s">
        <v>56</v>
      </c>
      <c r="G317" s="30">
        <v>1</v>
      </c>
      <c r="H317" s="64">
        <v>0</v>
      </c>
    </row>
    <row r="318" spans="1:8" x14ac:dyDescent="0.25">
      <c r="A318" s="60"/>
      <c r="D318" s="61" t="s">
        <v>53</v>
      </c>
      <c r="E318" s="127" t="s">
        <v>1058</v>
      </c>
      <c r="F318" s="127"/>
      <c r="G318" s="62">
        <v>1</v>
      </c>
      <c r="H318" s="63"/>
    </row>
    <row r="319" spans="1:8" x14ac:dyDescent="0.25">
      <c r="A319" s="2" t="s">
        <v>501</v>
      </c>
      <c r="B319" s="3" t="s">
        <v>50</v>
      </c>
      <c r="C319" s="3" t="s">
        <v>502</v>
      </c>
      <c r="D319" s="116" t="s">
        <v>503</v>
      </c>
      <c r="E319" s="116"/>
      <c r="F319" s="3" t="s">
        <v>56</v>
      </c>
      <c r="G319" s="30">
        <v>1</v>
      </c>
      <c r="H319" s="64">
        <v>0</v>
      </c>
    </row>
    <row r="320" spans="1:8" x14ac:dyDescent="0.25">
      <c r="A320" s="60"/>
      <c r="D320" s="61" t="s">
        <v>53</v>
      </c>
      <c r="E320" s="127" t="s">
        <v>1058</v>
      </c>
      <c r="F320" s="127"/>
      <c r="G320" s="62">
        <v>1</v>
      </c>
      <c r="H320" s="63"/>
    </row>
    <row r="321" spans="1:8" x14ac:dyDescent="0.25">
      <c r="A321" s="2" t="s">
        <v>504</v>
      </c>
      <c r="B321" s="3" t="s">
        <v>50</v>
      </c>
      <c r="C321" s="3" t="s">
        <v>505</v>
      </c>
      <c r="D321" s="116" t="s">
        <v>506</v>
      </c>
      <c r="E321" s="116"/>
      <c r="F321" s="3" t="s">
        <v>507</v>
      </c>
      <c r="G321" s="30">
        <v>1</v>
      </c>
      <c r="H321" s="64">
        <v>0</v>
      </c>
    </row>
    <row r="322" spans="1:8" x14ac:dyDescent="0.25">
      <c r="A322" s="60"/>
      <c r="D322" s="61" t="s">
        <v>53</v>
      </c>
      <c r="E322" s="127" t="s">
        <v>1058</v>
      </c>
      <c r="F322" s="127"/>
      <c r="G322" s="62">
        <v>1</v>
      </c>
      <c r="H322" s="63"/>
    </row>
    <row r="323" spans="1:8" x14ac:dyDescent="0.25">
      <c r="A323" s="2" t="s">
        <v>508</v>
      </c>
      <c r="B323" s="3" t="s">
        <v>50</v>
      </c>
      <c r="C323" s="3" t="s">
        <v>509</v>
      </c>
      <c r="D323" s="116" t="s">
        <v>510</v>
      </c>
      <c r="E323" s="116"/>
      <c r="F323" s="3" t="s">
        <v>507</v>
      </c>
      <c r="G323" s="30">
        <v>1</v>
      </c>
      <c r="H323" s="64">
        <v>0</v>
      </c>
    </row>
    <row r="324" spans="1:8" x14ac:dyDescent="0.25">
      <c r="A324" s="60"/>
      <c r="D324" s="61" t="s">
        <v>53</v>
      </c>
      <c r="E324" s="127" t="s">
        <v>1058</v>
      </c>
      <c r="F324" s="127"/>
      <c r="G324" s="62">
        <v>1</v>
      </c>
      <c r="H324" s="63"/>
    </row>
    <row r="325" spans="1:8" x14ac:dyDescent="0.25">
      <c r="A325" s="2" t="s">
        <v>511</v>
      </c>
      <c r="B325" s="3" t="s">
        <v>50</v>
      </c>
      <c r="C325" s="3" t="s">
        <v>512</v>
      </c>
      <c r="D325" s="116" t="s">
        <v>513</v>
      </c>
      <c r="E325" s="116"/>
      <c r="F325" s="3" t="s">
        <v>56</v>
      </c>
      <c r="G325" s="30">
        <v>5</v>
      </c>
      <c r="H325" s="64">
        <v>0</v>
      </c>
    </row>
    <row r="326" spans="1:8" x14ac:dyDescent="0.25">
      <c r="A326" s="60"/>
      <c r="D326" s="61" t="s">
        <v>71</v>
      </c>
      <c r="E326" s="127" t="s">
        <v>1058</v>
      </c>
      <c r="F326" s="127"/>
      <c r="G326" s="62">
        <v>5</v>
      </c>
      <c r="H326" s="63"/>
    </row>
    <row r="327" spans="1:8" x14ac:dyDescent="0.25">
      <c r="A327" s="2" t="s">
        <v>514</v>
      </c>
      <c r="B327" s="3" t="s">
        <v>50</v>
      </c>
      <c r="C327" s="3" t="s">
        <v>515</v>
      </c>
      <c r="D327" s="116" t="s">
        <v>516</v>
      </c>
      <c r="E327" s="116"/>
      <c r="F327" s="3" t="s">
        <v>109</v>
      </c>
      <c r="G327" s="30">
        <v>6.5740000000000007E-2</v>
      </c>
      <c r="H327" s="64">
        <v>0</v>
      </c>
    </row>
    <row r="328" spans="1:8" x14ac:dyDescent="0.25">
      <c r="A328" s="2" t="s">
        <v>519</v>
      </c>
      <c r="B328" s="3" t="s">
        <v>50</v>
      </c>
      <c r="C328" s="3" t="s">
        <v>520</v>
      </c>
      <c r="D328" s="116" t="s">
        <v>521</v>
      </c>
      <c r="E328" s="116"/>
      <c r="F328" s="3" t="s">
        <v>355</v>
      </c>
      <c r="G328" s="30">
        <v>1</v>
      </c>
      <c r="H328" s="64">
        <v>0</v>
      </c>
    </row>
    <row r="329" spans="1:8" x14ac:dyDescent="0.25">
      <c r="A329" s="60"/>
      <c r="D329" s="61" t="s">
        <v>53</v>
      </c>
      <c r="E329" s="127" t="s">
        <v>1058</v>
      </c>
      <c r="F329" s="127"/>
      <c r="G329" s="62">
        <v>1</v>
      </c>
      <c r="H329" s="63"/>
    </row>
    <row r="330" spans="1:8" x14ac:dyDescent="0.25">
      <c r="A330" s="2" t="s">
        <v>525</v>
      </c>
      <c r="B330" s="3" t="s">
        <v>50</v>
      </c>
      <c r="C330" s="3" t="s">
        <v>526</v>
      </c>
      <c r="D330" s="116" t="s">
        <v>527</v>
      </c>
      <c r="E330" s="116"/>
      <c r="F330" s="3" t="s">
        <v>99</v>
      </c>
      <c r="G330" s="30">
        <v>78.3</v>
      </c>
      <c r="H330" s="64">
        <v>0</v>
      </c>
    </row>
    <row r="331" spans="1:8" x14ac:dyDescent="0.25">
      <c r="A331" s="60"/>
      <c r="D331" s="61" t="s">
        <v>945</v>
      </c>
      <c r="E331" s="127" t="s">
        <v>1059</v>
      </c>
      <c r="F331" s="127"/>
      <c r="G331" s="62">
        <v>78.3</v>
      </c>
      <c r="H331" s="63"/>
    </row>
    <row r="332" spans="1:8" x14ac:dyDescent="0.25">
      <c r="A332" s="2" t="s">
        <v>529</v>
      </c>
      <c r="B332" s="3" t="s">
        <v>50</v>
      </c>
      <c r="C332" s="3" t="s">
        <v>530</v>
      </c>
      <c r="D332" s="116" t="s">
        <v>531</v>
      </c>
      <c r="E332" s="116"/>
      <c r="F332" s="3" t="s">
        <v>99</v>
      </c>
      <c r="G332" s="30">
        <v>78.3</v>
      </c>
      <c r="H332" s="64">
        <v>0</v>
      </c>
    </row>
    <row r="333" spans="1:8" x14ac:dyDescent="0.25">
      <c r="A333" s="60"/>
      <c r="D333" s="61" t="s">
        <v>945</v>
      </c>
      <c r="E333" s="127" t="s">
        <v>50</v>
      </c>
      <c r="F333" s="127"/>
      <c r="G333" s="62">
        <v>78.3</v>
      </c>
      <c r="H333" s="63"/>
    </row>
    <row r="334" spans="1:8" x14ac:dyDescent="0.25">
      <c r="A334" s="2" t="s">
        <v>533</v>
      </c>
      <c r="B334" s="3" t="s">
        <v>50</v>
      </c>
      <c r="C334" s="3" t="s">
        <v>534</v>
      </c>
      <c r="D334" s="116" t="s">
        <v>535</v>
      </c>
      <c r="E334" s="116"/>
      <c r="F334" s="3" t="s">
        <v>99</v>
      </c>
      <c r="G334" s="30">
        <v>78.3</v>
      </c>
      <c r="H334" s="64">
        <v>0</v>
      </c>
    </row>
    <row r="335" spans="1:8" x14ac:dyDescent="0.25">
      <c r="A335" s="60"/>
      <c r="D335" s="61" t="s">
        <v>945</v>
      </c>
      <c r="E335" s="127" t="s">
        <v>50</v>
      </c>
      <c r="F335" s="127"/>
      <c r="G335" s="62">
        <v>78.3</v>
      </c>
      <c r="H335" s="63"/>
    </row>
    <row r="336" spans="1:8" x14ac:dyDescent="0.25">
      <c r="A336" s="2" t="s">
        <v>536</v>
      </c>
      <c r="B336" s="3" t="s">
        <v>50</v>
      </c>
      <c r="C336" s="3" t="s">
        <v>537</v>
      </c>
      <c r="D336" s="116" t="s">
        <v>538</v>
      </c>
      <c r="E336" s="116"/>
      <c r="F336" s="3" t="s">
        <v>109</v>
      </c>
      <c r="G336" s="30">
        <v>7.0470000000000005E-2</v>
      </c>
      <c r="H336" s="64">
        <v>0</v>
      </c>
    </row>
    <row r="337" spans="1:8" x14ac:dyDescent="0.25">
      <c r="A337" s="2" t="s">
        <v>541</v>
      </c>
      <c r="B337" s="3" t="s">
        <v>50</v>
      </c>
      <c r="C337" s="3" t="s">
        <v>542</v>
      </c>
      <c r="D337" s="116" t="s">
        <v>543</v>
      </c>
      <c r="E337" s="116"/>
      <c r="F337" s="3" t="s">
        <v>56</v>
      </c>
      <c r="G337" s="30">
        <v>7</v>
      </c>
      <c r="H337" s="64">
        <v>0</v>
      </c>
    </row>
    <row r="338" spans="1:8" x14ac:dyDescent="0.25">
      <c r="A338" s="60"/>
      <c r="D338" s="61" t="s">
        <v>77</v>
      </c>
      <c r="E338" s="127" t="s">
        <v>1060</v>
      </c>
      <c r="F338" s="127"/>
      <c r="G338" s="62">
        <v>7</v>
      </c>
      <c r="H338" s="63"/>
    </row>
    <row r="339" spans="1:8" x14ac:dyDescent="0.25">
      <c r="A339" s="2" t="s">
        <v>546</v>
      </c>
      <c r="B339" s="3" t="s">
        <v>50</v>
      </c>
      <c r="C339" s="3" t="s">
        <v>547</v>
      </c>
      <c r="D339" s="116" t="s">
        <v>548</v>
      </c>
      <c r="E339" s="116"/>
      <c r="F339" s="3" t="s">
        <v>56</v>
      </c>
      <c r="G339" s="30">
        <v>7</v>
      </c>
      <c r="H339" s="64">
        <v>0</v>
      </c>
    </row>
    <row r="340" spans="1:8" x14ac:dyDescent="0.25">
      <c r="A340" s="60"/>
      <c r="D340" s="61" t="s">
        <v>77</v>
      </c>
      <c r="E340" s="127" t="s">
        <v>1060</v>
      </c>
      <c r="F340" s="127"/>
      <c r="G340" s="62">
        <v>7</v>
      </c>
      <c r="H340" s="63"/>
    </row>
    <row r="341" spans="1:8" x14ac:dyDescent="0.25">
      <c r="A341" s="2" t="s">
        <v>549</v>
      </c>
      <c r="B341" s="3" t="s">
        <v>50</v>
      </c>
      <c r="C341" s="3" t="s">
        <v>550</v>
      </c>
      <c r="D341" s="116" t="s">
        <v>551</v>
      </c>
      <c r="E341" s="116"/>
      <c r="F341" s="3" t="s">
        <v>56</v>
      </c>
      <c r="G341" s="30">
        <v>1</v>
      </c>
      <c r="H341" s="64">
        <v>0</v>
      </c>
    </row>
    <row r="342" spans="1:8" x14ac:dyDescent="0.25">
      <c r="A342" s="60"/>
      <c r="D342" s="61" t="s">
        <v>53</v>
      </c>
      <c r="E342" s="127" t="s">
        <v>50</v>
      </c>
      <c r="F342" s="127"/>
      <c r="G342" s="62">
        <v>1</v>
      </c>
      <c r="H342" s="63"/>
    </row>
    <row r="343" spans="1:8" x14ac:dyDescent="0.25">
      <c r="A343" s="2" t="s">
        <v>552</v>
      </c>
      <c r="B343" s="3" t="s">
        <v>50</v>
      </c>
      <c r="C343" s="3" t="s">
        <v>553</v>
      </c>
      <c r="D343" s="116" t="s">
        <v>554</v>
      </c>
      <c r="E343" s="116"/>
      <c r="F343" s="3" t="s">
        <v>56</v>
      </c>
      <c r="G343" s="30">
        <v>4</v>
      </c>
      <c r="H343" s="64">
        <v>0</v>
      </c>
    </row>
    <row r="344" spans="1:8" x14ac:dyDescent="0.25">
      <c r="A344" s="60"/>
      <c r="D344" s="61" t="s">
        <v>68</v>
      </c>
      <c r="E344" s="127" t="s">
        <v>50</v>
      </c>
      <c r="F344" s="127"/>
      <c r="G344" s="62">
        <v>4</v>
      </c>
      <c r="H344" s="63"/>
    </row>
    <row r="345" spans="1:8" x14ac:dyDescent="0.25">
      <c r="A345" s="2" t="s">
        <v>555</v>
      </c>
      <c r="B345" s="3" t="s">
        <v>50</v>
      </c>
      <c r="C345" s="3" t="s">
        <v>556</v>
      </c>
      <c r="D345" s="116" t="s">
        <v>557</v>
      </c>
      <c r="E345" s="116"/>
      <c r="F345" s="3" t="s">
        <v>56</v>
      </c>
      <c r="G345" s="30">
        <v>1</v>
      </c>
      <c r="H345" s="64">
        <v>0</v>
      </c>
    </row>
    <row r="346" spans="1:8" x14ac:dyDescent="0.25">
      <c r="A346" s="60"/>
      <c r="D346" s="61" t="s">
        <v>53</v>
      </c>
      <c r="E346" s="127" t="s">
        <v>50</v>
      </c>
      <c r="F346" s="127"/>
      <c r="G346" s="62">
        <v>1</v>
      </c>
      <c r="H346" s="63"/>
    </row>
    <row r="347" spans="1:8" x14ac:dyDescent="0.25">
      <c r="A347" s="2" t="s">
        <v>558</v>
      </c>
      <c r="B347" s="3" t="s">
        <v>50</v>
      </c>
      <c r="C347" s="3" t="s">
        <v>559</v>
      </c>
      <c r="D347" s="116" t="s">
        <v>560</v>
      </c>
      <c r="E347" s="116"/>
      <c r="F347" s="3" t="s">
        <v>56</v>
      </c>
      <c r="G347" s="30">
        <v>1</v>
      </c>
      <c r="H347" s="64">
        <v>0</v>
      </c>
    </row>
    <row r="348" spans="1:8" x14ac:dyDescent="0.25">
      <c r="A348" s="60"/>
      <c r="D348" s="61" t="s">
        <v>53</v>
      </c>
      <c r="E348" s="127" t="s">
        <v>1058</v>
      </c>
      <c r="F348" s="127"/>
      <c r="G348" s="62">
        <v>1</v>
      </c>
      <c r="H348" s="63"/>
    </row>
    <row r="349" spans="1:8" x14ac:dyDescent="0.25">
      <c r="A349" s="2" t="s">
        <v>561</v>
      </c>
      <c r="B349" s="3" t="s">
        <v>50</v>
      </c>
      <c r="C349" s="3" t="s">
        <v>562</v>
      </c>
      <c r="D349" s="116" t="s">
        <v>563</v>
      </c>
      <c r="E349" s="116"/>
      <c r="F349" s="3" t="s">
        <v>56</v>
      </c>
      <c r="G349" s="30">
        <v>14</v>
      </c>
      <c r="H349" s="64">
        <v>0</v>
      </c>
    </row>
    <row r="350" spans="1:8" x14ac:dyDescent="0.25">
      <c r="A350" s="60"/>
      <c r="D350" s="61" t="s">
        <v>103</v>
      </c>
      <c r="E350" s="127" t="s">
        <v>1058</v>
      </c>
      <c r="F350" s="127"/>
      <c r="G350" s="62">
        <v>14</v>
      </c>
      <c r="H350" s="63"/>
    </row>
    <row r="351" spans="1:8" x14ac:dyDescent="0.25">
      <c r="A351" s="2" t="s">
        <v>564</v>
      </c>
      <c r="B351" s="3" t="s">
        <v>50</v>
      </c>
      <c r="C351" s="3" t="s">
        <v>565</v>
      </c>
      <c r="D351" s="116" t="s">
        <v>566</v>
      </c>
      <c r="E351" s="116"/>
      <c r="F351" s="3" t="s">
        <v>109</v>
      </c>
      <c r="G351" s="30">
        <v>8.5299999999999994E-3</v>
      </c>
      <c r="H351" s="64">
        <v>0</v>
      </c>
    </row>
    <row r="352" spans="1:8" x14ac:dyDescent="0.25">
      <c r="A352" s="2" t="s">
        <v>569</v>
      </c>
      <c r="B352" s="3" t="s">
        <v>50</v>
      </c>
      <c r="C352" s="3" t="s">
        <v>570</v>
      </c>
      <c r="D352" s="116" t="s">
        <v>571</v>
      </c>
      <c r="E352" s="116"/>
      <c r="F352" s="3" t="s">
        <v>56</v>
      </c>
      <c r="G352" s="30">
        <v>5</v>
      </c>
      <c r="H352" s="64">
        <v>0</v>
      </c>
    </row>
    <row r="353" spans="1:8" x14ac:dyDescent="0.25">
      <c r="A353" s="60"/>
      <c r="D353" s="61" t="s">
        <v>71</v>
      </c>
      <c r="E353" s="127" t="s">
        <v>1061</v>
      </c>
      <c r="F353" s="127"/>
      <c r="G353" s="62">
        <v>5</v>
      </c>
      <c r="H353" s="63"/>
    </row>
    <row r="354" spans="1:8" x14ac:dyDescent="0.25">
      <c r="A354" s="2" t="s">
        <v>573</v>
      </c>
      <c r="B354" s="3" t="s">
        <v>50</v>
      </c>
      <c r="C354" s="3" t="s">
        <v>574</v>
      </c>
      <c r="D354" s="116" t="s">
        <v>575</v>
      </c>
      <c r="E354" s="116"/>
      <c r="F354" s="3" t="s">
        <v>56</v>
      </c>
      <c r="G354" s="30">
        <v>1</v>
      </c>
      <c r="H354" s="64">
        <v>0</v>
      </c>
    </row>
    <row r="355" spans="1:8" x14ac:dyDescent="0.25">
      <c r="A355" s="60"/>
      <c r="D355" s="61" t="s">
        <v>53</v>
      </c>
      <c r="E355" s="127" t="s">
        <v>1062</v>
      </c>
      <c r="F355" s="127"/>
      <c r="G355" s="62">
        <v>1</v>
      </c>
      <c r="H355" s="63"/>
    </row>
    <row r="356" spans="1:8" x14ac:dyDescent="0.25">
      <c r="A356" s="2" t="s">
        <v>577</v>
      </c>
      <c r="B356" s="3" t="s">
        <v>50</v>
      </c>
      <c r="C356" s="3" t="s">
        <v>578</v>
      </c>
      <c r="D356" s="116" t="s">
        <v>579</v>
      </c>
      <c r="E356" s="116"/>
      <c r="F356" s="3" t="s">
        <v>56</v>
      </c>
      <c r="G356" s="30">
        <v>5</v>
      </c>
      <c r="H356" s="64">
        <v>0</v>
      </c>
    </row>
    <row r="357" spans="1:8" x14ac:dyDescent="0.25">
      <c r="A357" s="60"/>
      <c r="D357" s="61" t="s">
        <v>71</v>
      </c>
      <c r="E357" s="127" t="s">
        <v>1060</v>
      </c>
      <c r="F357" s="127"/>
      <c r="G357" s="62">
        <v>5</v>
      </c>
      <c r="H357" s="63"/>
    </row>
    <row r="358" spans="1:8" x14ac:dyDescent="0.25">
      <c r="A358" s="2" t="s">
        <v>580</v>
      </c>
      <c r="B358" s="3" t="s">
        <v>50</v>
      </c>
      <c r="C358" s="3" t="s">
        <v>581</v>
      </c>
      <c r="D358" s="116" t="s">
        <v>582</v>
      </c>
      <c r="E358" s="116"/>
      <c r="F358" s="3" t="s">
        <v>56</v>
      </c>
      <c r="G358" s="30">
        <v>1</v>
      </c>
      <c r="H358" s="64">
        <v>0</v>
      </c>
    </row>
    <row r="359" spans="1:8" x14ac:dyDescent="0.25">
      <c r="A359" s="60"/>
      <c r="D359" s="61" t="s">
        <v>53</v>
      </c>
      <c r="E359" s="127" t="s">
        <v>1060</v>
      </c>
      <c r="F359" s="127"/>
      <c r="G359" s="62">
        <v>1</v>
      </c>
      <c r="H359" s="63"/>
    </row>
    <row r="360" spans="1:8" x14ac:dyDescent="0.25">
      <c r="A360" s="2" t="s">
        <v>583</v>
      </c>
      <c r="B360" s="3" t="s">
        <v>50</v>
      </c>
      <c r="C360" s="3" t="s">
        <v>584</v>
      </c>
      <c r="D360" s="116" t="s">
        <v>585</v>
      </c>
      <c r="E360" s="116"/>
      <c r="F360" s="3" t="s">
        <v>109</v>
      </c>
      <c r="G360" s="30">
        <v>1.7479999999999999E-2</v>
      </c>
      <c r="H360" s="64">
        <v>0</v>
      </c>
    </row>
    <row r="361" spans="1:8" x14ac:dyDescent="0.25">
      <c r="A361" s="2" t="s">
        <v>588</v>
      </c>
      <c r="B361" s="3" t="s">
        <v>50</v>
      </c>
      <c r="C361" s="3" t="s">
        <v>589</v>
      </c>
      <c r="D361" s="116" t="s">
        <v>590</v>
      </c>
      <c r="E361" s="116"/>
      <c r="F361" s="3" t="s">
        <v>56</v>
      </c>
      <c r="G361" s="30">
        <v>1</v>
      </c>
      <c r="H361" s="64">
        <v>0</v>
      </c>
    </row>
    <row r="362" spans="1:8" x14ac:dyDescent="0.25">
      <c r="A362" s="60"/>
      <c r="D362" s="61" t="s">
        <v>53</v>
      </c>
      <c r="E362" s="127" t="s">
        <v>1063</v>
      </c>
      <c r="F362" s="127"/>
      <c r="G362" s="62">
        <v>1</v>
      </c>
      <c r="H362" s="63"/>
    </row>
    <row r="363" spans="1:8" x14ac:dyDescent="0.25">
      <c r="A363" s="2" t="s">
        <v>593</v>
      </c>
      <c r="B363" s="3" t="s">
        <v>50</v>
      </c>
      <c r="C363" s="3" t="s">
        <v>594</v>
      </c>
      <c r="D363" s="116" t="s">
        <v>595</v>
      </c>
      <c r="E363" s="116"/>
      <c r="F363" s="3" t="s">
        <v>64</v>
      </c>
      <c r="G363" s="30">
        <v>4.3</v>
      </c>
      <c r="H363" s="64">
        <v>0</v>
      </c>
    </row>
    <row r="364" spans="1:8" x14ac:dyDescent="0.25">
      <c r="A364" s="60"/>
      <c r="D364" s="61" t="s">
        <v>1064</v>
      </c>
      <c r="E364" s="127" t="s">
        <v>1063</v>
      </c>
      <c r="F364" s="127"/>
      <c r="G364" s="62">
        <v>4.3</v>
      </c>
      <c r="H364" s="63"/>
    </row>
    <row r="365" spans="1:8" x14ac:dyDescent="0.25">
      <c r="A365" s="2" t="s">
        <v>596</v>
      </c>
      <c r="B365" s="3" t="s">
        <v>50</v>
      </c>
      <c r="C365" s="3" t="s">
        <v>597</v>
      </c>
      <c r="D365" s="116" t="s">
        <v>598</v>
      </c>
      <c r="E365" s="116"/>
      <c r="F365" s="3" t="s">
        <v>109</v>
      </c>
      <c r="G365" s="30">
        <v>2.0600000000000002E-3</v>
      </c>
      <c r="H365" s="64">
        <v>0</v>
      </c>
    </row>
    <row r="366" spans="1:8" x14ac:dyDescent="0.25">
      <c r="A366" s="2" t="s">
        <v>601</v>
      </c>
      <c r="B366" s="3" t="s">
        <v>50</v>
      </c>
      <c r="C366" s="3" t="s">
        <v>602</v>
      </c>
      <c r="D366" s="116" t="s">
        <v>603</v>
      </c>
      <c r="E366" s="116"/>
      <c r="F366" s="3" t="s">
        <v>64</v>
      </c>
      <c r="G366" s="30">
        <v>1.25</v>
      </c>
      <c r="H366" s="64">
        <v>0</v>
      </c>
    </row>
    <row r="367" spans="1:8" x14ac:dyDescent="0.25">
      <c r="A367" s="60"/>
      <c r="D367" s="61" t="s">
        <v>1065</v>
      </c>
      <c r="E367" s="127" t="s">
        <v>1066</v>
      </c>
      <c r="F367" s="127"/>
      <c r="G367" s="62">
        <v>1.25</v>
      </c>
      <c r="H367" s="63"/>
    </row>
    <row r="368" spans="1:8" x14ac:dyDescent="0.25">
      <c r="A368" s="2" t="s">
        <v>607</v>
      </c>
      <c r="B368" s="3" t="s">
        <v>50</v>
      </c>
      <c r="C368" s="3" t="s">
        <v>608</v>
      </c>
      <c r="D368" s="116" t="s">
        <v>609</v>
      </c>
      <c r="E368" s="116"/>
      <c r="F368" s="3" t="s">
        <v>64</v>
      </c>
      <c r="G368" s="30">
        <v>1.25</v>
      </c>
      <c r="H368" s="64">
        <v>0</v>
      </c>
    </row>
    <row r="369" spans="1:8" x14ac:dyDescent="0.25">
      <c r="A369" s="60"/>
      <c r="D369" s="61" t="s">
        <v>1065</v>
      </c>
      <c r="E369" s="127" t="s">
        <v>1066</v>
      </c>
      <c r="F369" s="127"/>
      <c r="G369" s="62">
        <v>1.25</v>
      </c>
      <c r="H369" s="63"/>
    </row>
    <row r="370" spans="1:8" x14ac:dyDescent="0.25">
      <c r="A370" s="2" t="s">
        <v>610</v>
      </c>
      <c r="B370" s="3" t="s">
        <v>50</v>
      </c>
      <c r="C370" s="3" t="s">
        <v>611</v>
      </c>
      <c r="D370" s="116" t="s">
        <v>612</v>
      </c>
      <c r="E370" s="116"/>
      <c r="F370" s="3" t="s">
        <v>109</v>
      </c>
      <c r="G370" s="30">
        <v>3.533E-2</v>
      </c>
      <c r="H370" s="64">
        <v>0</v>
      </c>
    </row>
    <row r="371" spans="1:8" x14ac:dyDescent="0.25">
      <c r="A371" s="2" t="s">
        <v>615</v>
      </c>
      <c r="B371" s="3" t="s">
        <v>50</v>
      </c>
      <c r="C371" s="3" t="s">
        <v>616</v>
      </c>
      <c r="D371" s="116" t="s">
        <v>617</v>
      </c>
      <c r="E371" s="116"/>
      <c r="F371" s="3" t="s">
        <v>64</v>
      </c>
      <c r="G371" s="30">
        <v>13.5489</v>
      </c>
      <c r="H371" s="64">
        <v>0</v>
      </c>
    </row>
    <row r="372" spans="1:8" x14ac:dyDescent="0.25">
      <c r="A372" s="60"/>
      <c r="D372" s="61" t="s">
        <v>1067</v>
      </c>
      <c r="E372" s="127" t="s">
        <v>1068</v>
      </c>
      <c r="F372" s="127"/>
      <c r="G372" s="62">
        <v>13.5489</v>
      </c>
      <c r="H372" s="63"/>
    </row>
    <row r="373" spans="1:8" x14ac:dyDescent="0.25">
      <c r="A373" s="2" t="s">
        <v>620</v>
      </c>
      <c r="B373" s="3" t="s">
        <v>50</v>
      </c>
      <c r="C373" s="3" t="s">
        <v>621</v>
      </c>
      <c r="D373" s="116" t="s">
        <v>622</v>
      </c>
      <c r="E373" s="116"/>
      <c r="F373" s="3" t="s">
        <v>56</v>
      </c>
      <c r="G373" s="30">
        <v>1</v>
      </c>
      <c r="H373" s="64">
        <v>0</v>
      </c>
    </row>
    <row r="374" spans="1:8" x14ac:dyDescent="0.25">
      <c r="A374" s="60"/>
      <c r="D374" s="61" t="s">
        <v>53</v>
      </c>
      <c r="E374" s="127" t="s">
        <v>1069</v>
      </c>
      <c r="F374" s="127"/>
      <c r="G374" s="62">
        <v>1</v>
      </c>
      <c r="H374" s="63"/>
    </row>
    <row r="375" spans="1:8" x14ac:dyDescent="0.25">
      <c r="A375" s="2" t="s">
        <v>623</v>
      </c>
      <c r="B375" s="3" t="s">
        <v>50</v>
      </c>
      <c r="C375" s="3" t="s">
        <v>624</v>
      </c>
      <c r="D375" s="116" t="s">
        <v>625</v>
      </c>
      <c r="E375" s="116"/>
      <c r="F375" s="3" t="s">
        <v>56</v>
      </c>
      <c r="G375" s="30">
        <v>1</v>
      </c>
      <c r="H375" s="64">
        <v>0</v>
      </c>
    </row>
    <row r="376" spans="1:8" x14ac:dyDescent="0.25">
      <c r="A376" s="60"/>
      <c r="D376" s="61" t="s">
        <v>53</v>
      </c>
      <c r="E376" s="127" t="s">
        <v>1070</v>
      </c>
      <c r="F376" s="127"/>
      <c r="G376" s="62">
        <v>1</v>
      </c>
      <c r="H376" s="63"/>
    </row>
    <row r="377" spans="1:8" x14ac:dyDescent="0.25">
      <c r="A377" s="2" t="s">
        <v>627</v>
      </c>
      <c r="B377" s="3" t="s">
        <v>50</v>
      </c>
      <c r="C377" s="3" t="s">
        <v>628</v>
      </c>
      <c r="D377" s="116" t="s">
        <v>625</v>
      </c>
      <c r="E377" s="116"/>
      <c r="F377" s="3" t="s">
        <v>56</v>
      </c>
      <c r="G377" s="30">
        <v>1</v>
      </c>
      <c r="H377" s="64">
        <v>0</v>
      </c>
    </row>
    <row r="378" spans="1:8" x14ac:dyDescent="0.25">
      <c r="A378" s="60"/>
      <c r="D378" s="61" t="s">
        <v>53</v>
      </c>
      <c r="E378" s="127" t="s">
        <v>1070</v>
      </c>
      <c r="F378" s="127"/>
      <c r="G378" s="62">
        <v>1</v>
      </c>
      <c r="H378" s="63"/>
    </row>
    <row r="379" spans="1:8" x14ac:dyDescent="0.25">
      <c r="A379" s="2" t="s">
        <v>630</v>
      </c>
      <c r="B379" s="3" t="s">
        <v>50</v>
      </c>
      <c r="C379" s="3" t="s">
        <v>631</v>
      </c>
      <c r="D379" s="116" t="s">
        <v>632</v>
      </c>
      <c r="E379" s="116"/>
      <c r="F379" s="3" t="s">
        <v>56</v>
      </c>
      <c r="G379" s="30">
        <v>2</v>
      </c>
      <c r="H379" s="64">
        <v>0</v>
      </c>
    </row>
    <row r="380" spans="1:8" x14ac:dyDescent="0.25">
      <c r="A380" s="60"/>
      <c r="D380" s="61" t="s">
        <v>61</v>
      </c>
      <c r="E380" s="127" t="s">
        <v>1071</v>
      </c>
      <c r="F380" s="127"/>
      <c r="G380" s="62">
        <v>2</v>
      </c>
      <c r="H380" s="63"/>
    </row>
    <row r="381" spans="1:8" x14ac:dyDescent="0.25">
      <c r="A381" s="2" t="s">
        <v>633</v>
      </c>
      <c r="B381" s="3" t="s">
        <v>50</v>
      </c>
      <c r="C381" s="3" t="s">
        <v>634</v>
      </c>
      <c r="D381" s="116" t="s">
        <v>635</v>
      </c>
      <c r="E381" s="116"/>
      <c r="F381" s="3" t="s">
        <v>64</v>
      </c>
      <c r="G381" s="30">
        <v>1</v>
      </c>
      <c r="H381" s="64">
        <v>0</v>
      </c>
    </row>
    <row r="382" spans="1:8" x14ac:dyDescent="0.25">
      <c r="A382" s="60"/>
      <c r="D382" s="61" t="s">
        <v>53</v>
      </c>
      <c r="E382" s="127" t="s">
        <v>1071</v>
      </c>
      <c r="F382" s="127"/>
      <c r="G382" s="62">
        <v>1</v>
      </c>
      <c r="H382" s="63"/>
    </row>
    <row r="383" spans="1:8" x14ac:dyDescent="0.25">
      <c r="A383" s="2" t="s">
        <v>637</v>
      </c>
      <c r="B383" s="3" t="s">
        <v>50</v>
      </c>
      <c r="C383" s="3" t="s">
        <v>638</v>
      </c>
      <c r="D383" s="116" t="s">
        <v>639</v>
      </c>
      <c r="E383" s="116"/>
      <c r="F383" s="3" t="s">
        <v>109</v>
      </c>
      <c r="G383" s="30">
        <v>1.0843499999999999</v>
      </c>
      <c r="H383" s="64">
        <v>0</v>
      </c>
    </row>
    <row r="384" spans="1:8" x14ac:dyDescent="0.25">
      <c r="A384" s="2" t="s">
        <v>642</v>
      </c>
      <c r="B384" s="3" t="s">
        <v>50</v>
      </c>
      <c r="C384" s="3" t="s">
        <v>643</v>
      </c>
      <c r="D384" s="116" t="s">
        <v>644</v>
      </c>
      <c r="E384" s="116"/>
      <c r="F384" s="3" t="s">
        <v>80</v>
      </c>
      <c r="G384" s="30">
        <v>3.4845000000000002</v>
      </c>
      <c r="H384" s="64">
        <v>0</v>
      </c>
    </row>
    <row r="385" spans="1:8" x14ac:dyDescent="0.25">
      <c r="A385" s="60"/>
      <c r="D385" s="61" t="s">
        <v>1072</v>
      </c>
      <c r="E385" s="127" t="s">
        <v>1073</v>
      </c>
      <c r="F385" s="127"/>
      <c r="G385" s="62">
        <v>3.4845000000000002</v>
      </c>
      <c r="H385" s="63"/>
    </row>
    <row r="386" spans="1:8" x14ac:dyDescent="0.25">
      <c r="A386" s="2" t="s">
        <v>647</v>
      </c>
      <c r="B386" s="3" t="s">
        <v>50</v>
      </c>
      <c r="C386" s="3" t="s">
        <v>648</v>
      </c>
      <c r="D386" s="116" t="s">
        <v>649</v>
      </c>
      <c r="E386" s="116"/>
      <c r="F386" s="3" t="s">
        <v>64</v>
      </c>
      <c r="G386" s="30">
        <v>4.74</v>
      </c>
      <c r="H386" s="64">
        <v>0</v>
      </c>
    </row>
    <row r="387" spans="1:8" x14ac:dyDescent="0.25">
      <c r="A387" s="60"/>
      <c r="D387" s="61" t="s">
        <v>1074</v>
      </c>
      <c r="E387" s="127" t="s">
        <v>1075</v>
      </c>
      <c r="F387" s="127"/>
      <c r="G387" s="62">
        <v>4.74</v>
      </c>
      <c r="H387" s="63"/>
    </row>
    <row r="388" spans="1:8" x14ac:dyDescent="0.25">
      <c r="A388" s="2" t="s">
        <v>650</v>
      </c>
      <c r="B388" s="3" t="s">
        <v>50</v>
      </c>
      <c r="C388" s="3" t="s">
        <v>107</v>
      </c>
      <c r="D388" s="116" t="s">
        <v>108</v>
      </c>
      <c r="E388" s="116"/>
      <c r="F388" s="3" t="s">
        <v>109</v>
      </c>
      <c r="G388" s="30">
        <v>0.30809999999999998</v>
      </c>
      <c r="H388" s="64">
        <v>0</v>
      </c>
    </row>
    <row r="389" spans="1:8" x14ac:dyDescent="0.25">
      <c r="A389" s="2" t="s">
        <v>651</v>
      </c>
      <c r="B389" s="3" t="s">
        <v>50</v>
      </c>
      <c r="C389" s="3" t="s">
        <v>111</v>
      </c>
      <c r="D389" s="116" t="s">
        <v>112</v>
      </c>
      <c r="E389" s="116"/>
      <c r="F389" s="3" t="s">
        <v>109</v>
      </c>
      <c r="G389" s="30">
        <v>7.9740000000000002</v>
      </c>
      <c r="H389" s="64">
        <v>0</v>
      </c>
    </row>
    <row r="390" spans="1:8" x14ac:dyDescent="0.25">
      <c r="A390" s="2" t="s">
        <v>652</v>
      </c>
      <c r="B390" s="3" t="s">
        <v>50</v>
      </c>
      <c r="C390" s="3" t="s">
        <v>176</v>
      </c>
      <c r="D390" s="116" t="s">
        <v>177</v>
      </c>
      <c r="E390" s="116"/>
      <c r="F390" s="3" t="s">
        <v>109</v>
      </c>
      <c r="G390" s="30">
        <v>7.9740000000000002</v>
      </c>
      <c r="H390" s="64">
        <v>0</v>
      </c>
    </row>
    <row r="391" spans="1:8" x14ac:dyDescent="0.25">
      <c r="A391" s="60"/>
      <c r="D391" s="61" t="s">
        <v>1076</v>
      </c>
      <c r="E391" s="127" t="s">
        <v>50</v>
      </c>
      <c r="F391" s="127"/>
      <c r="G391" s="62">
        <v>7.9740000000000002</v>
      </c>
      <c r="H391" s="63"/>
    </row>
    <row r="392" spans="1:8" x14ac:dyDescent="0.25">
      <c r="A392" s="2" t="s">
        <v>653</v>
      </c>
      <c r="B392" s="3" t="s">
        <v>50</v>
      </c>
      <c r="C392" s="3" t="s">
        <v>654</v>
      </c>
      <c r="D392" s="116" t="s">
        <v>655</v>
      </c>
      <c r="E392" s="116"/>
      <c r="F392" s="3" t="s">
        <v>64</v>
      </c>
      <c r="G392" s="30">
        <v>30.71</v>
      </c>
      <c r="H392" s="64">
        <v>0</v>
      </c>
    </row>
    <row r="393" spans="1:8" x14ac:dyDescent="0.25">
      <c r="A393" s="60"/>
      <c r="D393" s="61" t="s">
        <v>1077</v>
      </c>
      <c r="E393" s="127" t="s">
        <v>1078</v>
      </c>
      <c r="F393" s="127"/>
      <c r="G393" s="62">
        <v>21.15</v>
      </c>
      <c r="H393" s="63"/>
    </row>
    <row r="394" spans="1:8" x14ac:dyDescent="0.25">
      <c r="A394" s="2" t="s">
        <v>50</v>
      </c>
      <c r="B394" s="3" t="s">
        <v>50</v>
      </c>
      <c r="C394" s="3" t="s">
        <v>50</v>
      </c>
      <c r="D394" s="61" t="s">
        <v>1079</v>
      </c>
      <c r="E394" s="127" t="s">
        <v>1001</v>
      </c>
      <c r="F394" s="127"/>
      <c r="G394" s="62">
        <v>9.56</v>
      </c>
      <c r="H394" s="65" t="s">
        <v>50</v>
      </c>
    </row>
    <row r="395" spans="1:8" x14ac:dyDescent="0.25">
      <c r="A395" s="2" t="s">
        <v>657</v>
      </c>
      <c r="B395" s="3" t="s">
        <v>50</v>
      </c>
      <c r="C395" s="3" t="s">
        <v>658</v>
      </c>
      <c r="D395" s="116" t="s">
        <v>659</v>
      </c>
      <c r="E395" s="116"/>
      <c r="F395" s="3" t="s">
        <v>80</v>
      </c>
      <c r="G395" s="30">
        <v>1.8426</v>
      </c>
      <c r="H395" s="64">
        <v>0</v>
      </c>
    </row>
    <row r="396" spans="1:8" x14ac:dyDescent="0.25">
      <c r="A396" s="60"/>
      <c r="D396" s="61" t="s">
        <v>1080</v>
      </c>
      <c r="E396" s="127" t="s">
        <v>1078</v>
      </c>
      <c r="F396" s="127"/>
      <c r="G396" s="62">
        <v>1.2689999999999999</v>
      </c>
      <c r="H396" s="63"/>
    </row>
    <row r="397" spans="1:8" x14ac:dyDescent="0.25">
      <c r="A397" s="2" t="s">
        <v>50</v>
      </c>
      <c r="B397" s="3" t="s">
        <v>50</v>
      </c>
      <c r="C397" s="3" t="s">
        <v>50</v>
      </c>
      <c r="D397" s="61" t="s">
        <v>1081</v>
      </c>
      <c r="E397" s="127" t="s">
        <v>1001</v>
      </c>
      <c r="F397" s="127"/>
      <c r="G397" s="62">
        <v>0.5736</v>
      </c>
      <c r="H397" s="65" t="s">
        <v>50</v>
      </c>
    </row>
    <row r="398" spans="1:8" x14ac:dyDescent="0.25">
      <c r="A398" s="2" t="s">
        <v>660</v>
      </c>
      <c r="B398" s="3" t="s">
        <v>50</v>
      </c>
      <c r="C398" s="3" t="s">
        <v>661</v>
      </c>
      <c r="D398" s="116" t="s">
        <v>662</v>
      </c>
      <c r="E398" s="116"/>
      <c r="F398" s="3" t="s">
        <v>64</v>
      </c>
      <c r="G398" s="30">
        <v>30.71</v>
      </c>
      <c r="H398" s="64">
        <v>0</v>
      </c>
    </row>
    <row r="399" spans="1:8" x14ac:dyDescent="0.25">
      <c r="A399" s="60"/>
      <c r="D399" s="61" t="s">
        <v>1077</v>
      </c>
      <c r="E399" s="127" t="s">
        <v>1078</v>
      </c>
      <c r="F399" s="127"/>
      <c r="G399" s="62">
        <v>21.15</v>
      </c>
      <c r="H399" s="63"/>
    </row>
    <row r="400" spans="1:8" x14ac:dyDescent="0.25">
      <c r="A400" s="2" t="s">
        <v>50</v>
      </c>
      <c r="B400" s="3" t="s">
        <v>50</v>
      </c>
      <c r="C400" s="3" t="s">
        <v>50</v>
      </c>
      <c r="D400" s="61" t="s">
        <v>1079</v>
      </c>
      <c r="E400" s="127" t="s">
        <v>1001</v>
      </c>
      <c r="F400" s="127"/>
      <c r="G400" s="62">
        <v>9.56</v>
      </c>
      <c r="H400" s="65" t="s">
        <v>50</v>
      </c>
    </row>
    <row r="401" spans="1:8" x14ac:dyDescent="0.25">
      <c r="A401" s="2" t="s">
        <v>663</v>
      </c>
      <c r="B401" s="3" t="s">
        <v>50</v>
      </c>
      <c r="C401" s="3" t="s">
        <v>664</v>
      </c>
      <c r="D401" s="116" t="s">
        <v>665</v>
      </c>
      <c r="E401" s="116"/>
      <c r="F401" s="3" t="s">
        <v>64</v>
      </c>
      <c r="G401" s="30">
        <v>33.780999999999999</v>
      </c>
      <c r="H401" s="64">
        <v>0</v>
      </c>
    </row>
    <row r="402" spans="1:8" x14ac:dyDescent="0.25">
      <c r="A402" s="60"/>
      <c r="D402" s="61" t="s">
        <v>1077</v>
      </c>
      <c r="E402" s="127" t="s">
        <v>1078</v>
      </c>
      <c r="F402" s="127"/>
      <c r="G402" s="62">
        <v>21.15</v>
      </c>
      <c r="H402" s="63"/>
    </row>
    <row r="403" spans="1:8" x14ac:dyDescent="0.25">
      <c r="A403" s="2" t="s">
        <v>50</v>
      </c>
      <c r="B403" s="3" t="s">
        <v>50</v>
      </c>
      <c r="C403" s="3" t="s">
        <v>50</v>
      </c>
      <c r="D403" s="61" t="s">
        <v>1079</v>
      </c>
      <c r="E403" s="127" t="s">
        <v>1001</v>
      </c>
      <c r="F403" s="127"/>
      <c r="G403" s="62">
        <v>9.56</v>
      </c>
      <c r="H403" s="65" t="s">
        <v>50</v>
      </c>
    </row>
    <row r="404" spans="1:8" x14ac:dyDescent="0.25">
      <c r="A404" s="2" t="s">
        <v>50</v>
      </c>
      <c r="B404" s="3" t="s">
        <v>50</v>
      </c>
      <c r="C404" s="3" t="s">
        <v>50</v>
      </c>
      <c r="D404" s="61" t="s">
        <v>1082</v>
      </c>
      <c r="E404" s="127" t="s">
        <v>50</v>
      </c>
      <c r="F404" s="127"/>
      <c r="G404" s="62">
        <v>3.0710000000000002</v>
      </c>
      <c r="H404" s="65" t="s">
        <v>50</v>
      </c>
    </row>
    <row r="405" spans="1:8" x14ac:dyDescent="0.25">
      <c r="A405" s="2" t="s">
        <v>666</v>
      </c>
      <c r="B405" s="3" t="s">
        <v>50</v>
      </c>
      <c r="C405" s="3" t="s">
        <v>667</v>
      </c>
      <c r="D405" s="116" t="s">
        <v>668</v>
      </c>
      <c r="E405" s="116"/>
      <c r="F405" s="3" t="s">
        <v>64</v>
      </c>
      <c r="G405" s="30">
        <v>30.71</v>
      </c>
      <c r="H405" s="64">
        <v>0</v>
      </c>
    </row>
    <row r="406" spans="1:8" x14ac:dyDescent="0.25">
      <c r="A406" s="60"/>
      <c r="D406" s="61" t="s">
        <v>1077</v>
      </c>
      <c r="E406" s="127" t="s">
        <v>1078</v>
      </c>
      <c r="F406" s="127"/>
      <c r="G406" s="62">
        <v>21.15</v>
      </c>
      <c r="H406" s="63"/>
    </row>
    <row r="407" spans="1:8" x14ac:dyDescent="0.25">
      <c r="A407" s="2" t="s">
        <v>50</v>
      </c>
      <c r="B407" s="3" t="s">
        <v>50</v>
      </c>
      <c r="C407" s="3" t="s">
        <v>50</v>
      </c>
      <c r="D407" s="61" t="s">
        <v>1079</v>
      </c>
      <c r="E407" s="127" t="s">
        <v>1001</v>
      </c>
      <c r="F407" s="127"/>
      <c r="G407" s="62">
        <v>9.56</v>
      </c>
      <c r="H407" s="65" t="s">
        <v>50</v>
      </c>
    </row>
    <row r="408" spans="1:8" x14ac:dyDescent="0.25">
      <c r="A408" s="2" t="s">
        <v>670</v>
      </c>
      <c r="B408" s="3" t="s">
        <v>50</v>
      </c>
      <c r="C408" s="3" t="s">
        <v>671</v>
      </c>
      <c r="D408" s="116" t="s">
        <v>672</v>
      </c>
      <c r="E408" s="116"/>
      <c r="F408" s="3" t="s">
        <v>64</v>
      </c>
      <c r="G408" s="30">
        <v>33.780999999999999</v>
      </c>
      <c r="H408" s="64">
        <v>0</v>
      </c>
    </row>
    <row r="409" spans="1:8" x14ac:dyDescent="0.25">
      <c r="A409" s="60"/>
      <c r="D409" s="61" t="s">
        <v>1077</v>
      </c>
      <c r="E409" s="127" t="s">
        <v>1078</v>
      </c>
      <c r="F409" s="127"/>
      <c r="G409" s="62">
        <v>21.15</v>
      </c>
      <c r="H409" s="63"/>
    </row>
    <row r="410" spans="1:8" x14ac:dyDescent="0.25">
      <c r="A410" s="2" t="s">
        <v>50</v>
      </c>
      <c r="B410" s="3" t="s">
        <v>50</v>
      </c>
      <c r="C410" s="3" t="s">
        <v>50</v>
      </c>
      <c r="D410" s="61" t="s">
        <v>1079</v>
      </c>
      <c r="E410" s="127" t="s">
        <v>1001</v>
      </c>
      <c r="F410" s="127"/>
      <c r="G410" s="62">
        <v>9.56</v>
      </c>
      <c r="H410" s="65" t="s">
        <v>50</v>
      </c>
    </row>
    <row r="411" spans="1:8" x14ac:dyDescent="0.25">
      <c r="A411" s="2" t="s">
        <v>50</v>
      </c>
      <c r="B411" s="3" t="s">
        <v>50</v>
      </c>
      <c r="C411" s="3" t="s">
        <v>50</v>
      </c>
      <c r="D411" s="61" t="s">
        <v>1082</v>
      </c>
      <c r="E411" s="127" t="s">
        <v>50</v>
      </c>
      <c r="F411" s="127"/>
      <c r="G411" s="62">
        <v>3.0710000000000002</v>
      </c>
      <c r="H411" s="65" t="s">
        <v>50</v>
      </c>
    </row>
    <row r="412" spans="1:8" x14ac:dyDescent="0.25">
      <c r="A412" s="2" t="s">
        <v>673</v>
      </c>
      <c r="B412" s="3" t="s">
        <v>50</v>
      </c>
      <c r="C412" s="3" t="s">
        <v>674</v>
      </c>
      <c r="D412" s="116" t="s">
        <v>675</v>
      </c>
      <c r="E412" s="116"/>
      <c r="F412" s="3" t="s">
        <v>64</v>
      </c>
      <c r="G412" s="30">
        <v>1.4232</v>
      </c>
      <c r="H412" s="64">
        <v>0</v>
      </c>
    </row>
    <row r="413" spans="1:8" x14ac:dyDescent="0.25">
      <c r="A413" s="60"/>
      <c r="D413" s="61" t="s">
        <v>1083</v>
      </c>
      <c r="E413" s="127" t="s">
        <v>1084</v>
      </c>
      <c r="F413" s="127"/>
      <c r="G413" s="62">
        <v>0.84960000000000002</v>
      </c>
      <c r="H413" s="63"/>
    </row>
    <row r="414" spans="1:8" x14ac:dyDescent="0.25">
      <c r="A414" s="2" t="s">
        <v>50</v>
      </c>
      <c r="B414" s="3" t="s">
        <v>50</v>
      </c>
      <c r="C414" s="3" t="s">
        <v>50</v>
      </c>
      <c r="D414" s="61" t="s">
        <v>1081</v>
      </c>
      <c r="E414" s="127" t="s">
        <v>1001</v>
      </c>
      <c r="F414" s="127"/>
      <c r="G414" s="62">
        <v>0.5736</v>
      </c>
      <c r="H414" s="65" t="s">
        <v>50</v>
      </c>
    </row>
    <row r="415" spans="1:8" x14ac:dyDescent="0.25">
      <c r="A415" s="2" t="s">
        <v>676</v>
      </c>
      <c r="B415" s="3" t="s">
        <v>50</v>
      </c>
      <c r="C415" s="3" t="s">
        <v>677</v>
      </c>
      <c r="D415" s="116" t="s">
        <v>678</v>
      </c>
      <c r="E415" s="116"/>
      <c r="F415" s="3" t="s">
        <v>64</v>
      </c>
      <c r="G415" s="30">
        <v>6.99</v>
      </c>
      <c r="H415" s="64">
        <v>0</v>
      </c>
    </row>
    <row r="416" spans="1:8" x14ac:dyDescent="0.25">
      <c r="A416" s="60"/>
      <c r="D416" s="61" t="s">
        <v>1085</v>
      </c>
      <c r="E416" s="127" t="s">
        <v>967</v>
      </c>
      <c r="F416" s="127"/>
      <c r="G416" s="62">
        <v>6.99</v>
      </c>
      <c r="H416" s="63"/>
    </row>
    <row r="417" spans="1:8" x14ac:dyDescent="0.25">
      <c r="A417" s="2" t="s">
        <v>679</v>
      </c>
      <c r="B417" s="3" t="s">
        <v>50</v>
      </c>
      <c r="C417" s="3" t="s">
        <v>680</v>
      </c>
      <c r="D417" s="116" t="s">
        <v>681</v>
      </c>
      <c r="E417" s="116"/>
      <c r="F417" s="3" t="s">
        <v>64</v>
      </c>
      <c r="G417" s="30">
        <v>21.15</v>
      </c>
      <c r="H417" s="64">
        <v>0</v>
      </c>
    </row>
    <row r="418" spans="1:8" x14ac:dyDescent="0.25">
      <c r="A418" s="60"/>
      <c r="D418" s="61" t="s">
        <v>1077</v>
      </c>
      <c r="E418" s="127" t="s">
        <v>1078</v>
      </c>
      <c r="F418" s="127"/>
      <c r="G418" s="62">
        <v>21.15</v>
      </c>
      <c r="H418" s="63"/>
    </row>
    <row r="419" spans="1:8" x14ac:dyDescent="0.25">
      <c r="A419" s="2" t="s">
        <v>682</v>
      </c>
      <c r="B419" s="3" t="s">
        <v>50</v>
      </c>
      <c r="C419" s="3" t="s">
        <v>683</v>
      </c>
      <c r="D419" s="116" t="s">
        <v>684</v>
      </c>
      <c r="E419" s="116"/>
      <c r="F419" s="3" t="s">
        <v>64</v>
      </c>
      <c r="G419" s="30">
        <v>6.99</v>
      </c>
      <c r="H419" s="64">
        <v>0</v>
      </c>
    </row>
    <row r="420" spans="1:8" x14ac:dyDescent="0.25">
      <c r="A420" s="60"/>
      <c r="D420" s="61" t="s">
        <v>1085</v>
      </c>
      <c r="E420" s="127" t="s">
        <v>967</v>
      </c>
      <c r="F420" s="127"/>
      <c r="G420" s="62">
        <v>6.99</v>
      </c>
      <c r="H420" s="63"/>
    </row>
    <row r="421" spans="1:8" x14ac:dyDescent="0.25">
      <c r="A421" s="2" t="s">
        <v>685</v>
      </c>
      <c r="B421" s="3" t="s">
        <v>50</v>
      </c>
      <c r="C421" s="3" t="s">
        <v>686</v>
      </c>
      <c r="D421" s="116" t="s">
        <v>687</v>
      </c>
      <c r="E421" s="116"/>
      <c r="F421" s="3" t="s">
        <v>99</v>
      </c>
      <c r="G421" s="30">
        <v>12.7</v>
      </c>
      <c r="H421" s="64">
        <v>0</v>
      </c>
    </row>
    <row r="422" spans="1:8" x14ac:dyDescent="0.25">
      <c r="A422" s="60"/>
      <c r="D422" s="61" t="s">
        <v>1086</v>
      </c>
      <c r="E422" s="127" t="s">
        <v>967</v>
      </c>
      <c r="F422" s="127"/>
      <c r="G422" s="62">
        <v>12.7</v>
      </c>
      <c r="H422" s="63"/>
    </row>
    <row r="423" spans="1:8" x14ac:dyDescent="0.25">
      <c r="A423" s="2" t="s">
        <v>688</v>
      </c>
      <c r="B423" s="3" t="s">
        <v>50</v>
      </c>
      <c r="C423" s="3" t="s">
        <v>689</v>
      </c>
      <c r="D423" s="116" t="s">
        <v>690</v>
      </c>
      <c r="E423" s="116"/>
      <c r="F423" s="3" t="s">
        <v>64</v>
      </c>
      <c r="G423" s="30">
        <v>21.15</v>
      </c>
      <c r="H423" s="64">
        <v>0</v>
      </c>
    </row>
    <row r="424" spans="1:8" x14ac:dyDescent="0.25">
      <c r="A424" s="60"/>
      <c r="D424" s="61" t="s">
        <v>1077</v>
      </c>
      <c r="E424" s="127" t="s">
        <v>1078</v>
      </c>
      <c r="F424" s="127"/>
      <c r="G424" s="62">
        <v>21.15</v>
      </c>
      <c r="H424" s="63"/>
    </row>
    <row r="425" spans="1:8" x14ac:dyDescent="0.25">
      <c r="A425" s="2" t="s">
        <v>691</v>
      </c>
      <c r="B425" s="3" t="s">
        <v>50</v>
      </c>
      <c r="C425" s="3" t="s">
        <v>692</v>
      </c>
      <c r="D425" s="116" t="s">
        <v>693</v>
      </c>
      <c r="E425" s="116"/>
      <c r="F425" s="3" t="s">
        <v>99</v>
      </c>
      <c r="G425" s="30">
        <v>15.22</v>
      </c>
      <c r="H425" s="64">
        <v>0</v>
      </c>
    </row>
    <row r="426" spans="1:8" x14ac:dyDescent="0.25">
      <c r="A426" s="60"/>
      <c r="D426" s="61" t="s">
        <v>1087</v>
      </c>
      <c r="E426" s="127" t="s">
        <v>1088</v>
      </c>
      <c r="F426" s="127"/>
      <c r="G426" s="62">
        <v>15.22</v>
      </c>
      <c r="H426" s="63"/>
    </row>
    <row r="427" spans="1:8" x14ac:dyDescent="0.25">
      <c r="A427" s="2" t="s">
        <v>694</v>
      </c>
      <c r="B427" s="3" t="s">
        <v>50</v>
      </c>
      <c r="C427" s="3" t="s">
        <v>695</v>
      </c>
      <c r="D427" s="116" t="s">
        <v>696</v>
      </c>
      <c r="E427" s="116"/>
      <c r="F427" s="3" t="s">
        <v>109</v>
      </c>
      <c r="G427" s="30">
        <v>3.3410099999999998</v>
      </c>
      <c r="H427" s="64">
        <v>0</v>
      </c>
    </row>
    <row r="428" spans="1:8" x14ac:dyDescent="0.25">
      <c r="A428" s="2" t="s">
        <v>699</v>
      </c>
      <c r="B428" s="3" t="s">
        <v>50</v>
      </c>
      <c r="C428" s="3" t="s">
        <v>700</v>
      </c>
      <c r="D428" s="116" t="s">
        <v>701</v>
      </c>
      <c r="E428" s="116"/>
      <c r="F428" s="3" t="s">
        <v>64</v>
      </c>
      <c r="G428" s="30">
        <v>23.64</v>
      </c>
      <c r="H428" s="64">
        <v>0</v>
      </c>
    </row>
    <row r="429" spans="1:8" x14ac:dyDescent="0.25">
      <c r="A429" s="60"/>
      <c r="D429" s="61" t="s">
        <v>1089</v>
      </c>
      <c r="E429" s="127" t="s">
        <v>1090</v>
      </c>
      <c r="F429" s="127"/>
      <c r="G429" s="62">
        <v>23.64</v>
      </c>
      <c r="H429" s="63"/>
    </row>
    <row r="430" spans="1:8" x14ac:dyDescent="0.25">
      <c r="A430" s="2" t="s">
        <v>704</v>
      </c>
      <c r="B430" s="3" t="s">
        <v>50</v>
      </c>
      <c r="C430" s="3" t="s">
        <v>705</v>
      </c>
      <c r="D430" s="116" t="s">
        <v>706</v>
      </c>
      <c r="E430" s="116"/>
      <c r="F430" s="3" t="s">
        <v>64</v>
      </c>
      <c r="G430" s="30">
        <v>6.44</v>
      </c>
      <c r="H430" s="64">
        <v>0</v>
      </c>
    </row>
    <row r="431" spans="1:8" x14ac:dyDescent="0.25">
      <c r="A431" s="60"/>
      <c r="D431" s="61" t="s">
        <v>1091</v>
      </c>
      <c r="E431" s="127" t="s">
        <v>987</v>
      </c>
      <c r="F431" s="127"/>
      <c r="G431" s="62">
        <v>6.44</v>
      </c>
      <c r="H431" s="63"/>
    </row>
    <row r="432" spans="1:8" x14ac:dyDescent="0.25">
      <c r="A432" s="2" t="s">
        <v>708</v>
      </c>
      <c r="B432" s="3" t="s">
        <v>50</v>
      </c>
      <c r="C432" s="3" t="s">
        <v>709</v>
      </c>
      <c r="D432" s="116" t="s">
        <v>710</v>
      </c>
      <c r="E432" s="116"/>
      <c r="F432" s="3" t="s">
        <v>64</v>
      </c>
      <c r="G432" s="30">
        <v>6.44</v>
      </c>
      <c r="H432" s="64">
        <v>0</v>
      </c>
    </row>
    <row r="433" spans="1:8" x14ac:dyDescent="0.25">
      <c r="A433" s="60"/>
      <c r="D433" s="61" t="s">
        <v>1091</v>
      </c>
      <c r="E433" s="127" t="s">
        <v>987</v>
      </c>
      <c r="F433" s="127"/>
      <c r="G433" s="62">
        <v>6.44</v>
      </c>
      <c r="H433" s="63"/>
    </row>
    <row r="434" spans="1:8" x14ac:dyDescent="0.25">
      <c r="A434" s="2" t="s">
        <v>711</v>
      </c>
      <c r="B434" s="3" t="s">
        <v>50</v>
      </c>
      <c r="C434" s="3" t="s">
        <v>111</v>
      </c>
      <c r="D434" s="116" t="s">
        <v>112</v>
      </c>
      <c r="E434" s="116"/>
      <c r="F434" s="3" t="s">
        <v>109</v>
      </c>
      <c r="G434" s="30">
        <v>1.2284200000000001</v>
      </c>
      <c r="H434" s="64">
        <v>0</v>
      </c>
    </row>
    <row r="435" spans="1:8" x14ac:dyDescent="0.25">
      <c r="A435" s="2" t="s">
        <v>712</v>
      </c>
      <c r="B435" s="3" t="s">
        <v>50</v>
      </c>
      <c r="C435" s="3" t="s">
        <v>713</v>
      </c>
      <c r="D435" s="116" t="s">
        <v>714</v>
      </c>
      <c r="E435" s="116"/>
      <c r="F435" s="3" t="s">
        <v>109</v>
      </c>
      <c r="G435" s="30">
        <v>8.2739999999999994E-2</v>
      </c>
      <c r="H435" s="64">
        <v>0</v>
      </c>
    </row>
    <row r="436" spans="1:8" x14ac:dyDescent="0.25">
      <c r="A436" s="2" t="s">
        <v>715</v>
      </c>
      <c r="B436" s="3" t="s">
        <v>50</v>
      </c>
      <c r="C436" s="3" t="s">
        <v>716</v>
      </c>
      <c r="D436" s="116" t="s">
        <v>717</v>
      </c>
      <c r="E436" s="116"/>
      <c r="F436" s="3" t="s">
        <v>109</v>
      </c>
      <c r="G436" s="30">
        <v>1.0143</v>
      </c>
      <c r="H436" s="64">
        <v>0</v>
      </c>
    </row>
    <row r="437" spans="1:8" x14ac:dyDescent="0.25">
      <c r="A437" s="2" t="s">
        <v>718</v>
      </c>
      <c r="B437" s="3" t="s">
        <v>50</v>
      </c>
      <c r="C437" s="3" t="s">
        <v>719</v>
      </c>
      <c r="D437" s="116" t="s">
        <v>720</v>
      </c>
      <c r="E437" s="116"/>
      <c r="F437" s="3" t="s">
        <v>64</v>
      </c>
      <c r="G437" s="30">
        <v>9.56</v>
      </c>
      <c r="H437" s="64">
        <v>0</v>
      </c>
    </row>
    <row r="438" spans="1:8" x14ac:dyDescent="0.25">
      <c r="A438" s="60"/>
      <c r="D438" s="61" t="s">
        <v>1079</v>
      </c>
      <c r="E438" s="127" t="s">
        <v>1001</v>
      </c>
      <c r="F438" s="127"/>
      <c r="G438" s="62">
        <v>9.56</v>
      </c>
      <c r="H438" s="63"/>
    </row>
    <row r="439" spans="1:8" x14ac:dyDescent="0.25">
      <c r="A439" s="2" t="s">
        <v>722</v>
      </c>
      <c r="B439" s="3" t="s">
        <v>50</v>
      </c>
      <c r="C439" s="3" t="s">
        <v>723</v>
      </c>
      <c r="D439" s="116" t="s">
        <v>724</v>
      </c>
      <c r="E439" s="116"/>
      <c r="F439" s="3" t="s">
        <v>99</v>
      </c>
      <c r="G439" s="30">
        <v>13.52</v>
      </c>
      <c r="H439" s="64">
        <v>0</v>
      </c>
    </row>
    <row r="440" spans="1:8" x14ac:dyDescent="0.25">
      <c r="A440" s="60"/>
      <c r="D440" s="61" t="s">
        <v>1092</v>
      </c>
      <c r="E440" s="127" t="s">
        <v>1001</v>
      </c>
      <c r="F440" s="127"/>
      <c r="G440" s="62">
        <v>13.52</v>
      </c>
      <c r="H440" s="63"/>
    </row>
    <row r="441" spans="1:8" x14ac:dyDescent="0.25">
      <c r="A441" s="2" t="s">
        <v>725</v>
      </c>
      <c r="B441" s="3" t="s">
        <v>50</v>
      </c>
      <c r="C441" s="3" t="s">
        <v>726</v>
      </c>
      <c r="D441" s="116" t="s">
        <v>727</v>
      </c>
      <c r="E441" s="116"/>
      <c r="F441" s="3" t="s">
        <v>99</v>
      </c>
      <c r="G441" s="30">
        <v>14.872</v>
      </c>
      <c r="H441" s="64">
        <v>0</v>
      </c>
    </row>
    <row r="442" spans="1:8" x14ac:dyDescent="0.25">
      <c r="A442" s="60"/>
      <c r="D442" s="61" t="s">
        <v>1092</v>
      </c>
      <c r="E442" s="127" t="s">
        <v>1001</v>
      </c>
      <c r="F442" s="127"/>
      <c r="G442" s="62">
        <v>13.52</v>
      </c>
      <c r="H442" s="63"/>
    </row>
    <row r="443" spans="1:8" x14ac:dyDescent="0.25">
      <c r="A443" s="2" t="s">
        <v>50</v>
      </c>
      <c r="B443" s="3" t="s">
        <v>50</v>
      </c>
      <c r="C443" s="3" t="s">
        <v>50</v>
      </c>
      <c r="D443" s="61" t="s">
        <v>1093</v>
      </c>
      <c r="E443" s="127" t="s">
        <v>50</v>
      </c>
      <c r="F443" s="127"/>
      <c r="G443" s="62">
        <v>1.3520000000000001</v>
      </c>
      <c r="H443" s="65" t="s">
        <v>50</v>
      </c>
    </row>
    <row r="444" spans="1:8" x14ac:dyDescent="0.25">
      <c r="A444" s="2" t="s">
        <v>728</v>
      </c>
      <c r="B444" s="3" t="s">
        <v>50</v>
      </c>
      <c r="C444" s="3" t="s">
        <v>729</v>
      </c>
      <c r="D444" s="116" t="s">
        <v>730</v>
      </c>
      <c r="E444" s="116"/>
      <c r="F444" s="3" t="s">
        <v>56</v>
      </c>
      <c r="G444" s="30">
        <v>1</v>
      </c>
      <c r="H444" s="64">
        <v>0</v>
      </c>
    </row>
    <row r="445" spans="1:8" x14ac:dyDescent="0.25">
      <c r="A445" s="60"/>
      <c r="D445" s="61" t="s">
        <v>53</v>
      </c>
      <c r="E445" s="127" t="s">
        <v>50</v>
      </c>
      <c r="F445" s="127"/>
      <c r="G445" s="62">
        <v>1</v>
      </c>
      <c r="H445" s="63"/>
    </row>
    <row r="446" spans="1:8" x14ac:dyDescent="0.25">
      <c r="A446" s="2" t="s">
        <v>731</v>
      </c>
      <c r="B446" s="3" t="s">
        <v>50</v>
      </c>
      <c r="C446" s="3" t="s">
        <v>732</v>
      </c>
      <c r="D446" s="116" t="s">
        <v>733</v>
      </c>
      <c r="E446" s="116"/>
      <c r="F446" s="3" t="s">
        <v>64</v>
      </c>
      <c r="G446" s="30">
        <v>70.61</v>
      </c>
      <c r="H446" s="64">
        <v>0</v>
      </c>
    </row>
    <row r="447" spans="1:8" x14ac:dyDescent="0.25">
      <c r="A447" s="60"/>
      <c r="D447" s="61" t="s">
        <v>1094</v>
      </c>
      <c r="E447" s="127" t="s">
        <v>1095</v>
      </c>
      <c r="F447" s="127"/>
      <c r="G447" s="62">
        <v>70.61</v>
      </c>
      <c r="H447" s="63"/>
    </row>
    <row r="448" spans="1:8" x14ac:dyDescent="0.25">
      <c r="A448" s="2" t="s">
        <v>734</v>
      </c>
      <c r="B448" s="3" t="s">
        <v>50</v>
      </c>
      <c r="C448" s="3" t="s">
        <v>735</v>
      </c>
      <c r="D448" s="116" t="s">
        <v>736</v>
      </c>
      <c r="E448" s="116"/>
      <c r="F448" s="3" t="s">
        <v>64</v>
      </c>
      <c r="G448" s="30">
        <v>70.61</v>
      </c>
      <c r="H448" s="64">
        <v>0</v>
      </c>
    </row>
    <row r="449" spans="1:8" x14ac:dyDescent="0.25">
      <c r="A449" s="60"/>
      <c r="D449" s="61" t="s">
        <v>1094</v>
      </c>
      <c r="E449" s="127" t="s">
        <v>1095</v>
      </c>
      <c r="F449" s="127"/>
      <c r="G449" s="62">
        <v>70.61</v>
      </c>
      <c r="H449" s="63"/>
    </row>
    <row r="450" spans="1:8" x14ac:dyDescent="0.25">
      <c r="A450" s="2" t="s">
        <v>737</v>
      </c>
      <c r="B450" s="3" t="s">
        <v>50</v>
      </c>
      <c r="C450" s="3" t="s">
        <v>738</v>
      </c>
      <c r="D450" s="116" t="s">
        <v>739</v>
      </c>
      <c r="E450" s="116"/>
      <c r="F450" s="3" t="s">
        <v>99</v>
      </c>
      <c r="G450" s="30">
        <v>69.182000000000002</v>
      </c>
      <c r="H450" s="64">
        <v>0</v>
      </c>
    </row>
    <row r="451" spans="1:8" x14ac:dyDescent="0.25">
      <c r="A451" s="60"/>
      <c r="D451" s="61" t="s">
        <v>1096</v>
      </c>
      <c r="E451" s="127" t="s">
        <v>1095</v>
      </c>
      <c r="F451" s="127"/>
      <c r="G451" s="62">
        <v>69.182000000000002</v>
      </c>
      <c r="H451" s="63"/>
    </row>
    <row r="452" spans="1:8" x14ac:dyDescent="0.25">
      <c r="A452" s="2" t="s">
        <v>740</v>
      </c>
      <c r="B452" s="3" t="s">
        <v>50</v>
      </c>
      <c r="C452" s="3" t="s">
        <v>741</v>
      </c>
      <c r="D452" s="116" t="s">
        <v>742</v>
      </c>
      <c r="E452" s="116"/>
      <c r="F452" s="3" t="s">
        <v>109</v>
      </c>
      <c r="G452" s="30">
        <v>9.9690000000000001E-2</v>
      </c>
      <c r="H452" s="64">
        <v>0</v>
      </c>
    </row>
    <row r="453" spans="1:8" x14ac:dyDescent="0.25">
      <c r="A453" s="2" t="s">
        <v>745</v>
      </c>
      <c r="B453" s="3" t="s">
        <v>50</v>
      </c>
      <c r="C453" s="3" t="s">
        <v>746</v>
      </c>
      <c r="D453" s="116" t="s">
        <v>747</v>
      </c>
      <c r="E453" s="116"/>
      <c r="F453" s="3" t="s">
        <v>64</v>
      </c>
      <c r="G453" s="30">
        <v>74.927999999999997</v>
      </c>
      <c r="H453" s="64">
        <v>0</v>
      </c>
    </row>
    <row r="454" spans="1:8" x14ac:dyDescent="0.25">
      <c r="A454" s="60"/>
      <c r="D454" s="61" t="s">
        <v>1097</v>
      </c>
      <c r="E454" s="127" t="s">
        <v>1098</v>
      </c>
      <c r="F454" s="127"/>
      <c r="G454" s="62">
        <v>34.799999999999997</v>
      </c>
      <c r="H454" s="63"/>
    </row>
    <row r="455" spans="1:8" x14ac:dyDescent="0.25">
      <c r="A455" s="2" t="s">
        <v>50</v>
      </c>
      <c r="B455" s="3" t="s">
        <v>50</v>
      </c>
      <c r="C455" s="3" t="s">
        <v>50</v>
      </c>
      <c r="D455" s="61" t="s">
        <v>1099</v>
      </c>
      <c r="E455" s="127" t="s">
        <v>1100</v>
      </c>
      <c r="F455" s="127"/>
      <c r="G455" s="62">
        <v>26.4</v>
      </c>
      <c r="H455" s="65" t="s">
        <v>50</v>
      </c>
    </row>
    <row r="456" spans="1:8" x14ac:dyDescent="0.25">
      <c r="A456" s="2" t="s">
        <v>50</v>
      </c>
      <c r="B456" s="3" t="s">
        <v>50</v>
      </c>
      <c r="C456" s="3" t="s">
        <v>50</v>
      </c>
      <c r="D456" s="61" t="s">
        <v>1101</v>
      </c>
      <c r="E456" s="127" t="s">
        <v>1102</v>
      </c>
      <c r="F456" s="127"/>
      <c r="G456" s="62">
        <v>13.728</v>
      </c>
      <c r="H456" s="65" t="s">
        <v>50</v>
      </c>
    </row>
    <row r="457" spans="1:8" x14ac:dyDescent="0.25">
      <c r="A457" s="2" t="s">
        <v>751</v>
      </c>
      <c r="B457" s="3" t="s">
        <v>50</v>
      </c>
      <c r="C457" s="3" t="s">
        <v>752</v>
      </c>
      <c r="D457" s="116" t="s">
        <v>753</v>
      </c>
      <c r="E457" s="116"/>
      <c r="F457" s="3" t="s">
        <v>64</v>
      </c>
      <c r="G457" s="30">
        <v>77.763000000000005</v>
      </c>
      <c r="H457" s="64">
        <v>0</v>
      </c>
    </row>
    <row r="458" spans="1:8" x14ac:dyDescent="0.25">
      <c r="A458" s="60"/>
      <c r="D458" s="61" t="s">
        <v>1097</v>
      </c>
      <c r="E458" s="127" t="s">
        <v>1098</v>
      </c>
      <c r="F458" s="127"/>
      <c r="G458" s="62">
        <v>34.799999999999997</v>
      </c>
      <c r="H458" s="63"/>
    </row>
    <row r="459" spans="1:8" x14ac:dyDescent="0.25">
      <c r="A459" s="2" t="s">
        <v>50</v>
      </c>
      <c r="B459" s="3" t="s">
        <v>50</v>
      </c>
      <c r="C459" s="3" t="s">
        <v>50</v>
      </c>
      <c r="D459" s="61" t="s">
        <v>1099</v>
      </c>
      <c r="E459" s="127" t="s">
        <v>1100</v>
      </c>
      <c r="F459" s="127"/>
      <c r="G459" s="62">
        <v>26.4</v>
      </c>
      <c r="H459" s="65" t="s">
        <v>50</v>
      </c>
    </row>
    <row r="460" spans="1:8" x14ac:dyDescent="0.25">
      <c r="A460" s="2" t="s">
        <v>50</v>
      </c>
      <c r="B460" s="3" t="s">
        <v>50</v>
      </c>
      <c r="C460" s="3" t="s">
        <v>50</v>
      </c>
      <c r="D460" s="61" t="s">
        <v>1101</v>
      </c>
      <c r="E460" s="127" t="s">
        <v>1102</v>
      </c>
      <c r="F460" s="127"/>
      <c r="G460" s="62">
        <v>13.728</v>
      </c>
      <c r="H460" s="65" t="s">
        <v>50</v>
      </c>
    </row>
    <row r="461" spans="1:8" x14ac:dyDescent="0.25">
      <c r="A461" s="2" t="s">
        <v>50</v>
      </c>
      <c r="B461" s="3" t="s">
        <v>50</v>
      </c>
      <c r="C461" s="3" t="s">
        <v>50</v>
      </c>
      <c r="D461" s="61" t="s">
        <v>1103</v>
      </c>
      <c r="E461" s="127" t="s">
        <v>1104</v>
      </c>
      <c r="F461" s="127"/>
      <c r="G461" s="62">
        <v>2.835</v>
      </c>
      <c r="H461" s="65" t="s">
        <v>50</v>
      </c>
    </row>
    <row r="462" spans="1:8" x14ac:dyDescent="0.25">
      <c r="A462" s="2" t="s">
        <v>754</v>
      </c>
      <c r="B462" s="3" t="s">
        <v>50</v>
      </c>
      <c r="C462" s="3" t="s">
        <v>755</v>
      </c>
      <c r="D462" s="116" t="s">
        <v>756</v>
      </c>
      <c r="E462" s="116"/>
      <c r="F462" s="3" t="s">
        <v>64</v>
      </c>
      <c r="G462" s="30">
        <v>1.75</v>
      </c>
      <c r="H462" s="64">
        <v>0</v>
      </c>
    </row>
    <row r="463" spans="1:8" x14ac:dyDescent="0.25">
      <c r="A463" s="60"/>
      <c r="D463" s="61" t="s">
        <v>1105</v>
      </c>
      <c r="E463" s="127" t="s">
        <v>1106</v>
      </c>
      <c r="F463" s="127"/>
      <c r="G463" s="62">
        <v>1.75</v>
      </c>
      <c r="H463" s="63"/>
    </row>
    <row r="464" spans="1:8" x14ac:dyDescent="0.25">
      <c r="A464" s="2" t="s">
        <v>758</v>
      </c>
      <c r="B464" s="3" t="s">
        <v>50</v>
      </c>
      <c r="C464" s="3" t="s">
        <v>759</v>
      </c>
      <c r="D464" s="116" t="s">
        <v>760</v>
      </c>
      <c r="E464" s="116"/>
      <c r="F464" s="3" t="s">
        <v>99</v>
      </c>
      <c r="G464" s="30">
        <v>7.5</v>
      </c>
      <c r="H464" s="64">
        <v>0</v>
      </c>
    </row>
    <row r="465" spans="1:8" x14ac:dyDescent="0.25">
      <c r="A465" s="60"/>
      <c r="D465" s="61" t="s">
        <v>1033</v>
      </c>
      <c r="E465" s="127" t="s">
        <v>1034</v>
      </c>
      <c r="F465" s="127"/>
      <c r="G465" s="62">
        <v>7.5</v>
      </c>
      <c r="H465" s="63"/>
    </row>
    <row r="466" spans="1:8" x14ac:dyDescent="0.25">
      <c r="A466" s="2" t="s">
        <v>763</v>
      </c>
      <c r="B466" s="3" t="s">
        <v>50</v>
      </c>
      <c r="C466" s="3" t="s">
        <v>764</v>
      </c>
      <c r="D466" s="116" t="s">
        <v>765</v>
      </c>
      <c r="E466" s="116"/>
      <c r="F466" s="3" t="s">
        <v>64</v>
      </c>
      <c r="G466" s="30">
        <v>363.83170000000001</v>
      </c>
      <c r="H466" s="64">
        <v>0</v>
      </c>
    </row>
    <row r="467" spans="1:8" x14ac:dyDescent="0.25">
      <c r="A467" s="60"/>
      <c r="D467" s="61" t="s">
        <v>986</v>
      </c>
      <c r="E467" s="127" t="s">
        <v>987</v>
      </c>
      <c r="F467" s="127"/>
      <c r="G467" s="62">
        <v>15.7247</v>
      </c>
      <c r="H467" s="63"/>
    </row>
    <row r="468" spans="1:8" x14ac:dyDescent="0.25">
      <c r="A468" s="2" t="s">
        <v>50</v>
      </c>
      <c r="B468" s="3" t="s">
        <v>50</v>
      </c>
      <c r="C468" s="3" t="s">
        <v>50</v>
      </c>
      <c r="D468" s="61" t="s">
        <v>1107</v>
      </c>
      <c r="E468" s="127" t="s">
        <v>989</v>
      </c>
      <c r="F468" s="127"/>
      <c r="G468" s="62">
        <v>11.6122</v>
      </c>
      <c r="H468" s="65" t="s">
        <v>50</v>
      </c>
    </row>
    <row r="469" spans="1:8" x14ac:dyDescent="0.25">
      <c r="A469" s="2" t="s">
        <v>50</v>
      </c>
      <c r="B469" s="3" t="s">
        <v>50</v>
      </c>
      <c r="C469" s="3" t="s">
        <v>50</v>
      </c>
      <c r="D469" s="61" t="s">
        <v>1108</v>
      </c>
      <c r="E469" s="127" t="s">
        <v>991</v>
      </c>
      <c r="F469" s="127"/>
      <c r="G469" s="62">
        <v>10.744199999999999</v>
      </c>
      <c r="H469" s="65" t="s">
        <v>50</v>
      </c>
    </row>
    <row r="470" spans="1:8" x14ac:dyDescent="0.25">
      <c r="A470" s="2" t="s">
        <v>50</v>
      </c>
      <c r="B470" s="3" t="s">
        <v>50</v>
      </c>
      <c r="C470" s="3" t="s">
        <v>50</v>
      </c>
      <c r="D470" s="61" t="s">
        <v>1109</v>
      </c>
      <c r="E470" s="127" t="s">
        <v>993</v>
      </c>
      <c r="F470" s="127"/>
      <c r="G470" s="62">
        <v>40.927100000000003</v>
      </c>
      <c r="H470" s="65" t="s">
        <v>50</v>
      </c>
    </row>
    <row r="471" spans="1:8" x14ac:dyDescent="0.25">
      <c r="A471" s="2" t="s">
        <v>50</v>
      </c>
      <c r="B471" s="3" t="s">
        <v>50</v>
      </c>
      <c r="C471" s="3" t="s">
        <v>50</v>
      </c>
      <c r="D471" s="61" t="s">
        <v>1110</v>
      </c>
      <c r="E471" s="127" t="s">
        <v>995</v>
      </c>
      <c r="F471" s="127"/>
      <c r="G471" s="62">
        <v>53.611800000000002</v>
      </c>
      <c r="H471" s="65" t="s">
        <v>50</v>
      </c>
    </row>
    <row r="472" spans="1:8" x14ac:dyDescent="0.25">
      <c r="A472" s="2" t="s">
        <v>50</v>
      </c>
      <c r="B472" s="3" t="s">
        <v>50</v>
      </c>
      <c r="C472" s="3" t="s">
        <v>50</v>
      </c>
      <c r="D472" s="61" t="s">
        <v>1111</v>
      </c>
      <c r="E472" s="127" t="s">
        <v>997</v>
      </c>
      <c r="F472" s="127"/>
      <c r="G472" s="62">
        <v>25.536899999999999</v>
      </c>
      <c r="H472" s="65" t="s">
        <v>50</v>
      </c>
    </row>
    <row r="473" spans="1:8" x14ac:dyDescent="0.25">
      <c r="A473" s="2" t="s">
        <v>50</v>
      </c>
      <c r="B473" s="3" t="s">
        <v>50</v>
      </c>
      <c r="C473" s="3" t="s">
        <v>50</v>
      </c>
      <c r="D473" s="61" t="s">
        <v>1112</v>
      </c>
      <c r="E473" s="127" t="s">
        <v>999</v>
      </c>
      <c r="F473" s="127"/>
      <c r="G473" s="62">
        <v>30.2361</v>
      </c>
      <c r="H473" s="65" t="s">
        <v>50</v>
      </c>
    </row>
    <row r="474" spans="1:8" x14ac:dyDescent="0.25">
      <c r="A474" s="2" t="s">
        <v>50</v>
      </c>
      <c r="B474" s="3" t="s">
        <v>50</v>
      </c>
      <c r="C474" s="3" t="s">
        <v>50</v>
      </c>
      <c r="D474" s="61" t="s">
        <v>1113</v>
      </c>
      <c r="E474" s="127" t="s">
        <v>1001</v>
      </c>
      <c r="F474" s="127"/>
      <c r="G474" s="62">
        <v>10.773199999999999</v>
      </c>
      <c r="H474" s="65" t="s">
        <v>50</v>
      </c>
    </row>
    <row r="475" spans="1:8" x14ac:dyDescent="0.25">
      <c r="A475" s="2" t="s">
        <v>50</v>
      </c>
      <c r="B475" s="3" t="s">
        <v>50</v>
      </c>
      <c r="C475" s="3" t="s">
        <v>50</v>
      </c>
      <c r="D475" s="61" t="s">
        <v>1114</v>
      </c>
      <c r="E475" s="127" t="s">
        <v>967</v>
      </c>
      <c r="F475" s="127"/>
      <c r="G475" s="62">
        <v>23.363499999999998</v>
      </c>
      <c r="H475" s="65" t="s">
        <v>50</v>
      </c>
    </row>
    <row r="476" spans="1:8" x14ac:dyDescent="0.25">
      <c r="A476" s="2" t="s">
        <v>50</v>
      </c>
      <c r="B476" s="3" t="s">
        <v>50</v>
      </c>
      <c r="C476" s="3" t="s">
        <v>50</v>
      </c>
      <c r="D476" s="61" t="s">
        <v>1115</v>
      </c>
      <c r="E476" s="127" t="s">
        <v>1004</v>
      </c>
      <c r="F476" s="127"/>
      <c r="G476" s="62">
        <v>10.3078</v>
      </c>
      <c r="H476" s="65" t="s">
        <v>50</v>
      </c>
    </row>
    <row r="477" spans="1:8" x14ac:dyDescent="0.25">
      <c r="A477" s="2" t="s">
        <v>50</v>
      </c>
      <c r="B477" s="3" t="s">
        <v>50</v>
      </c>
      <c r="C477" s="3" t="s">
        <v>50</v>
      </c>
      <c r="D477" s="61" t="s">
        <v>1116</v>
      </c>
      <c r="E477" s="127" t="s">
        <v>1117</v>
      </c>
      <c r="F477" s="127"/>
      <c r="G477" s="62">
        <v>29.674199999999999</v>
      </c>
      <c r="H477" s="65" t="s">
        <v>50</v>
      </c>
    </row>
    <row r="478" spans="1:8" x14ac:dyDescent="0.25">
      <c r="A478" s="2" t="s">
        <v>50</v>
      </c>
      <c r="B478" s="3" t="s">
        <v>50</v>
      </c>
      <c r="C478" s="3" t="s">
        <v>50</v>
      </c>
      <c r="D478" s="61" t="s">
        <v>1005</v>
      </c>
      <c r="E478" s="127" t="s">
        <v>1006</v>
      </c>
      <c r="F478" s="127"/>
      <c r="G478" s="62">
        <v>101.32</v>
      </c>
      <c r="H478" s="65" t="s">
        <v>50</v>
      </c>
    </row>
    <row r="479" spans="1:8" x14ac:dyDescent="0.25">
      <c r="A479" s="2" t="s">
        <v>768</v>
      </c>
      <c r="B479" s="3" t="s">
        <v>50</v>
      </c>
      <c r="C479" s="3" t="s">
        <v>769</v>
      </c>
      <c r="D479" s="116" t="s">
        <v>770</v>
      </c>
      <c r="E479" s="116"/>
      <c r="F479" s="3" t="s">
        <v>64</v>
      </c>
      <c r="G479" s="30">
        <v>403.69159999999999</v>
      </c>
      <c r="H479" s="64">
        <v>0</v>
      </c>
    </row>
    <row r="480" spans="1:8" x14ac:dyDescent="0.25">
      <c r="A480" s="60"/>
      <c r="D480" s="61" t="s">
        <v>986</v>
      </c>
      <c r="E480" s="127" t="s">
        <v>987</v>
      </c>
      <c r="F480" s="127"/>
      <c r="G480" s="62">
        <v>15.7247</v>
      </c>
      <c r="H480" s="63"/>
    </row>
    <row r="481" spans="1:8" x14ac:dyDescent="0.25">
      <c r="A481" s="2" t="s">
        <v>50</v>
      </c>
      <c r="B481" s="3" t="s">
        <v>50</v>
      </c>
      <c r="C481" s="3" t="s">
        <v>50</v>
      </c>
      <c r="D481" s="61" t="s">
        <v>988</v>
      </c>
      <c r="E481" s="127" t="s">
        <v>989</v>
      </c>
      <c r="F481" s="127"/>
      <c r="G481" s="62">
        <v>9.9359999999999999</v>
      </c>
      <c r="H481" s="65" t="s">
        <v>50</v>
      </c>
    </row>
    <row r="482" spans="1:8" x14ac:dyDescent="0.25">
      <c r="A482" s="2" t="s">
        <v>50</v>
      </c>
      <c r="B482" s="3" t="s">
        <v>50</v>
      </c>
      <c r="C482" s="3" t="s">
        <v>50</v>
      </c>
      <c r="D482" s="61" t="s">
        <v>990</v>
      </c>
      <c r="E482" s="127" t="s">
        <v>991</v>
      </c>
      <c r="F482" s="127"/>
      <c r="G482" s="62">
        <v>9.1202000000000005</v>
      </c>
      <c r="H482" s="65" t="s">
        <v>50</v>
      </c>
    </row>
    <row r="483" spans="1:8" x14ac:dyDescent="0.25">
      <c r="A483" s="2" t="s">
        <v>50</v>
      </c>
      <c r="B483" s="3" t="s">
        <v>50</v>
      </c>
      <c r="C483" s="3" t="s">
        <v>50</v>
      </c>
      <c r="D483" s="61" t="s">
        <v>992</v>
      </c>
      <c r="E483" s="127" t="s">
        <v>993</v>
      </c>
      <c r="F483" s="127"/>
      <c r="G483" s="62">
        <v>39.303100000000001</v>
      </c>
      <c r="H483" s="65" t="s">
        <v>50</v>
      </c>
    </row>
    <row r="484" spans="1:8" x14ac:dyDescent="0.25">
      <c r="A484" s="2" t="s">
        <v>50</v>
      </c>
      <c r="B484" s="3" t="s">
        <v>50</v>
      </c>
      <c r="C484" s="3" t="s">
        <v>50</v>
      </c>
      <c r="D484" s="61" t="s">
        <v>994</v>
      </c>
      <c r="E484" s="127" t="s">
        <v>995</v>
      </c>
      <c r="F484" s="127"/>
      <c r="G484" s="62">
        <v>41.481900000000003</v>
      </c>
      <c r="H484" s="65" t="s">
        <v>50</v>
      </c>
    </row>
    <row r="485" spans="1:8" x14ac:dyDescent="0.25">
      <c r="A485" s="2" t="s">
        <v>50</v>
      </c>
      <c r="B485" s="3" t="s">
        <v>50</v>
      </c>
      <c r="C485" s="3" t="s">
        <v>50</v>
      </c>
      <c r="D485" s="61" t="s">
        <v>996</v>
      </c>
      <c r="E485" s="127" t="s">
        <v>997</v>
      </c>
      <c r="F485" s="127"/>
      <c r="G485" s="62">
        <v>41.9255</v>
      </c>
      <c r="H485" s="65" t="s">
        <v>50</v>
      </c>
    </row>
    <row r="486" spans="1:8" x14ac:dyDescent="0.25">
      <c r="A486" s="2" t="s">
        <v>50</v>
      </c>
      <c r="B486" s="3" t="s">
        <v>50</v>
      </c>
      <c r="C486" s="3" t="s">
        <v>50</v>
      </c>
      <c r="D486" s="61" t="s">
        <v>998</v>
      </c>
      <c r="E486" s="127" t="s">
        <v>999</v>
      </c>
      <c r="F486" s="127"/>
      <c r="G486" s="62">
        <v>58.366999999999997</v>
      </c>
      <c r="H486" s="65" t="s">
        <v>50</v>
      </c>
    </row>
    <row r="487" spans="1:8" x14ac:dyDescent="0.25">
      <c r="A487" s="2" t="s">
        <v>50</v>
      </c>
      <c r="B487" s="3" t="s">
        <v>50</v>
      </c>
      <c r="C487" s="3" t="s">
        <v>50</v>
      </c>
      <c r="D487" s="61" t="s">
        <v>1000</v>
      </c>
      <c r="E487" s="127" t="s">
        <v>1001</v>
      </c>
      <c r="F487" s="127"/>
      <c r="G487" s="62">
        <v>39.351999999999997</v>
      </c>
      <c r="H487" s="65" t="s">
        <v>50</v>
      </c>
    </row>
    <row r="488" spans="1:8" x14ac:dyDescent="0.25">
      <c r="A488" s="2" t="s">
        <v>50</v>
      </c>
      <c r="B488" s="3" t="s">
        <v>50</v>
      </c>
      <c r="C488" s="3" t="s">
        <v>50</v>
      </c>
      <c r="D488" s="61" t="s">
        <v>1002</v>
      </c>
      <c r="E488" s="127" t="s">
        <v>967</v>
      </c>
      <c r="F488" s="127"/>
      <c r="G488" s="62">
        <v>36.031999999999996</v>
      </c>
      <c r="H488" s="65" t="s">
        <v>50</v>
      </c>
    </row>
    <row r="489" spans="1:8" x14ac:dyDescent="0.25">
      <c r="A489" s="2" t="s">
        <v>50</v>
      </c>
      <c r="B489" s="3" t="s">
        <v>50</v>
      </c>
      <c r="C489" s="3" t="s">
        <v>50</v>
      </c>
      <c r="D489" s="61" t="s">
        <v>1003</v>
      </c>
      <c r="E489" s="127" t="s">
        <v>1004</v>
      </c>
      <c r="F489" s="127"/>
      <c r="G489" s="62">
        <v>11.129200000000001</v>
      </c>
      <c r="H489" s="65" t="s">
        <v>50</v>
      </c>
    </row>
    <row r="490" spans="1:8" x14ac:dyDescent="0.25">
      <c r="A490" s="2" t="s">
        <v>50</v>
      </c>
      <c r="B490" s="3" t="s">
        <v>50</v>
      </c>
      <c r="C490" s="3" t="s">
        <v>50</v>
      </c>
      <c r="D490" s="61" t="s">
        <v>1005</v>
      </c>
      <c r="E490" s="127" t="s">
        <v>1006</v>
      </c>
      <c r="F490" s="127"/>
      <c r="G490" s="62">
        <v>101.32</v>
      </c>
      <c r="H490" s="65" t="s">
        <v>50</v>
      </c>
    </row>
    <row r="491" spans="1:8" x14ac:dyDescent="0.25">
      <c r="A491" s="2" t="s">
        <v>773</v>
      </c>
      <c r="B491" s="3" t="s">
        <v>50</v>
      </c>
      <c r="C491" s="3" t="s">
        <v>774</v>
      </c>
      <c r="D491" s="116" t="s">
        <v>775</v>
      </c>
      <c r="E491" s="116"/>
      <c r="F491" s="3" t="s">
        <v>776</v>
      </c>
      <c r="G491" s="30">
        <v>1</v>
      </c>
      <c r="H491" s="64">
        <v>0</v>
      </c>
    </row>
    <row r="492" spans="1:8" x14ac:dyDescent="0.25">
      <c r="A492" s="60"/>
      <c r="D492" s="61" t="s">
        <v>53</v>
      </c>
      <c r="E492" s="127" t="s">
        <v>50</v>
      </c>
      <c r="F492" s="127"/>
      <c r="G492" s="62">
        <v>1</v>
      </c>
      <c r="H492" s="63"/>
    </row>
    <row r="493" spans="1:8" x14ac:dyDescent="0.25">
      <c r="A493" s="2" t="s">
        <v>779</v>
      </c>
      <c r="B493" s="3" t="s">
        <v>50</v>
      </c>
      <c r="C493" s="3" t="s">
        <v>780</v>
      </c>
      <c r="D493" s="116" t="s">
        <v>781</v>
      </c>
      <c r="E493" s="116"/>
      <c r="F493" s="3" t="s">
        <v>56</v>
      </c>
      <c r="G493" s="30">
        <v>1</v>
      </c>
      <c r="H493" s="64">
        <v>0</v>
      </c>
    </row>
    <row r="494" spans="1:8" x14ac:dyDescent="0.25">
      <c r="A494" s="60"/>
      <c r="D494" s="61" t="s">
        <v>53</v>
      </c>
      <c r="E494" s="127" t="s">
        <v>1118</v>
      </c>
      <c r="F494" s="127"/>
      <c r="G494" s="62">
        <v>1</v>
      </c>
      <c r="H494" s="63"/>
    </row>
    <row r="495" spans="1:8" x14ac:dyDescent="0.25">
      <c r="A495" s="2" t="s">
        <v>782</v>
      </c>
      <c r="B495" s="3" t="s">
        <v>50</v>
      </c>
      <c r="C495" s="3" t="s">
        <v>783</v>
      </c>
      <c r="D495" s="116" t="s">
        <v>784</v>
      </c>
      <c r="E495" s="116"/>
      <c r="F495" s="3" t="s">
        <v>56</v>
      </c>
      <c r="G495" s="30">
        <v>1</v>
      </c>
      <c r="H495" s="64">
        <v>0</v>
      </c>
    </row>
    <row r="496" spans="1:8" x14ac:dyDescent="0.25">
      <c r="A496" s="60"/>
      <c r="D496" s="61" t="s">
        <v>53</v>
      </c>
      <c r="E496" s="127" t="s">
        <v>1118</v>
      </c>
      <c r="F496" s="127"/>
      <c r="G496" s="62">
        <v>1</v>
      </c>
      <c r="H496" s="63"/>
    </row>
    <row r="497" spans="1:8" x14ac:dyDescent="0.25">
      <c r="A497" s="2" t="s">
        <v>785</v>
      </c>
      <c r="B497" s="3" t="s">
        <v>50</v>
      </c>
      <c r="C497" s="3" t="s">
        <v>786</v>
      </c>
      <c r="D497" s="116" t="s">
        <v>787</v>
      </c>
      <c r="E497" s="116"/>
      <c r="F497" s="3" t="s">
        <v>56</v>
      </c>
      <c r="G497" s="30">
        <v>1</v>
      </c>
      <c r="H497" s="64">
        <v>0</v>
      </c>
    </row>
    <row r="498" spans="1:8" x14ac:dyDescent="0.25">
      <c r="A498" s="60"/>
      <c r="D498" s="61" t="s">
        <v>53</v>
      </c>
      <c r="E498" s="127" t="s">
        <v>1118</v>
      </c>
      <c r="F498" s="127"/>
      <c r="G498" s="62">
        <v>1</v>
      </c>
      <c r="H498" s="63"/>
    </row>
    <row r="499" spans="1:8" x14ac:dyDescent="0.25">
      <c r="A499" s="2" t="s">
        <v>788</v>
      </c>
      <c r="B499" s="3" t="s">
        <v>50</v>
      </c>
      <c r="C499" s="3" t="s">
        <v>789</v>
      </c>
      <c r="D499" s="116" t="s">
        <v>790</v>
      </c>
      <c r="E499" s="116"/>
      <c r="F499" s="3" t="s">
        <v>56</v>
      </c>
      <c r="G499" s="30">
        <v>1</v>
      </c>
      <c r="H499" s="64">
        <v>0</v>
      </c>
    </row>
    <row r="500" spans="1:8" x14ac:dyDescent="0.25">
      <c r="A500" s="60"/>
      <c r="D500" s="61" t="s">
        <v>53</v>
      </c>
      <c r="E500" s="127" t="s">
        <v>1118</v>
      </c>
      <c r="F500" s="127"/>
      <c r="G500" s="62">
        <v>1</v>
      </c>
      <c r="H500" s="63"/>
    </row>
    <row r="501" spans="1:8" x14ac:dyDescent="0.25">
      <c r="A501" s="2" t="s">
        <v>791</v>
      </c>
      <c r="B501" s="3" t="s">
        <v>50</v>
      </c>
      <c r="C501" s="3" t="s">
        <v>792</v>
      </c>
      <c r="D501" s="116" t="s">
        <v>793</v>
      </c>
      <c r="E501" s="116"/>
      <c r="F501" s="3" t="s">
        <v>56</v>
      </c>
      <c r="G501" s="30">
        <v>1</v>
      </c>
      <c r="H501" s="64">
        <v>0</v>
      </c>
    </row>
    <row r="502" spans="1:8" x14ac:dyDescent="0.25">
      <c r="A502" s="60"/>
      <c r="D502" s="61" t="s">
        <v>53</v>
      </c>
      <c r="E502" s="127" t="s">
        <v>1118</v>
      </c>
      <c r="F502" s="127"/>
      <c r="G502" s="62">
        <v>1</v>
      </c>
      <c r="H502" s="63"/>
    </row>
    <row r="503" spans="1:8" x14ac:dyDescent="0.25">
      <c r="A503" s="2" t="s">
        <v>794</v>
      </c>
      <c r="B503" s="3" t="s">
        <v>50</v>
      </c>
      <c r="C503" s="3" t="s">
        <v>795</v>
      </c>
      <c r="D503" s="116" t="s">
        <v>796</v>
      </c>
      <c r="E503" s="116"/>
      <c r="F503" s="3" t="s">
        <v>56</v>
      </c>
      <c r="G503" s="30">
        <v>1</v>
      </c>
      <c r="H503" s="64">
        <v>0</v>
      </c>
    </row>
    <row r="504" spans="1:8" x14ac:dyDescent="0.25">
      <c r="A504" s="60"/>
      <c r="D504" s="61" t="s">
        <v>53</v>
      </c>
      <c r="E504" s="127" t="s">
        <v>1118</v>
      </c>
      <c r="F504" s="127"/>
      <c r="G504" s="62">
        <v>1</v>
      </c>
      <c r="H504" s="63"/>
    </row>
    <row r="505" spans="1:8" x14ac:dyDescent="0.25">
      <c r="A505" s="2" t="s">
        <v>797</v>
      </c>
      <c r="B505" s="3" t="s">
        <v>50</v>
      </c>
      <c r="C505" s="3" t="s">
        <v>798</v>
      </c>
      <c r="D505" s="116" t="s">
        <v>799</v>
      </c>
      <c r="E505" s="116"/>
      <c r="F505" s="3" t="s">
        <v>56</v>
      </c>
      <c r="G505" s="30">
        <v>13</v>
      </c>
      <c r="H505" s="64">
        <v>0</v>
      </c>
    </row>
    <row r="506" spans="1:8" x14ac:dyDescent="0.25">
      <c r="A506" s="60"/>
      <c r="D506" s="61" t="s">
        <v>1119</v>
      </c>
      <c r="E506" s="127" t="s">
        <v>1118</v>
      </c>
      <c r="F506" s="127"/>
      <c r="G506" s="62">
        <v>13</v>
      </c>
      <c r="H506" s="63"/>
    </row>
    <row r="507" spans="1:8" x14ac:dyDescent="0.25">
      <c r="A507" s="2" t="s">
        <v>800</v>
      </c>
      <c r="B507" s="3" t="s">
        <v>50</v>
      </c>
      <c r="C507" s="3" t="s">
        <v>801</v>
      </c>
      <c r="D507" s="116" t="s">
        <v>802</v>
      </c>
      <c r="E507" s="116"/>
      <c r="F507" s="3" t="s">
        <v>56</v>
      </c>
      <c r="G507" s="30">
        <v>2</v>
      </c>
      <c r="H507" s="64">
        <v>0</v>
      </c>
    </row>
    <row r="508" spans="1:8" x14ac:dyDescent="0.25">
      <c r="A508" s="60"/>
      <c r="D508" s="61" t="s">
        <v>61</v>
      </c>
      <c r="E508" s="127" t="s">
        <v>1118</v>
      </c>
      <c r="F508" s="127"/>
      <c r="G508" s="62">
        <v>2</v>
      </c>
      <c r="H508" s="63"/>
    </row>
    <row r="509" spans="1:8" x14ac:dyDescent="0.25">
      <c r="A509" s="2" t="s">
        <v>803</v>
      </c>
      <c r="B509" s="3" t="s">
        <v>50</v>
      </c>
      <c r="C509" s="3" t="s">
        <v>804</v>
      </c>
      <c r="D509" s="116" t="s">
        <v>805</v>
      </c>
      <c r="E509" s="116"/>
      <c r="F509" s="3" t="s">
        <v>56</v>
      </c>
      <c r="G509" s="30">
        <v>2</v>
      </c>
      <c r="H509" s="64">
        <v>0</v>
      </c>
    </row>
    <row r="510" spans="1:8" x14ac:dyDescent="0.25">
      <c r="A510" s="60"/>
      <c r="D510" s="61" t="s">
        <v>61</v>
      </c>
      <c r="E510" s="127" t="s">
        <v>1118</v>
      </c>
      <c r="F510" s="127"/>
      <c r="G510" s="62">
        <v>2</v>
      </c>
      <c r="H510" s="63"/>
    </row>
    <row r="511" spans="1:8" x14ac:dyDescent="0.25">
      <c r="A511" s="2" t="s">
        <v>806</v>
      </c>
      <c r="B511" s="3" t="s">
        <v>50</v>
      </c>
      <c r="C511" s="3" t="s">
        <v>807</v>
      </c>
      <c r="D511" s="116" t="s">
        <v>808</v>
      </c>
      <c r="E511" s="116"/>
      <c r="F511" s="3" t="s">
        <v>56</v>
      </c>
      <c r="G511" s="30">
        <v>9</v>
      </c>
      <c r="H511" s="64">
        <v>0</v>
      </c>
    </row>
    <row r="512" spans="1:8" x14ac:dyDescent="0.25">
      <c r="A512" s="60"/>
      <c r="D512" s="61" t="s">
        <v>86</v>
      </c>
      <c r="E512" s="127" t="s">
        <v>1118</v>
      </c>
      <c r="F512" s="127"/>
      <c r="G512" s="62">
        <v>9</v>
      </c>
      <c r="H512" s="63"/>
    </row>
    <row r="513" spans="1:8" x14ac:dyDescent="0.25">
      <c r="A513" s="2" t="s">
        <v>809</v>
      </c>
      <c r="B513" s="3" t="s">
        <v>50</v>
      </c>
      <c r="C513" s="3" t="s">
        <v>810</v>
      </c>
      <c r="D513" s="116" t="s">
        <v>811</v>
      </c>
      <c r="E513" s="116"/>
      <c r="F513" s="3" t="s">
        <v>56</v>
      </c>
      <c r="G513" s="30">
        <v>1</v>
      </c>
      <c r="H513" s="64">
        <v>0</v>
      </c>
    </row>
    <row r="514" spans="1:8" x14ac:dyDescent="0.25">
      <c r="A514" s="60"/>
      <c r="D514" s="61" t="s">
        <v>53</v>
      </c>
      <c r="E514" s="127" t="s">
        <v>1118</v>
      </c>
      <c r="F514" s="127"/>
      <c r="G514" s="62">
        <v>1</v>
      </c>
      <c r="H514" s="63"/>
    </row>
    <row r="515" spans="1:8" x14ac:dyDescent="0.25">
      <c r="A515" s="2" t="s">
        <v>812</v>
      </c>
      <c r="B515" s="3" t="s">
        <v>50</v>
      </c>
      <c r="C515" s="3" t="s">
        <v>813</v>
      </c>
      <c r="D515" s="116" t="s">
        <v>814</v>
      </c>
      <c r="E515" s="116"/>
      <c r="F515" s="3" t="s">
        <v>56</v>
      </c>
      <c r="G515" s="30">
        <v>43</v>
      </c>
      <c r="H515" s="64">
        <v>0</v>
      </c>
    </row>
    <row r="516" spans="1:8" x14ac:dyDescent="0.25">
      <c r="A516" s="60"/>
      <c r="D516" s="61" t="s">
        <v>199</v>
      </c>
      <c r="E516" s="127" t="s">
        <v>1118</v>
      </c>
      <c r="F516" s="127"/>
      <c r="G516" s="62">
        <v>43</v>
      </c>
      <c r="H516" s="63"/>
    </row>
    <row r="517" spans="1:8" x14ac:dyDescent="0.25">
      <c r="A517" s="2" t="s">
        <v>816</v>
      </c>
      <c r="B517" s="3" t="s">
        <v>50</v>
      </c>
      <c r="C517" s="3" t="s">
        <v>817</v>
      </c>
      <c r="D517" s="116" t="s">
        <v>818</v>
      </c>
      <c r="E517" s="116"/>
      <c r="F517" s="3" t="s">
        <v>56</v>
      </c>
      <c r="G517" s="30">
        <v>8</v>
      </c>
      <c r="H517" s="64">
        <v>0</v>
      </c>
    </row>
    <row r="518" spans="1:8" x14ac:dyDescent="0.25">
      <c r="A518" s="60"/>
      <c r="D518" s="61" t="s">
        <v>81</v>
      </c>
      <c r="E518" s="127" t="s">
        <v>1118</v>
      </c>
      <c r="F518" s="127"/>
      <c r="G518" s="62">
        <v>8</v>
      </c>
      <c r="H518" s="63"/>
    </row>
    <row r="519" spans="1:8" x14ac:dyDescent="0.25">
      <c r="A519" s="2" t="s">
        <v>820</v>
      </c>
      <c r="B519" s="3" t="s">
        <v>50</v>
      </c>
      <c r="C519" s="3" t="s">
        <v>821</v>
      </c>
      <c r="D519" s="116" t="s">
        <v>822</v>
      </c>
      <c r="E519" s="116"/>
      <c r="F519" s="3" t="s">
        <v>56</v>
      </c>
      <c r="G519" s="30">
        <v>2</v>
      </c>
      <c r="H519" s="64">
        <v>0</v>
      </c>
    </row>
    <row r="520" spans="1:8" x14ac:dyDescent="0.25">
      <c r="A520" s="60"/>
      <c r="D520" s="61" t="s">
        <v>61</v>
      </c>
      <c r="E520" s="127" t="s">
        <v>1118</v>
      </c>
      <c r="F520" s="127"/>
      <c r="G520" s="62">
        <v>2</v>
      </c>
      <c r="H520" s="63"/>
    </row>
    <row r="521" spans="1:8" x14ac:dyDescent="0.25">
      <c r="A521" s="2" t="s">
        <v>823</v>
      </c>
      <c r="B521" s="3" t="s">
        <v>50</v>
      </c>
      <c r="C521" s="3" t="s">
        <v>824</v>
      </c>
      <c r="D521" s="116" t="s">
        <v>825</v>
      </c>
      <c r="E521" s="116"/>
      <c r="F521" s="3" t="s">
        <v>56</v>
      </c>
      <c r="G521" s="30">
        <v>1</v>
      </c>
      <c r="H521" s="64">
        <v>0</v>
      </c>
    </row>
    <row r="522" spans="1:8" x14ac:dyDescent="0.25">
      <c r="A522" s="60"/>
      <c r="D522" s="61" t="s">
        <v>53</v>
      </c>
      <c r="E522" s="127" t="s">
        <v>1118</v>
      </c>
      <c r="F522" s="127"/>
      <c r="G522" s="62">
        <v>1</v>
      </c>
      <c r="H522" s="63"/>
    </row>
    <row r="523" spans="1:8" x14ac:dyDescent="0.25">
      <c r="A523" s="2" t="s">
        <v>826</v>
      </c>
      <c r="B523" s="3" t="s">
        <v>50</v>
      </c>
      <c r="C523" s="3" t="s">
        <v>827</v>
      </c>
      <c r="D523" s="116" t="s">
        <v>828</v>
      </c>
      <c r="E523" s="116"/>
      <c r="F523" s="3" t="s">
        <v>56</v>
      </c>
      <c r="G523" s="30">
        <v>1</v>
      </c>
      <c r="H523" s="64">
        <v>0</v>
      </c>
    </row>
    <row r="524" spans="1:8" x14ac:dyDescent="0.25">
      <c r="A524" s="60"/>
      <c r="D524" s="61" t="s">
        <v>53</v>
      </c>
      <c r="E524" s="127" t="s">
        <v>1118</v>
      </c>
      <c r="F524" s="127"/>
      <c r="G524" s="62">
        <v>1</v>
      </c>
      <c r="H524" s="63"/>
    </row>
    <row r="525" spans="1:8" x14ac:dyDescent="0.25">
      <c r="A525" s="2" t="s">
        <v>829</v>
      </c>
      <c r="B525" s="3" t="s">
        <v>50</v>
      </c>
      <c r="C525" s="3" t="s">
        <v>830</v>
      </c>
      <c r="D525" s="116" t="s">
        <v>831</v>
      </c>
      <c r="E525" s="116"/>
      <c r="F525" s="3" t="s">
        <v>56</v>
      </c>
      <c r="G525" s="30">
        <v>15</v>
      </c>
      <c r="H525" s="64">
        <v>0</v>
      </c>
    </row>
    <row r="526" spans="1:8" x14ac:dyDescent="0.25">
      <c r="A526" s="60"/>
      <c r="D526" s="61" t="s">
        <v>106</v>
      </c>
      <c r="E526" s="127" t="s">
        <v>1118</v>
      </c>
      <c r="F526" s="127"/>
      <c r="G526" s="62">
        <v>15</v>
      </c>
      <c r="H526" s="63"/>
    </row>
    <row r="527" spans="1:8" x14ac:dyDescent="0.25">
      <c r="A527" s="2" t="s">
        <v>832</v>
      </c>
      <c r="B527" s="3" t="s">
        <v>50</v>
      </c>
      <c r="C527" s="3" t="s">
        <v>833</v>
      </c>
      <c r="D527" s="116" t="s">
        <v>834</v>
      </c>
      <c r="E527" s="116"/>
      <c r="F527" s="3" t="s">
        <v>56</v>
      </c>
      <c r="G527" s="30">
        <v>5</v>
      </c>
      <c r="H527" s="64">
        <v>0</v>
      </c>
    </row>
    <row r="528" spans="1:8" x14ac:dyDescent="0.25">
      <c r="A528" s="60"/>
      <c r="D528" s="61" t="s">
        <v>71</v>
      </c>
      <c r="E528" s="127" t="s">
        <v>1118</v>
      </c>
      <c r="F528" s="127"/>
      <c r="G528" s="62">
        <v>5</v>
      </c>
      <c r="H528" s="63"/>
    </row>
    <row r="529" spans="1:8" x14ac:dyDescent="0.25">
      <c r="A529" s="2" t="s">
        <v>835</v>
      </c>
      <c r="B529" s="3" t="s">
        <v>50</v>
      </c>
      <c r="C529" s="3" t="s">
        <v>836</v>
      </c>
      <c r="D529" s="116" t="s">
        <v>837</v>
      </c>
      <c r="E529" s="116"/>
      <c r="F529" s="3" t="s">
        <v>56</v>
      </c>
      <c r="G529" s="30">
        <v>10</v>
      </c>
      <c r="H529" s="64">
        <v>0</v>
      </c>
    </row>
    <row r="530" spans="1:8" x14ac:dyDescent="0.25">
      <c r="A530" s="60"/>
      <c r="D530" s="61" t="s">
        <v>90</v>
      </c>
      <c r="E530" s="127" t="s">
        <v>50</v>
      </c>
      <c r="F530" s="127"/>
      <c r="G530" s="62">
        <v>10</v>
      </c>
      <c r="H530" s="63"/>
    </row>
    <row r="531" spans="1:8" x14ac:dyDescent="0.25">
      <c r="A531" s="2" t="s">
        <v>838</v>
      </c>
      <c r="B531" s="3" t="s">
        <v>50</v>
      </c>
      <c r="C531" s="3" t="s">
        <v>839</v>
      </c>
      <c r="D531" s="116" t="s">
        <v>840</v>
      </c>
      <c r="E531" s="116"/>
      <c r="F531" s="3" t="s">
        <v>56</v>
      </c>
      <c r="G531" s="30">
        <v>7</v>
      </c>
      <c r="H531" s="64">
        <v>0</v>
      </c>
    </row>
    <row r="532" spans="1:8" x14ac:dyDescent="0.25">
      <c r="A532" s="60"/>
      <c r="D532" s="61" t="s">
        <v>77</v>
      </c>
      <c r="E532" s="127" t="s">
        <v>1118</v>
      </c>
      <c r="F532" s="127"/>
      <c r="G532" s="62">
        <v>7</v>
      </c>
      <c r="H532" s="63"/>
    </row>
    <row r="533" spans="1:8" x14ac:dyDescent="0.25">
      <c r="A533" s="2" t="s">
        <v>841</v>
      </c>
      <c r="B533" s="3" t="s">
        <v>50</v>
      </c>
      <c r="C533" s="3" t="s">
        <v>842</v>
      </c>
      <c r="D533" s="116" t="s">
        <v>843</v>
      </c>
      <c r="E533" s="116"/>
      <c r="F533" s="3" t="s">
        <v>56</v>
      </c>
      <c r="G533" s="30">
        <v>4</v>
      </c>
      <c r="H533" s="64">
        <v>0</v>
      </c>
    </row>
    <row r="534" spans="1:8" x14ac:dyDescent="0.25">
      <c r="A534" s="60"/>
      <c r="D534" s="61" t="s">
        <v>68</v>
      </c>
      <c r="E534" s="127" t="s">
        <v>1118</v>
      </c>
      <c r="F534" s="127"/>
      <c r="G534" s="62">
        <v>4</v>
      </c>
      <c r="H534" s="63"/>
    </row>
    <row r="535" spans="1:8" x14ac:dyDescent="0.25">
      <c r="A535" s="2" t="s">
        <v>844</v>
      </c>
      <c r="B535" s="3" t="s">
        <v>50</v>
      </c>
      <c r="C535" s="3" t="s">
        <v>845</v>
      </c>
      <c r="D535" s="116" t="s">
        <v>846</v>
      </c>
      <c r="E535" s="116"/>
      <c r="F535" s="3" t="s">
        <v>56</v>
      </c>
      <c r="G535" s="30">
        <v>2</v>
      </c>
      <c r="H535" s="64">
        <v>0</v>
      </c>
    </row>
    <row r="536" spans="1:8" x14ac:dyDescent="0.25">
      <c r="A536" s="60"/>
      <c r="D536" s="61" t="s">
        <v>61</v>
      </c>
      <c r="E536" s="127" t="s">
        <v>1118</v>
      </c>
      <c r="F536" s="127"/>
      <c r="G536" s="62">
        <v>2</v>
      </c>
      <c r="H536" s="63"/>
    </row>
    <row r="537" spans="1:8" x14ac:dyDescent="0.25">
      <c r="A537" s="2" t="s">
        <v>847</v>
      </c>
      <c r="B537" s="3" t="s">
        <v>50</v>
      </c>
      <c r="C537" s="3" t="s">
        <v>848</v>
      </c>
      <c r="D537" s="116" t="s">
        <v>849</v>
      </c>
      <c r="E537" s="116"/>
      <c r="F537" s="3" t="s">
        <v>56</v>
      </c>
      <c r="G537" s="30">
        <v>2</v>
      </c>
      <c r="H537" s="64">
        <v>0</v>
      </c>
    </row>
    <row r="538" spans="1:8" x14ac:dyDescent="0.25">
      <c r="A538" s="60"/>
      <c r="D538" s="61" t="s">
        <v>61</v>
      </c>
      <c r="E538" s="127" t="s">
        <v>1118</v>
      </c>
      <c r="F538" s="127"/>
      <c r="G538" s="62">
        <v>2</v>
      </c>
      <c r="H538" s="63"/>
    </row>
    <row r="539" spans="1:8" x14ac:dyDescent="0.25">
      <c r="A539" s="2" t="s">
        <v>850</v>
      </c>
      <c r="B539" s="3" t="s">
        <v>50</v>
      </c>
      <c r="C539" s="3" t="s">
        <v>851</v>
      </c>
      <c r="D539" s="116" t="s">
        <v>852</v>
      </c>
      <c r="E539" s="116"/>
      <c r="F539" s="3" t="s">
        <v>56</v>
      </c>
      <c r="G539" s="30">
        <v>2</v>
      </c>
      <c r="H539" s="64">
        <v>0</v>
      </c>
    </row>
    <row r="540" spans="1:8" x14ac:dyDescent="0.25">
      <c r="A540" s="60"/>
      <c r="D540" s="61" t="s">
        <v>61</v>
      </c>
      <c r="E540" s="127" t="s">
        <v>1118</v>
      </c>
      <c r="F540" s="127"/>
      <c r="G540" s="62">
        <v>2</v>
      </c>
      <c r="H540" s="63"/>
    </row>
    <row r="541" spans="1:8" x14ac:dyDescent="0.25">
      <c r="A541" s="2" t="s">
        <v>853</v>
      </c>
      <c r="B541" s="3" t="s">
        <v>50</v>
      </c>
      <c r="C541" s="3" t="s">
        <v>854</v>
      </c>
      <c r="D541" s="116" t="s">
        <v>855</v>
      </c>
      <c r="E541" s="116"/>
      <c r="F541" s="3" t="s">
        <v>56</v>
      </c>
      <c r="G541" s="30">
        <v>1</v>
      </c>
      <c r="H541" s="64">
        <v>0</v>
      </c>
    </row>
    <row r="542" spans="1:8" x14ac:dyDescent="0.25">
      <c r="A542" s="60"/>
      <c r="D542" s="61" t="s">
        <v>53</v>
      </c>
      <c r="E542" s="127" t="s">
        <v>1118</v>
      </c>
      <c r="F542" s="127"/>
      <c r="G542" s="62">
        <v>1</v>
      </c>
      <c r="H542" s="63"/>
    </row>
    <row r="543" spans="1:8" x14ac:dyDescent="0.25">
      <c r="A543" s="2" t="s">
        <v>856</v>
      </c>
      <c r="B543" s="3" t="s">
        <v>50</v>
      </c>
      <c r="C543" s="3" t="s">
        <v>789</v>
      </c>
      <c r="D543" s="116" t="s">
        <v>857</v>
      </c>
      <c r="E543" s="116"/>
      <c r="F543" s="3" t="s">
        <v>56</v>
      </c>
      <c r="G543" s="30">
        <v>1</v>
      </c>
      <c r="H543" s="64">
        <v>0</v>
      </c>
    </row>
    <row r="544" spans="1:8" x14ac:dyDescent="0.25">
      <c r="A544" s="60"/>
      <c r="D544" s="61" t="s">
        <v>53</v>
      </c>
      <c r="E544" s="127" t="s">
        <v>1118</v>
      </c>
      <c r="F544" s="127"/>
      <c r="G544" s="62">
        <v>1</v>
      </c>
      <c r="H544" s="63"/>
    </row>
    <row r="545" spans="1:8" x14ac:dyDescent="0.25">
      <c r="A545" s="2" t="s">
        <v>858</v>
      </c>
      <c r="B545" s="3" t="s">
        <v>50</v>
      </c>
      <c r="C545" s="3" t="s">
        <v>859</v>
      </c>
      <c r="D545" s="116" t="s">
        <v>860</v>
      </c>
      <c r="E545" s="116"/>
      <c r="F545" s="3" t="s">
        <v>56</v>
      </c>
      <c r="G545" s="30">
        <v>1</v>
      </c>
      <c r="H545" s="64">
        <v>0</v>
      </c>
    </row>
    <row r="546" spans="1:8" x14ac:dyDescent="0.25">
      <c r="A546" s="60"/>
      <c r="D546" s="61" t="s">
        <v>53</v>
      </c>
      <c r="E546" s="127" t="s">
        <v>1118</v>
      </c>
      <c r="F546" s="127"/>
      <c r="G546" s="62">
        <v>1</v>
      </c>
      <c r="H546" s="63"/>
    </row>
    <row r="547" spans="1:8" x14ac:dyDescent="0.25">
      <c r="A547" s="2" t="s">
        <v>861</v>
      </c>
      <c r="B547" s="3" t="s">
        <v>50</v>
      </c>
      <c r="C547" s="3" t="s">
        <v>862</v>
      </c>
      <c r="D547" s="116" t="s">
        <v>863</v>
      </c>
      <c r="E547" s="116"/>
      <c r="F547" s="3" t="s">
        <v>56</v>
      </c>
      <c r="G547" s="30">
        <v>1</v>
      </c>
      <c r="H547" s="64">
        <v>0</v>
      </c>
    </row>
    <row r="548" spans="1:8" x14ac:dyDescent="0.25">
      <c r="A548" s="60"/>
      <c r="D548" s="61" t="s">
        <v>53</v>
      </c>
      <c r="E548" s="127" t="s">
        <v>1118</v>
      </c>
      <c r="F548" s="127"/>
      <c r="G548" s="62">
        <v>1</v>
      </c>
      <c r="H548" s="63"/>
    </row>
    <row r="549" spans="1:8" x14ac:dyDescent="0.25">
      <c r="A549" s="2" t="s">
        <v>864</v>
      </c>
      <c r="B549" s="3" t="s">
        <v>50</v>
      </c>
      <c r="C549" s="3" t="s">
        <v>865</v>
      </c>
      <c r="D549" s="116" t="s">
        <v>866</v>
      </c>
      <c r="E549" s="116"/>
      <c r="F549" s="3" t="s">
        <v>56</v>
      </c>
      <c r="G549" s="30">
        <v>1</v>
      </c>
      <c r="H549" s="64">
        <v>0</v>
      </c>
    </row>
    <row r="550" spans="1:8" x14ac:dyDescent="0.25">
      <c r="A550" s="60"/>
      <c r="D550" s="61" t="s">
        <v>53</v>
      </c>
      <c r="E550" s="127" t="s">
        <v>1118</v>
      </c>
      <c r="F550" s="127"/>
      <c r="G550" s="62">
        <v>1</v>
      </c>
      <c r="H550" s="63"/>
    </row>
    <row r="551" spans="1:8" x14ac:dyDescent="0.25">
      <c r="A551" s="2" t="s">
        <v>867</v>
      </c>
      <c r="B551" s="3" t="s">
        <v>50</v>
      </c>
      <c r="C551" s="3" t="s">
        <v>868</v>
      </c>
      <c r="D551" s="116" t="s">
        <v>869</v>
      </c>
      <c r="E551" s="116"/>
      <c r="F551" s="3" t="s">
        <v>355</v>
      </c>
      <c r="G551" s="30">
        <v>1</v>
      </c>
      <c r="H551" s="64">
        <v>0</v>
      </c>
    </row>
    <row r="552" spans="1:8" x14ac:dyDescent="0.25">
      <c r="A552" s="60"/>
      <c r="D552" s="61" t="s">
        <v>53</v>
      </c>
      <c r="E552" s="127" t="s">
        <v>1118</v>
      </c>
      <c r="F552" s="127"/>
      <c r="G552" s="62">
        <v>1</v>
      </c>
      <c r="H552" s="63"/>
    </row>
    <row r="553" spans="1:8" x14ac:dyDescent="0.25">
      <c r="A553" s="2" t="s">
        <v>871</v>
      </c>
      <c r="B553" s="3" t="s">
        <v>50</v>
      </c>
      <c r="C553" s="3" t="s">
        <v>872</v>
      </c>
      <c r="D553" s="116" t="s">
        <v>873</v>
      </c>
      <c r="E553" s="116"/>
      <c r="F553" s="3" t="s">
        <v>56</v>
      </c>
      <c r="G553" s="30">
        <v>1</v>
      </c>
      <c r="H553" s="64">
        <v>0</v>
      </c>
    </row>
    <row r="554" spans="1:8" x14ac:dyDescent="0.25">
      <c r="A554" s="60"/>
      <c r="D554" s="61" t="s">
        <v>53</v>
      </c>
      <c r="E554" s="127" t="s">
        <v>1118</v>
      </c>
      <c r="F554" s="127"/>
      <c r="G554" s="62">
        <v>1</v>
      </c>
      <c r="H554" s="63"/>
    </row>
    <row r="555" spans="1:8" x14ac:dyDescent="0.25">
      <c r="A555" s="2" t="s">
        <v>874</v>
      </c>
      <c r="B555" s="3" t="s">
        <v>50</v>
      </c>
      <c r="C555" s="3" t="s">
        <v>875</v>
      </c>
      <c r="D555" s="116" t="s">
        <v>876</v>
      </c>
      <c r="E555" s="116"/>
      <c r="F555" s="3" t="s">
        <v>776</v>
      </c>
      <c r="G555" s="30">
        <v>1</v>
      </c>
      <c r="H555" s="64">
        <v>0</v>
      </c>
    </row>
    <row r="556" spans="1:8" x14ac:dyDescent="0.25">
      <c r="A556" s="60"/>
      <c r="D556" s="61" t="s">
        <v>53</v>
      </c>
      <c r="E556" s="127" t="s">
        <v>50</v>
      </c>
      <c r="F556" s="127"/>
      <c r="G556" s="62">
        <v>1</v>
      </c>
      <c r="H556" s="63"/>
    </row>
    <row r="557" spans="1:8" x14ac:dyDescent="0.25">
      <c r="A557" s="2" t="s">
        <v>877</v>
      </c>
      <c r="B557" s="3" t="s">
        <v>50</v>
      </c>
      <c r="C557" s="3" t="s">
        <v>162</v>
      </c>
      <c r="D557" s="116" t="s">
        <v>163</v>
      </c>
      <c r="E557" s="116"/>
      <c r="F557" s="3" t="s">
        <v>109</v>
      </c>
      <c r="G557" s="30">
        <v>5.6980000000000003E-2</v>
      </c>
      <c r="H557" s="64">
        <v>0</v>
      </c>
    </row>
    <row r="558" spans="1:8" x14ac:dyDescent="0.25">
      <c r="A558" s="2" t="s">
        <v>880</v>
      </c>
      <c r="B558" s="3" t="s">
        <v>50</v>
      </c>
      <c r="C558" s="3" t="s">
        <v>881</v>
      </c>
      <c r="D558" s="116" t="s">
        <v>882</v>
      </c>
      <c r="E558" s="116"/>
      <c r="F558" s="3" t="s">
        <v>99</v>
      </c>
      <c r="G558" s="30">
        <v>15</v>
      </c>
      <c r="H558" s="64">
        <v>0</v>
      </c>
    </row>
    <row r="559" spans="1:8" x14ac:dyDescent="0.25">
      <c r="A559" s="60"/>
      <c r="D559" s="61" t="s">
        <v>106</v>
      </c>
      <c r="E559" s="127" t="s">
        <v>50</v>
      </c>
      <c r="F559" s="127"/>
      <c r="G559" s="62">
        <v>15</v>
      </c>
      <c r="H559" s="63"/>
    </row>
    <row r="560" spans="1:8" x14ac:dyDescent="0.25">
      <c r="A560" s="2" t="s">
        <v>885</v>
      </c>
      <c r="B560" s="3" t="s">
        <v>50</v>
      </c>
      <c r="C560" s="3" t="s">
        <v>886</v>
      </c>
      <c r="D560" s="116" t="s">
        <v>887</v>
      </c>
      <c r="E560" s="116"/>
      <c r="F560" s="3" t="s">
        <v>99</v>
      </c>
      <c r="G560" s="30">
        <v>15</v>
      </c>
      <c r="H560" s="64">
        <v>0</v>
      </c>
    </row>
    <row r="561" spans="1:8" x14ac:dyDescent="0.25">
      <c r="A561" s="60"/>
      <c r="D561" s="61" t="s">
        <v>106</v>
      </c>
      <c r="E561" s="127" t="s">
        <v>50</v>
      </c>
      <c r="F561" s="127"/>
      <c r="G561" s="62">
        <v>15</v>
      </c>
      <c r="H561" s="63"/>
    </row>
    <row r="562" spans="1:8" x14ac:dyDescent="0.25">
      <c r="A562" s="2" t="s">
        <v>889</v>
      </c>
      <c r="B562" s="3" t="s">
        <v>50</v>
      </c>
      <c r="C562" s="3" t="s">
        <v>890</v>
      </c>
      <c r="D562" s="116" t="s">
        <v>891</v>
      </c>
      <c r="E562" s="116"/>
      <c r="F562" s="3" t="s">
        <v>99</v>
      </c>
      <c r="G562" s="30">
        <v>400</v>
      </c>
      <c r="H562" s="64">
        <v>0</v>
      </c>
    </row>
    <row r="563" spans="1:8" x14ac:dyDescent="0.25">
      <c r="A563" s="60"/>
      <c r="D563" s="61" t="s">
        <v>1120</v>
      </c>
      <c r="E563" s="127" t="s">
        <v>50</v>
      </c>
      <c r="F563" s="127"/>
      <c r="G563" s="62">
        <v>400</v>
      </c>
      <c r="H563" s="63"/>
    </row>
    <row r="564" spans="1:8" x14ac:dyDescent="0.25">
      <c r="A564" s="2" t="s">
        <v>893</v>
      </c>
      <c r="B564" s="3" t="s">
        <v>50</v>
      </c>
      <c r="C564" s="3" t="s">
        <v>894</v>
      </c>
      <c r="D564" s="116" t="s">
        <v>895</v>
      </c>
      <c r="E564" s="116"/>
      <c r="F564" s="3" t="s">
        <v>99</v>
      </c>
      <c r="G564" s="30">
        <v>15</v>
      </c>
      <c r="H564" s="64">
        <v>0</v>
      </c>
    </row>
    <row r="565" spans="1:8" x14ac:dyDescent="0.25">
      <c r="A565" s="60"/>
      <c r="D565" s="61" t="s">
        <v>106</v>
      </c>
      <c r="E565" s="127" t="s">
        <v>50</v>
      </c>
      <c r="F565" s="127"/>
      <c r="G565" s="62">
        <v>15</v>
      </c>
      <c r="H565" s="63"/>
    </row>
    <row r="566" spans="1:8" x14ac:dyDescent="0.25">
      <c r="A566" s="2" t="s">
        <v>897</v>
      </c>
      <c r="B566" s="3" t="s">
        <v>50</v>
      </c>
      <c r="C566" s="3" t="s">
        <v>898</v>
      </c>
      <c r="D566" s="116" t="s">
        <v>899</v>
      </c>
      <c r="E566" s="116"/>
      <c r="F566" s="3" t="s">
        <v>99</v>
      </c>
      <c r="G566" s="30">
        <v>250</v>
      </c>
      <c r="H566" s="64">
        <v>0</v>
      </c>
    </row>
    <row r="567" spans="1:8" x14ac:dyDescent="0.25">
      <c r="A567" s="60"/>
      <c r="D567" s="61" t="s">
        <v>901</v>
      </c>
      <c r="E567" s="127" t="s">
        <v>50</v>
      </c>
      <c r="F567" s="127"/>
      <c r="G567" s="62">
        <v>250</v>
      </c>
      <c r="H567" s="63"/>
    </row>
    <row r="568" spans="1:8" x14ac:dyDescent="0.25">
      <c r="A568" s="2" t="s">
        <v>901</v>
      </c>
      <c r="B568" s="3" t="s">
        <v>50</v>
      </c>
      <c r="C568" s="3" t="s">
        <v>902</v>
      </c>
      <c r="D568" s="116" t="s">
        <v>903</v>
      </c>
      <c r="E568" s="116"/>
      <c r="F568" s="3" t="s">
        <v>99</v>
      </c>
      <c r="G568" s="30">
        <v>45</v>
      </c>
      <c r="H568" s="64">
        <v>0</v>
      </c>
    </row>
    <row r="569" spans="1:8" x14ac:dyDescent="0.25">
      <c r="A569" s="60"/>
      <c r="D569" s="61" t="s">
        <v>206</v>
      </c>
      <c r="E569" s="127" t="s">
        <v>50</v>
      </c>
      <c r="F569" s="127"/>
      <c r="G569" s="62">
        <v>45</v>
      </c>
      <c r="H569" s="63"/>
    </row>
    <row r="570" spans="1:8" x14ac:dyDescent="0.25">
      <c r="A570" s="2" t="s">
        <v>905</v>
      </c>
      <c r="B570" s="3" t="s">
        <v>50</v>
      </c>
      <c r="C570" s="3" t="s">
        <v>906</v>
      </c>
      <c r="D570" s="116" t="s">
        <v>907</v>
      </c>
      <c r="E570" s="116"/>
      <c r="F570" s="3" t="s">
        <v>99</v>
      </c>
      <c r="G570" s="30">
        <v>2.5</v>
      </c>
      <c r="H570" s="64">
        <v>0</v>
      </c>
    </row>
    <row r="571" spans="1:8" x14ac:dyDescent="0.25">
      <c r="A571" s="60"/>
      <c r="D571" s="61" t="s">
        <v>1121</v>
      </c>
      <c r="E571" s="127" t="s">
        <v>50</v>
      </c>
      <c r="F571" s="127"/>
      <c r="G571" s="62">
        <v>2.5</v>
      </c>
      <c r="H571" s="63"/>
    </row>
    <row r="572" spans="1:8" x14ac:dyDescent="0.25">
      <c r="A572" s="2" t="s">
        <v>909</v>
      </c>
      <c r="B572" s="3" t="s">
        <v>50</v>
      </c>
      <c r="C572" s="3" t="s">
        <v>910</v>
      </c>
      <c r="D572" s="116" t="s">
        <v>911</v>
      </c>
      <c r="E572" s="116"/>
      <c r="F572" s="3" t="s">
        <v>99</v>
      </c>
      <c r="G572" s="30">
        <v>50</v>
      </c>
      <c r="H572" s="64">
        <v>0</v>
      </c>
    </row>
    <row r="573" spans="1:8" x14ac:dyDescent="0.25">
      <c r="A573" s="60"/>
      <c r="D573" s="61" t="s">
        <v>222</v>
      </c>
      <c r="E573" s="127" t="s">
        <v>50</v>
      </c>
      <c r="F573" s="127"/>
      <c r="G573" s="62">
        <v>50</v>
      </c>
      <c r="H573" s="63"/>
    </row>
    <row r="574" spans="1:8" x14ac:dyDescent="0.25">
      <c r="A574" s="2" t="s">
        <v>913</v>
      </c>
      <c r="B574" s="3" t="s">
        <v>50</v>
      </c>
      <c r="C574" s="3" t="s">
        <v>914</v>
      </c>
      <c r="D574" s="116" t="s">
        <v>915</v>
      </c>
      <c r="E574" s="116"/>
      <c r="F574" s="3" t="s">
        <v>99</v>
      </c>
      <c r="G574" s="30">
        <v>50</v>
      </c>
      <c r="H574" s="64">
        <v>0</v>
      </c>
    </row>
    <row r="575" spans="1:8" x14ac:dyDescent="0.25">
      <c r="A575" s="60"/>
      <c r="D575" s="61" t="s">
        <v>222</v>
      </c>
      <c r="E575" s="127" t="s">
        <v>50</v>
      </c>
      <c r="F575" s="127"/>
      <c r="G575" s="62">
        <v>50</v>
      </c>
      <c r="H575" s="63"/>
    </row>
    <row r="576" spans="1:8" x14ac:dyDescent="0.25">
      <c r="A576" s="2" t="s">
        <v>917</v>
      </c>
      <c r="B576" s="3" t="s">
        <v>50</v>
      </c>
      <c r="C576" s="3" t="s">
        <v>918</v>
      </c>
      <c r="D576" s="116" t="s">
        <v>919</v>
      </c>
      <c r="E576" s="116"/>
      <c r="F576" s="3" t="s">
        <v>99</v>
      </c>
      <c r="G576" s="30">
        <v>10</v>
      </c>
      <c r="H576" s="64">
        <v>0</v>
      </c>
    </row>
    <row r="577" spans="1:8" x14ac:dyDescent="0.25">
      <c r="A577" s="60"/>
      <c r="D577" s="61" t="s">
        <v>90</v>
      </c>
      <c r="E577" s="127" t="s">
        <v>50</v>
      </c>
      <c r="F577" s="127"/>
      <c r="G577" s="62">
        <v>10</v>
      </c>
      <c r="H577" s="63"/>
    </row>
    <row r="578" spans="1:8" x14ac:dyDescent="0.25">
      <c r="A578" s="2" t="s">
        <v>921</v>
      </c>
      <c r="B578" s="3" t="s">
        <v>50</v>
      </c>
      <c r="C578" s="3" t="s">
        <v>162</v>
      </c>
      <c r="D578" s="116" t="s">
        <v>163</v>
      </c>
      <c r="E578" s="116"/>
      <c r="F578" s="3" t="s">
        <v>109</v>
      </c>
      <c r="G578" s="30">
        <v>0.14169999999999999</v>
      </c>
      <c r="H578" s="64">
        <v>0</v>
      </c>
    </row>
    <row r="579" spans="1:8" x14ac:dyDescent="0.25">
      <c r="A579" s="66"/>
      <c r="B579" s="67"/>
      <c r="C579" s="67"/>
      <c r="D579" s="68" t="s">
        <v>1122</v>
      </c>
      <c r="E579" s="132" t="s">
        <v>50</v>
      </c>
      <c r="F579" s="132"/>
      <c r="G579" s="69">
        <v>0.13800000000000001</v>
      </c>
      <c r="H579" s="70"/>
    </row>
    <row r="581" spans="1:8" x14ac:dyDescent="0.25">
      <c r="A581" s="51" t="s">
        <v>923</v>
      </c>
    </row>
    <row r="582" spans="1:8" ht="12.75" customHeight="1" x14ac:dyDescent="0.25">
      <c r="A582" s="121" t="s">
        <v>50</v>
      </c>
      <c r="B582" s="116"/>
      <c r="C582" s="116"/>
      <c r="D582" s="116"/>
      <c r="E582" s="116"/>
      <c r="F582" s="116"/>
      <c r="G582" s="116"/>
    </row>
  </sheetData>
  <sheetProtection password="C7C0" sheet="1"/>
  <mergeCells count="588">
    <mergeCell ref="E579:F579"/>
    <mergeCell ref="A582:G582"/>
    <mergeCell ref="D574:E574"/>
    <mergeCell ref="E575:F575"/>
    <mergeCell ref="D576:E576"/>
    <mergeCell ref="E577:F577"/>
    <mergeCell ref="D578:E578"/>
    <mergeCell ref="E569:F569"/>
    <mergeCell ref="D570:E570"/>
    <mergeCell ref="E571:F571"/>
    <mergeCell ref="D572:E572"/>
    <mergeCell ref="E573:F573"/>
    <mergeCell ref="D564:E564"/>
    <mergeCell ref="E565:F565"/>
    <mergeCell ref="D566:E566"/>
    <mergeCell ref="E567:F567"/>
    <mergeCell ref="D568:E568"/>
    <mergeCell ref="E559:F559"/>
    <mergeCell ref="D560:E560"/>
    <mergeCell ref="E561:F561"/>
    <mergeCell ref="D562:E562"/>
    <mergeCell ref="E563:F563"/>
    <mergeCell ref="E554:F554"/>
    <mergeCell ref="D555:E555"/>
    <mergeCell ref="E556:F556"/>
    <mergeCell ref="D557:E557"/>
    <mergeCell ref="D558:E558"/>
    <mergeCell ref="D549:E549"/>
    <mergeCell ref="E550:F550"/>
    <mergeCell ref="D551:E551"/>
    <mergeCell ref="E552:F552"/>
    <mergeCell ref="D553:E553"/>
    <mergeCell ref="E544:F544"/>
    <mergeCell ref="D545:E545"/>
    <mergeCell ref="E546:F546"/>
    <mergeCell ref="D547:E547"/>
    <mergeCell ref="E548:F548"/>
    <mergeCell ref="D539:E539"/>
    <mergeCell ref="E540:F540"/>
    <mergeCell ref="D541:E541"/>
    <mergeCell ref="E542:F542"/>
    <mergeCell ref="D543:E543"/>
    <mergeCell ref="E534:F534"/>
    <mergeCell ref="D535:E535"/>
    <mergeCell ref="E536:F536"/>
    <mergeCell ref="D537:E537"/>
    <mergeCell ref="E538:F538"/>
    <mergeCell ref="D529:E529"/>
    <mergeCell ref="E530:F530"/>
    <mergeCell ref="D531:E531"/>
    <mergeCell ref="E532:F532"/>
    <mergeCell ref="D533:E533"/>
    <mergeCell ref="E524:F524"/>
    <mergeCell ref="D525:E525"/>
    <mergeCell ref="E526:F526"/>
    <mergeCell ref="D527:E527"/>
    <mergeCell ref="E528:F528"/>
    <mergeCell ref="D519:E519"/>
    <mergeCell ref="E520:F520"/>
    <mergeCell ref="D521:E521"/>
    <mergeCell ref="E522:F522"/>
    <mergeCell ref="D523:E523"/>
    <mergeCell ref="E514:F514"/>
    <mergeCell ref="D515:E515"/>
    <mergeCell ref="E516:F516"/>
    <mergeCell ref="D517:E517"/>
    <mergeCell ref="E518:F518"/>
    <mergeCell ref="D509:E509"/>
    <mergeCell ref="E510:F510"/>
    <mergeCell ref="D511:E511"/>
    <mergeCell ref="E512:F512"/>
    <mergeCell ref="D513:E513"/>
    <mergeCell ref="E504:F504"/>
    <mergeCell ref="D505:E505"/>
    <mergeCell ref="E506:F506"/>
    <mergeCell ref="D507:E507"/>
    <mergeCell ref="E508:F508"/>
    <mergeCell ref="D499:E499"/>
    <mergeCell ref="E500:F500"/>
    <mergeCell ref="D501:E501"/>
    <mergeCell ref="E502:F502"/>
    <mergeCell ref="D503:E503"/>
    <mergeCell ref="E494:F494"/>
    <mergeCell ref="D495:E495"/>
    <mergeCell ref="E496:F496"/>
    <mergeCell ref="D497:E497"/>
    <mergeCell ref="E498:F498"/>
    <mergeCell ref="E489:F489"/>
    <mergeCell ref="E490:F490"/>
    <mergeCell ref="D491:E491"/>
    <mergeCell ref="E492:F492"/>
    <mergeCell ref="D493:E493"/>
    <mergeCell ref="E484:F484"/>
    <mergeCell ref="E485:F485"/>
    <mergeCell ref="E486:F486"/>
    <mergeCell ref="E487:F487"/>
    <mergeCell ref="E488:F488"/>
    <mergeCell ref="D479:E479"/>
    <mergeCell ref="E480:F480"/>
    <mergeCell ref="E481:F481"/>
    <mergeCell ref="E482:F482"/>
    <mergeCell ref="E483:F483"/>
    <mergeCell ref="E474:F474"/>
    <mergeCell ref="E475:F475"/>
    <mergeCell ref="E476:F476"/>
    <mergeCell ref="E477:F477"/>
    <mergeCell ref="E478:F478"/>
    <mergeCell ref="E469:F469"/>
    <mergeCell ref="E470:F470"/>
    <mergeCell ref="E471:F471"/>
    <mergeCell ref="E472:F472"/>
    <mergeCell ref="E473:F473"/>
    <mergeCell ref="D464:E464"/>
    <mergeCell ref="E465:F465"/>
    <mergeCell ref="D466:E466"/>
    <mergeCell ref="E467:F467"/>
    <mergeCell ref="E468:F468"/>
    <mergeCell ref="E459:F459"/>
    <mergeCell ref="E460:F460"/>
    <mergeCell ref="E461:F461"/>
    <mergeCell ref="D462:E462"/>
    <mergeCell ref="E463:F463"/>
    <mergeCell ref="E454:F454"/>
    <mergeCell ref="E455:F455"/>
    <mergeCell ref="E456:F456"/>
    <mergeCell ref="D457:E457"/>
    <mergeCell ref="E458:F458"/>
    <mergeCell ref="E449:F449"/>
    <mergeCell ref="D450:E450"/>
    <mergeCell ref="E451:F451"/>
    <mergeCell ref="D452:E452"/>
    <mergeCell ref="D453:E453"/>
    <mergeCell ref="D444:E444"/>
    <mergeCell ref="E445:F445"/>
    <mergeCell ref="D446:E446"/>
    <mergeCell ref="E447:F447"/>
    <mergeCell ref="D448:E448"/>
    <mergeCell ref="D439:E439"/>
    <mergeCell ref="E440:F440"/>
    <mergeCell ref="D441:E441"/>
    <mergeCell ref="E442:F442"/>
    <mergeCell ref="E443:F443"/>
    <mergeCell ref="D434:E434"/>
    <mergeCell ref="D435:E435"/>
    <mergeCell ref="D436:E436"/>
    <mergeCell ref="D437:E437"/>
    <mergeCell ref="E438:F438"/>
    <mergeCell ref="E429:F429"/>
    <mergeCell ref="D430:E430"/>
    <mergeCell ref="E431:F431"/>
    <mergeCell ref="D432:E432"/>
    <mergeCell ref="E433:F433"/>
    <mergeCell ref="E424:F424"/>
    <mergeCell ref="D425:E425"/>
    <mergeCell ref="E426:F426"/>
    <mergeCell ref="D427:E427"/>
    <mergeCell ref="D428:E428"/>
    <mergeCell ref="D419:E419"/>
    <mergeCell ref="E420:F420"/>
    <mergeCell ref="D421:E421"/>
    <mergeCell ref="E422:F422"/>
    <mergeCell ref="D423:E423"/>
    <mergeCell ref="E414:F414"/>
    <mergeCell ref="D415:E415"/>
    <mergeCell ref="E416:F416"/>
    <mergeCell ref="D417:E417"/>
    <mergeCell ref="E418:F418"/>
    <mergeCell ref="E409:F409"/>
    <mergeCell ref="E410:F410"/>
    <mergeCell ref="E411:F411"/>
    <mergeCell ref="D412:E412"/>
    <mergeCell ref="E413:F413"/>
    <mergeCell ref="E404:F404"/>
    <mergeCell ref="D405:E405"/>
    <mergeCell ref="E406:F406"/>
    <mergeCell ref="E407:F407"/>
    <mergeCell ref="D408:E408"/>
    <mergeCell ref="E399:F399"/>
    <mergeCell ref="E400:F400"/>
    <mergeCell ref="D401:E401"/>
    <mergeCell ref="E402:F402"/>
    <mergeCell ref="E403:F403"/>
    <mergeCell ref="E394:F394"/>
    <mergeCell ref="D395:E395"/>
    <mergeCell ref="E396:F396"/>
    <mergeCell ref="E397:F397"/>
    <mergeCell ref="D398:E398"/>
    <mergeCell ref="D389:E389"/>
    <mergeCell ref="D390:E390"/>
    <mergeCell ref="E391:F391"/>
    <mergeCell ref="D392:E392"/>
    <mergeCell ref="E393:F393"/>
    <mergeCell ref="D384:E384"/>
    <mergeCell ref="E385:F385"/>
    <mergeCell ref="D386:E386"/>
    <mergeCell ref="E387:F387"/>
    <mergeCell ref="D388:E388"/>
    <mergeCell ref="D379:E379"/>
    <mergeCell ref="E380:F380"/>
    <mergeCell ref="D381:E381"/>
    <mergeCell ref="E382:F382"/>
    <mergeCell ref="D383:E383"/>
    <mergeCell ref="E374:F374"/>
    <mergeCell ref="D375:E375"/>
    <mergeCell ref="E376:F376"/>
    <mergeCell ref="D377:E377"/>
    <mergeCell ref="E378:F378"/>
    <mergeCell ref="E369:F369"/>
    <mergeCell ref="D370:E370"/>
    <mergeCell ref="D371:E371"/>
    <mergeCell ref="E372:F372"/>
    <mergeCell ref="D373:E373"/>
    <mergeCell ref="E364:F364"/>
    <mergeCell ref="D365:E365"/>
    <mergeCell ref="D366:E366"/>
    <mergeCell ref="E367:F367"/>
    <mergeCell ref="D368:E368"/>
    <mergeCell ref="E359:F359"/>
    <mergeCell ref="D360:E360"/>
    <mergeCell ref="D361:E361"/>
    <mergeCell ref="E362:F362"/>
    <mergeCell ref="D363:E363"/>
    <mergeCell ref="D354:E354"/>
    <mergeCell ref="E355:F355"/>
    <mergeCell ref="D356:E356"/>
    <mergeCell ref="E357:F357"/>
    <mergeCell ref="D358:E358"/>
    <mergeCell ref="D349:E349"/>
    <mergeCell ref="E350:F350"/>
    <mergeCell ref="D351:E351"/>
    <mergeCell ref="D352:E352"/>
    <mergeCell ref="E353:F353"/>
    <mergeCell ref="E344:F344"/>
    <mergeCell ref="D345:E345"/>
    <mergeCell ref="E346:F346"/>
    <mergeCell ref="D347:E347"/>
    <mergeCell ref="E348:F348"/>
    <mergeCell ref="D339:E339"/>
    <mergeCell ref="E340:F340"/>
    <mergeCell ref="D341:E341"/>
    <mergeCell ref="E342:F342"/>
    <mergeCell ref="D343:E343"/>
    <mergeCell ref="D334:E334"/>
    <mergeCell ref="E335:F335"/>
    <mergeCell ref="D336:E336"/>
    <mergeCell ref="D337:E337"/>
    <mergeCell ref="E338:F338"/>
    <mergeCell ref="E329:F329"/>
    <mergeCell ref="D330:E330"/>
    <mergeCell ref="E331:F331"/>
    <mergeCell ref="D332:E332"/>
    <mergeCell ref="E333:F333"/>
    <mergeCell ref="E324:F324"/>
    <mergeCell ref="D325:E325"/>
    <mergeCell ref="E326:F326"/>
    <mergeCell ref="D327:E327"/>
    <mergeCell ref="D328:E328"/>
    <mergeCell ref="D319:E319"/>
    <mergeCell ref="E320:F320"/>
    <mergeCell ref="D321:E321"/>
    <mergeCell ref="E322:F322"/>
    <mergeCell ref="D323:E323"/>
    <mergeCell ref="E314:F314"/>
    <mergeCell ref="D315:E315"/>
    <mergeCell ref="E316:F316"/>
    <mergeCell ref="D317:E317"/>
    <mergeCell ref="E318:F318"/>
    <mergeCell ref="E309:F309"/>
    <mergeCell ref="D310:E310"/>
    <mergeCell ref="E311:F311"/>
    <mergeCell ref="D312:E312"/>
    <mergeCell ref="D313:E313"/>
    <mergeCell ref="D304:E304"/>
    <mergeCell ref="E305:F305"/>
    <mergeCell ref="D306:E306"/>
    <mergeCell ref="E307:F307"/>
    <mergeCell ref="D308:E308"/>
    <mergeCell ref="E299:F299"/>
    <mergeCell ref="D300:E300"/>
    <mergeCell ref="E301:F301"/>
    <mergeCell ref="D302:E302"/>
    <mergeCell ref="E303:F303"/>
    <mergeCell ref="E294:F294"/>
    <mergeCell ref="E295:F295"/>
    <mergeCell ref="D296:E296"/>
    <mergeCell ref="E297:F297"/>
    <mergeCell ref="D298:E298"/>
    <mergeCell ref="D289:E289"/>
    <mergeCell ref="D290:E290"/>
    <mergeCell ref="E291:F291"/>
    <mergeCell ref="D292:E292"/>
    <mergeCell ref="E293:F293"/>
    <mergeCell ref="E284:F284"/>
    <mergeCell ref="D285:E285"/>
    <mergeCell ref="E286:F286"/>
    <mergeCell ref="D287:E287"/>
    <mergeCell ref="E288:F288"/>
    <mergeCell ref="D279:E279"/>
    <mergeCell ref="E280:F280"/>
    <mergeCell ref="D281:E281"/>
    <mergeCell ref="E282:F282"/>
    <mergeCell ref="D283:E283"/>
    <mergeCell ref="E274:F274"/>
    <mergeCell ref="D275:E275"/>
    <mergeCell ref="E276:F276"/>
    <mergeCell ref="D277:E277"/>
    <mergeCell ref="E278:F278"/>
    <mergeCell ref="D269:E269"/>
    <mergeCell ref="E270:F270"/>
    <mergeCell ref="D271:E271"/>
    <mergeCell ref="E272:F272"/>
    <mergeCell ref="D273:E273"/>
    <mergeCell ref="E264:F264"/>
    <mergeCell ref="D265:E265"/>
    <mergeCell ref="E266:F266"/>
    <mergeCell ref="D267:E267"/>
    <mergeCell ref="E268:F268"/>
    <mergeCell ref="D259:E259"/>
    <mergeCell ref="E260:F260"/>
    <mergeCell ref="D261:E261"/>
    <mergeCell ref="E262:F262"/>
    <mergeCell ref="D263:E263"/>
    <mergeCell ref="E254:F254"/>
    <mergeCell ref="D255:E255"/>
    <mergeCell ref="E256:F256"/>
    <mergeCell ref="D257:E257"/>
    <mergeCell ref="E258:F258"/>
    <mergeCell ref="D249:E249"/>
    <mergeCell ref="E250:F250"/>
    <mergeCell ref="D251:E251"/>
    <mergeCell ref="E252:F252"/>
    <mergeCell ref="D253:E253"/>
    <mergeCell ref="E244:F244"/>
    <mergeCell ref="D245:E245"/>
    <mergeCell ref="E246:F246"/>
    <mergeCell ref="D247:E247"/>
    <mergeCell ref="E248:F248"/>
    <mergeCell ref="D239:E239"/>
    <mergeCell ref="E240:F240"/>
    <mergeCell ref="D241:E241"/>
    <mergeCell ref="E242:F242"/>
    <mergeCell ref="D243:E243"/>
    <mergeCell ref="D234:E234"/>
    <mergeCell ref="E235:F235"/>
    <mergeCell ref="E236:F236"/>
    <mergeCell ref="D237:E237"/>
    <mergeCell ref="E238:F238"/>
    <mergeCell ref="D229:E229"/>
    <mergeCell ref="E230:F230"/>
    <mergeCell ref="D231:E231"/>
    <mergeCell ref="E232:F232"/>
    <mergeCell ref="E233:F233"/>
    <mergeCell ref="E224:F224"/>
    <mergeCell ref="D225:E225"/>
    <mergeCell ref="E226:F226"/>
    <mergeCell ref="D227:E227"/>
    <mergeCell ref="E228:F228"/>
    <mergeCell ref="E219:F219"/>
    <mergeCell ref="D220:E220"/>
    <mergeCell ref="E221:F221"/>
    <mergeCell ref="D222:E222"/>
    <mergeCell ref="D223:E223"/>
    <mergeCell ref="D214:E214"/>
    <mergeCell ref="E215:F215"/>
    <mergeCell ref="D216:E216"/>
    <mergeCell ref="E217:F217"/>
    <mergeCell ref="D218:E218"/>
    <mergeCell ref="D209:E209"/>
    <mergeCell ref="E210:F210"/>
    <mergeCell ref="D211:E211"/>
    <mergeCell ref="E212:F212"/>
    <mergeCell ref="D213:E213"/>
    <mergeCell ref="E204:F204"/>
    <mergeCell ref="D205:E205"/>
    <mergeCell ref="E206:F206"/>
    <mergeCell ref="D207:E207"/>
    <mergeCell ref="E208:F208"/>
    <mergeCell ref="D199:E199"/>
    <mergeCell ref="E200:F200"/>
    <mergeCell ref="D201:E201"/>
    <mergeCell ref="E202:F202"/>
    <mergeCell ref="D203:E203"/>
    <mergeCell ref="E194:F194"/>
    <mergeCell ref="D195:E195"/>
    <mergeCell ref="E196:F196"/>
    <mergeCell ref="D197:E197"/>
    <mergeCell ref="E198:F198"/>
    <mergeCell ref="D189:E189"/>
    <mergeCell ref="E190:F190"/>
    <mergeCell ref="E191:F191"/>
    <mergeCell ref="D192:E192"/>
    <mergeCell ref="E193:F193"/>
    <mergeCell ref="E184:F184"/>
    <mergeCell ref="E185:F185"/>
    <mergeCell ref="D186:E186"/>
    <mergeCell ref="E187:F187"/>
    <mergeCell ref="E188:F188"/>
    <mergeCell ref="E179:F179"/>
    <mergeCell ref="D180:E180"/>
    <mergeCell ref="E181:F181"/>
    <mergeCell ref="E182:F182"/>
    <mergeCell ref="D183:E183"/>
    <mergeCell ref="D174:E174"/>
    <mergeCell ref="E175:F175"/>
    <mergeCell ref="D176:E176"/>
    <mergeCell ref="D177:E177"/>
    <mergeCell ref="E178:F178"/>
    <mergeCell ref="E169:F169"/>
    <mergeCell ref="D170:E170"/>
    <mergeCell ref="E171:F171"/>
    <mergeCell ref="D172:E172"/>
    <mergeCell ref="E173:F173"/>
    <mergeCell ref="D164:E164"/>
    <mergeCell ref="E165:F165"/>
    <mergeCell ref="D166:E166"/>
    <mergeCell ref="E167:F167"/>
    <mergeCell ref="D168:E168"/>
    <mergeCell ref="D159:E159"/>
    <mergeCell ref="E160:F160"/>
    <mergeCell ref="D161:E161"/>
    <mergeCell ref="D162:E162"/>
    <mergeCell ref="E163:F163"/>
    <mergeCell ref="E154:F154"/>
    <mergeCell ref="D155:E155"/>
    <mergeCell ref="E156:F156"/>
    <mergeCell ref="D157:E157"/>
    <mergeCell ref="E158:F158"/>
    <mergeCell ref="D149:E149"/>
    <mergeCell ref="E150:F150"/>
    <mergeCell ref="D151:E151"/>
    <mergeCell ref="E152:F152"/>
    <mergeCell ref="D153:E153"/>
    <mergeCell ref="D144:E144"/>
    <mergeCell ref="D145:E145"/>
    <mergeCell ref="E146:F146"/>
    <mergeCell ref="D147:E147"/>
    <mergeCell ref="E148:F148"/>
    <mergeCell ref="E139:F139"/>
    <mergeCell ref="D140:E140"/>
    <mergeCell ref="E141:F141"/>
    <mergeCell ref="D142:E142"/>
    <mergeCell ref="E143:F143"/>
    <mergeCell ref="E134:F134"/>
    <mergeCell ref="E135:F135"/>
    <mergeCell ref="E136:F136"/>
    <mergeCell ref="E137:F137"/>
    <mergeCell ref="D138:E138"/>
    <mergeCell ref="E129:F129"/>
    <mergeCell ref="E130:F130"/>
    <mergeCell ref="E131:F131"/>
    <mergeCell ref="E132:F132"/>
    <mergeCell ref="E133:F133"/>
    <mergeCell ref="D124:E124"/>
    <mergeCell ref="E125:F125"/>
    <mergeCell ref="E126:F126"/>
    <mergeCell ref="D127:E127"/>
    <mergeCell ref="E128:F128"/>
    <mergeCell ref="E119:F119"/>
    <mergeCell ref="E120:F120"/>
    <mergeCell ref="E121:F121"/>
    <mergeCell ref="E122:F122"/>
    <mergeCell ref="E123:F123"/>
    <mergeCell ref="E114:F114"/>
    <mergeCell ref="E115:F115"/>
    <mergeCell ref="E116:F116"/>
    <mergeCell ref="E117:F117"/>
    <mergeCell ref="E118:F118"/>
    <mergeCell ref="E109:F109"/>
    <mergeCell ref="E110:F110"/>
    <mergeCell ref="D111:E111"/>
    <mergeCell ref="E112:F112"/>
    <mergeCell ref="D113:E113"/>
    <mergeCell ref="D104:E104"/>
    <mergeCell ref="E105:F105"/>
    <mergeCell ref="E106:F106"/>
    <mergeCell ref="E107:F107"/>
    <mergeCell ref="D108:E108"/>
    <mergeCell ref="E99:F99"/>
    <mergeCell ref="E100:F100"/>
    <mergeCell ref="D101:E101"/>
    <mergeCell ref="E102:F102"/>
    <mergeCell ref="E103:F103"/>
    <mergeCell ref="E94:F94"/>
    <mergeCell ref="E95:F95"/>
    <mergeCell ref="E96:F96"/>
    <mergeCell ref="E97:F97"/>
    <mergeCell ref="E98:F98"/>
    <mergeCell ref="D89:E89"/>
    <mergeCell ref="E90:F90"/>
    <mergeCell ref="E91:F91"/>
    <mergeCell ref="E92:F92"/>
    <mergeCell ref="E93:F93"/>
    <mergeCell ref="D84:E84"/>
    <mergeCell ref="E85:F85"/>
    <mergeCell ref="D86:E86"/>
    <mergeCell ref="E87:F87"/>
    <mergeCell ref="E88:F88"/>
    <mergeCell ref="D79:E79"/>
    <mergeCell ref="D80:E80"/>
    <mergeCell ref="E81:F81"/>
    <mergeCell ref="D82:E82"/>
    <mergeCell ref="E83:F83"/>
    <mergeCell ref="E74:F74"/>
    <mergeCell ref="E75:F75"/>
    <mergeCell ref="D76:E76"/>
    <mergeCell ref="E77:F77"/>
    <mergeCell ref="E78:F78"/>
    <mergeCell ref="E69:F69"/>
    <mergeCell ref="D70:E70"/>
    <mergeCell ref="E71:F71"/>
    <mergeCell ref="D72:E72"/>
    <mergeCell ref="D73:E73"/>
    <mergeCell ref="E64:F64"/>
    <mergeCell ref="E65:F65"/>
    <mergeCell ref="D66:E66"/>
    <mergeCell ref="E67:F67"/>
    <mergeCell ref="D68:E68"/>
    <mergeCell ref="D59:E59"/>
    <mergeCell ref="E60:F60"/>
    <mergeCell ref="D61:E61"/>
    <mergeCell ref="E62:F62"/>
    <mergeCell ref="D63:E63"/>
    <mergeCell ref="E54:F54"/>
    <mergeCell ref="D55:E55"/>
    <mergeCell ref="E56:F56"/>
    <mergeCell ref="D57:E57"/>
    <mergeCell ref="E58:F58"/>
    <mergeCell ref="D49:E49"/>
    <mergeCell ref="E50:F50"/>
    <mergeCell ref="D51:E51"/>
    <mergeCell ref="E52:F52"/>
    <mergeCell ref="D53:E53"/>
    <mergeCell ref="E44:F44"/>
    <mergeCell ref="D45:E45"/>
    <mergeCell ref="E46:F46"/>
    <mergeCell ref="D47:E47"/>
    <mergeCell ref="E48:F48"/>
    <mergeCell ref="D39:E39"/>
    <mergeCell ref="E40:F40"/>
    <mergeCell ref="D41:E41"/>
    <mergeCell ref="D42:E42"/>
    <mergeCell ref="D43:E43"/>
    <mergeCell ref="D34:E34"/>
    <mergeCell ref="E35:F35"/>
    <mergeCell ref="D36:E36"/>
    <mergeCell ref="E37:F37"/>
    <mergeCell ref="E38:F38"/>
    <mergeCell ref="D29:E29"/>
    <mergeCell ref="E30:F30"/>
    <mergeCell ref="E31:F31"/>
    <mergeCell ref="D32:E32"/>
    <mergeCell ref="E33:F33"/>
    <mergeCell ref="E24:F24"/>
    <mergeCell ref="D25:E25"/>
    <mergeCell ref="E26:F26"/>
    <mergeCell ref="D27:E27"/>
    <mergeCell ref="E28:F28"/>
    <mergeCell ref="D19:E19"/>
    <mergeCell ref="E20:F20"/>
    <mergeCell ref="D21:E21"/>
    <mergeCell ref="E22:F22"/>
    <mergeCell ref="D23:E23"/>
    <mergeCell ref="E14:F14"/>
    <mergeCell ref="D15:E15"/>
    <mergeCell ref="E16:F16"/>
    <mergeCell ref="D17:E17"/>
    <mergeCell ref="E18:F18"/>
    <mergeCell ref="F8:H9"/>
    <mergeCell ref="D10:E10"/>
    <mergeCell ref="D11:E11"/>
    <mergeCell ref="E12:F12"/>
    <mergeCell ref="D13:E13"/>
    <mergeCell ref="A1:H1"/>
    <mergeCell ref="A2:B3"/>
    <mergeCell ref="A4:B5"/>
    <mergeCell ref="A6:B7"/>
    <mergeCell ref="A8:B9"/>
    <mergeCell ref="E2:E3"/>
    <mergeCell ref="E4:E5"/>
    <mergeCell ref="E6:E7"/>
    <mergeCell ref="E8:E9"/>
    <mergeCell ref="C2:D3"/>
    <mergeCell ref="C4:D5"/>
    <mergeCell ref="C6:D7"/>
    <mergeCell ref="C8:D9"/>
    <mergeCell ref="F2:H3"/>
    <mergeCell ref="F4:H5"/>
    <mergeCell ref="F6:H7"/>
  </mergeCells>
  <pageMargins left="0.393999993801117" right="0.393999993801117" top="0.59100002050399802" bottom="0.59100002050399802" header="0" footer="0"/>
  <pageSetup fitToHeight="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FE84-800D-47BD-918E-B0BB42F9DE3B}">
  <dimension ref="A1:C30"/>
  <sheetViews>
    <sheetView workbookViewId="0">
      <selection activeCell="E27" sqref="E27"/>
    </sheetView>
  </sheetViews>
  <sheetFormatPr defaultRowHeight="15" x14ac:dyDescent="0.25"/>
  <cols>
    <col min="1" max="1" width="53.140625" style="93" customWidth="1"/>
    <col min="2" max="2" width="19.140625" style="93" customWidth="1"/>
    <col min="3" max="3" width="13.140625" style="93" customWidth="1"/>
    <col min="4" max="16384" width="9.140625" style="93"/>
  </cols>
  <sheetData>
    <row r="1" spans="1:3" ht="15.75" thickBot="1" x14ac:dyDescent="0.3">
      <c r="A1" s="109" t="s">
        <v>1229</v>
      </c>
      <c r="B1" s="110"/>
      <c r="C1" s="111"/>
    </row>
    <row r="2" spans="1:3" x14ac:dyDescent="0.25">
      <c r="A2" s="104" t="s">
        <v>1228</v>
      </c>
      <c r="B2" s="103" t="s">
        <v>1227</v>
      </c>
      <c r="C2" s="102" t="s">
        <v>1226</v>
      </c>
    </row>
    <row r="3" spans="1:3" x14ac:dyDescent="0.25">
      <c r="A3" s="101" t="s">
        <v>784</v>
      </c>
      <c r="B3" s="94" t="s">
        <v>1225</v>
      </c>
      <c r="C3" s="100">
        <v>1</v>
      </c>
    </row>
    <row r="4" spans="1:3" x14ac:dyDescent="0.25">
      <c r="A4" s="101" t="s">
        <v>1224</v>
      </c>
      <c r="B4" s="94" t="s">
        <v>1223</v>
      </c>
      <c r="C4" s="105">
        <v>1</v>
      </c>
    </row>
    <row r="5" spans="1:3" x14ac:dyDescent="0.25">
      <c r="A5" s="101" t="s">
        <v>796</v>
      </c>
      <c r="B5" s="94" t="s">
        <v>1222</v>
      </c>
      <c r="C5" s="105">
        <v>1</v>
      </c>
    </row>
    <row r="6" spans="1:3" x14ac:dyDescent="0.25">
      <c r="A6" s="101" t="s">
        <v>802</v>
      </c>
      <c r="B6" s="94" t="s">
        <v>1221</v>
      </c>
      <c r="C6" s="105">
        <v>2</v>
      </c>
    </row>
    <row r="7" spans="1:3" x14ac:dyDescent="0.25">
      <c r="A7" s="101" t="s">
        <v>805</v>
      </c>
      <c r="B7" s="94" t="s">
        <v>1220</v>
      </c>
      <c r="C7" s="105">
        <v>2</v>
      </c>
    </row>
    <row r="8" spans="1:3" x14ac:dyDescent="0.25">
      <c r="A8" s="101" t="s">
        <v>808</v>
      </c>
      <c r="B8" s="94" t="s">
        <v>1219</v>
      </c>
      <c r="C8" s="105">
        <v>9</v>
      </c>
    </row>
    <row r="9" spans="1:3" x14ac:dyDescent="0.25">
      <c r="A9" s="101" t="s">
        <v>811</v>
      </c>
      <c r="B9" s="94" t="s">
        <v>1218</v>
      </c>
      <c r="C9" s="106">
        <v>1</v>
      </c>
    </row>
    <row r="10" spans="1:3" x14ac:dyDescent="0.25">
      <c r="A10" s="101" t="s">
        <v>1217</v>
      </c>
      <c r="B10" s="94" t="s">
        <v>1216</v>
      </c>
      <c r="C10" s="105">
        <v>43</v>
      </c>
    </row>
    <row r="11" spans="1:3" x14ac:dyDescent="0.25">
      <c r="A11" s="101" t="s">
        <v>1215</v>
      </c>
      <c r="B11" s="94" t="s">
        <v>1214</v>
      </c>
      <c r="C11" s="105">
        <v>8</v>
      </c>
    </row>
    <row r="12" spans="1:3" x14ac:dyDescent="0.25">
      <c r="A12" s="101" t="s">
        <v>1213</v>
      </c>
      <c r="B12" s="94" t="s">
        <v>1212</v>
      </c>
      <c r="C12" s="105">
        <v>2</v>
      </c>
    </row>
    <row r="13" spans="1:3" x14ac:dyDescent="0.25">
      <c r="A13" s="101" t="s">
        <v>1211</v>
      </c>
      <c r="B13" s="94" t="s">
        <v>1210</v>
      </c>
      <c r="C13" s="105">
        <v>1</v>
      </c>
    </row>
    <row r="14" spans="1:3" x14ac:dyDescent="0.25">
      <c r="A14" s="101" t="s">
        <v>1209</v>
      </c>
      <c r="B14" s="94" t="s">
        <v>1208</v>
      </c>
      <c r="C14" s="105">
        <v>10</v>
      </c>
    </row>
    <row r="15" spans="1:3" x14ac:dyDescent="0.25">
      <c r="A15" s="101" t="s">
        <v>1207</v>
      </c>
      <c r="B15" s="94" t="s">
        <v>1206</v>
      </c>
      <c r="C15" s="105">
        <v>1</v>
      </c>
    </row>
    <row r="16" spans="1:3" x14ac:dyDescent="0.25">
      <c r="A16" s="101" t="s">
        <v>1205</v>
      </c>
      <c r="B16" s="94" t="s">
        <v>1204</v>
      </c>
      <c r="C16" s="105">
        <v>5</v>
      </c>
    </row>
    <row r="17" spans="1:3" x14ac:dyDescent="0.25">
      <c r="A17" s="101" t="s">
        <v>1203</v>
      </c>
      <c r="B17" s="94" t="s">
        <v>1202</v>
      </c>
      <c r="C17" s="106">
        <v>1</v>
      </c>
    </row>
    <row r="18" spans="1:3" x14ac:dyDescent="0.25">
      <c r="A18" s="101" t="s">
        <v>1201</v>
      </c>
      <c r="B18" s="94" t="s">
        <v>1200</v>
      </c>
      <c r="C18" s="105">
        <v>6</v>
      </c>
    </row>
    <row r="19" spans="1:3" x14ac:dyDescent="0.25">
      <c r="A19" s="101" t="s">
        <v>1199</v>
      </c>
      <c r="B19" s="94" t="s">
        <v>1198</v>
      </c>
      <c r="C19" s="105">
        <v>1</v>
      </c>
    </row>
    <row r="20" spans="1:3" x14ac:dyDescent="0.25">
      <c r="A20" s="101" t="s">
        <v>1197</v>
      </c>
      <c r="B20" s="94" t="s">
        <v>1196</v>
      </c>
      <c r="C20" s="105">
        <v>4</v>
      </c>
    </row>
    <row r="21" spans="1:3" x14ac:dyDescent="0.25">
      <c r="A21" s="101" t="s">
        <v>1195</v>
      </c>
      <c r="B21" s="94" t="s">
        <v>1194</v>
      </c>
      <c r="C21" s="105">
        <v>2</v>
      </c>
    </row>
    <row r="22" spans="1:3" x14ac:dyDescent="0.25">
      <c r="A22" s="101" t="s">
        <v>1193</v>
      </c>
      <c r="B22" s="94" t="s">
        <v>1192</v>
      </c>
      <c r="C22" s="105">
        <v>1</v>
      </c>
    </row>
    <row r="23" spans="1:3" x14ac:dyDescent="0.25">
      <c r="A23" s="101" t="s">
        <v>1191</v>
      </c>
      <c r="B23" s="94" t="s">
        <v>1190</v>
      </c>
      <c r="C23" s="105">
        <v>1</v>
      </c>
    </row>
    <row r="24" spans="1:3" x14ac:dyDescent="0.25">
      <c r="A24" s="101" t="s">
        <v>1189</v>
      </c>
      <c r="B24" s="94" t="s">
        <v>1188</v>
      </c>
      <c r="C24" s="105">
        <v>1</v>
      </c>
    </row>
    <row r="25" spans="1:3" x14ac:dyDescent="0.25">
      <c r="A25" s="101" t="s">
        <v>1187</v>
      </c>
      <c r="B25" s="94" t="s">
        <v>1186</v>
      </c>
      <c r="C25" s="105">
        <v>1</v>
      </c>
    </row>
    <row r="26" spans="1:3" x14ac:dyDescent="0.25">
      <c r="A26" s="101" t="s">
        <v>1185</v>
      </c>
      <c r="B26" s="94" t="s">
        <v>1184</v>
      </c>
      <c r="C26" s="105">
        <v>1</v>
      </c>
    </row>
    <row r="27" spans="1:3" ht="27.95" customHeight="1" x14ac:dyDescent="0.25">
      <c r="A27" s="99" t="s">
        <v>1183</v>
      </c>
      <c r="B27" s="98"/>
      <c r="C27" s="107">
        <v>1</v>
      </c>
    </row>
    <row r="28" spans="1:3" s="95" customFormat="1" ht="15" customHeight="1" thickBot="1" x14ac:dyDescent="0.3">
      <c r="A28" s="97" t="s">
        <v>1182</v>
      </c>
      <c r="B28" s="96" t="s">
        <v>1181</v>
      </c>
      <c r="C28" s="108">
        <v>1</v>
      </c>
    </row>
    <row r="29" spans="1:3" x14ac:dyDescent="0.25">
      <c r="B29" s="94"/>
      <c r="C29" s="94"/>
    </row>
    <row r="30" spans="1:3" x14ac:dyDescent="0.25">
      <c r="B30" s="94"/>
      <c r="C30" s="94"/>
    </row>
  </sheetData>
  <mergeCells count="1">
    <mergeCell ref="A1:C1"/>
  </mergeCells>
  <pageMargins left="0.70866141732283472" right="0.70866141732283472"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workbookViewId="0">
      <selection activeCell="A36" sqref="A36:E36"/>
    </sheetView>
  </sheetViews>
  <sheetFormatPr defaultColWidth="12.140625" defaultRowHeight="15" customHeight="1" x14ac:dyDescent="0.25"/>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x14ac:dyDescent="0.25">
      <c r="A1" s="161" t="s">
        <v>1169</v>
      </c>
      <c r="B1" s="112"/>
      <c r="C1" s="112"/>
      <c r="D1" s="112"/>
      <c r="E1" s="112"/>
      <c r="F1" s="112"/>
      <c r="G1" s="112"/>
      <c r="H1" s="112"/>
      <c r="I1" s="112"/>
    </row>
    <row r="2" spans="1:9" x14ac:dyDescent="0.25">
      <c r="A2" s="113" t="s">
        <v>1</v>
      </c>
      <c r="B2" s="114"/>
      <c r="C2" s="122" t="str">
        <f>'Stavební rozpočet'!C2</f>
        <v>Revitalizace městských bytů v Šumperku - BJ č.1</v>
      </c>
      <c r="D2" s="123"/>
      <c r="E2" s="120" t="s">
        <v>5</v>
      </c>
      <c r="F2" s="120" t="str">
        <f>'Stavební rozpočet'!I2</f>
        <v>Město Šumperk, nám. Míru 1, 787 01 Šumperk</v>
      </c>
      <c r="G2" s="114"/>
      <c r="H2" s="120" t="s">
        <v>1124</v>
      </c>
      <c r="I2" s="125" t="s">
        <v>1125</v>
      </c>
    </row>
    <row r="3" spans="1:9" ht="15" customHeight="1" x14ac:dyDescent="0.25">
      <c r="A3" s="115"/>
      <c r="B3" s="116"/>
      <c r="C3" s="124"/>
      <c r="D3" s="124"/>
      <c r="E3" s="116"/>
      <c r="F3" s="116"/>
      <c r="G3" s="116"/>
      <c r="H3" s="116"/>
      <c r="I3" s="126"/>
    </row>
    <row r="4" spans="1:9" x14ac:dyDescent="0.25">
      <c r="A4" s="117" t="s">
        <v>7</v>
      </c>
      <c r="B4" s="116"/>
      <c r="C4" s="121" t="str">
        <f>'Stavební rozpočet'!C4</f>
        <v>Bytový dům</v>
      </c>
      <c r="D4" s="116"/>
      <c r="E4" s="121" t="s">
        <v>10</v>
      </c>
      <c r="F4" s="121" t="str">
        <f>'Stavební rozpočet'!I4</f>
        <v>Ing. Petr Doleček</v>
      </c>
      <c r="G4" s="116"/>
      <c r="H4" s="121" t="s">
        <v>1124</v>
      </c>
      <c r="I4" s="126" t="s">
        <v>1126</v>
      </c>
    </row>
    <row r="5" spans="1:9" ht="15" customHeight="1" x14ac:dyDescent="0.25">
      <c r="A5" s="115"/>
      <c r="B5" s="116"/>
      <c r="C5" s="116"/>
      <c r="D5" s="116"/>
      <c r="E5" s="116"/>
      <c r="F5" s="116"/>
      <c r="G5" s="116"/>
      <c r="H5" s="116"/>
      <c r="I5" s="126"/>
    </row>
    <row r="6" spans="1:9" x14ac:dyDescent="0.25">
      <c r="A6" s="117" t="s">
        <v>12</v>
      </c>
      <c r="B6" s="116"/>
      <c r="C6" s="121" t="str">
        <f>'Stavební rozpočet'!C6</f>
        <v>17.listopadu 1247/3 Šumperk</v>
      </c>
      <c r="D6" s="116"/>
      <c r="E6" s="121" t="s">
        <v>15</v>
      </c>
      <c r="F6" s="121" t="str">
        <f>'Stavební rozpočet'!I6</f>
        <v> </v>
      </c>
      <c r="G6" s="116"/>
      <c r="H6" s="121" t="s">
        <v>1124</v>
      </c>
      <c r="I6" s="126" t="s">
        <v>50</v>
      </c>
    </row>
    <row r="7" spans="1:9" ht="15" customHeight="1" x14ac:dyDescent="0.25">
      <c r="A7" s="115"/>
      <c r="B7" s="116"/>
      <c r="C7" s="116"/>
      <c r="D7" s="116"/>
      <c r="E7" s="116"/>
      <c r="F7" s="116"/>
      <c r="G7" s="116"/>
      <c r="H7" s="116"/>
      <c r="I7" s="126"/>
    </row>
    <row r="8" spans="1:9" x14ac:dyDescent="0.25">
      <c r="A8" s="117" t="s">
        <v>9</v>
      </c>
      <c r="B8" s="116"/>
      <c r="C8" s="121" t="str">
        <f>'Stavební rozpočet'!G4</f>
        <v xml:space="preserve"> </v>
      </c>
      <c r="D8" s="116"/>
      <c r="E8" s="121" t="s">
        <v>14</v>
      </c>
      <c r="F8" s="121" t="str">
        <f>'Stavební rozpočet'!G6</f>
        <v xml:space="preserve"> </v>
      </c>
      <c r="G8" s="116"/>
      <c r="H8" s="116" t="s">
        <v>1127</v>
      </c>
      <c r="I8" s="162">
        <v>255</v>
      </c>
    </row>
    <row r="9" spans="1:9" x14ac:dyDescent="0.25">
      <c r="A9" s="115"/>
      <c r="B9" s="116"/>
      <c r="C9" s="116"/>
      <c r="D9" s="116"/>
      <c r="E9" s="116"/>
      <c r="F9" s="116"/>
      <c r="G9" s="116"/>
      <c r="H9" s="116"/>
      <c r="I9" s="126"/>
    </row>
    <row r="10" spans="1:9" x14ac:dyDescent="0.25">
      <c r="A10" s="117" t="s">
        <v>17</v>
      </c>
      <c r="B10" s="116"/>
      <c r="C10" s="121" t="str">
        <f>'Stavební rozpočet'!C8</f>
        <v xml:space="preserve"> </v>
      </c>
      <c r="D10" s="116"/>
      <c r="E10" s="121" t="s">
        <v>20</v>
      </c>
      <c r="F10" s="121" t="str">
        <f>'Stavební rozpočet'!I8</f>
        <v>Ing. Petr Doleček</v>
      </c>
      <c r="G10" s="116"/>
      <c r="H10" s="116" t="s">
        <v>1128</v>
      </c>
      <c r="I10" s="164" t="str">
        <f>'Stavební rozpočet'!G8</f>
        <v>26.06.2024</v>
      </c>
    </row>
    <row r="11" spans="1:9" x14ac:dyDescent="0.25">
      <c r="A11" s="169"/>
      <c r="B11" s="163"/>
      <c r="C11" s="163"/>
      <c r="D11" s="163"/>
      <c r="E11" s="163"/>
      <c r="F11" s="163"/>
      <c r="G11" s="163"/>
      <c r="H11" s="163"/>
      <c r="I11" s="165"/>
    </row>
    <row r="13" spans="1:9" ht="15.75" x14ac:dyDescent="0.25">
      <c r="A13" s="200" t="s">
        <v>1170</v>
      </c>
      <c r="B13" s="200"/>
      <c r="C13" s="200"/>
      <c r="D13" s="200"/>
      <c r="E13" s="200"/>
    </row>
    <row r="14" spans="1:9" x14ac:dyDescent="0.25">
      <c r="A14" s="201" t="s">
        <v>1171</v>
      </c>
      <c r="B14" s="202"/>
      <c r="C14" s="202"/>
      <c r="D14" s="202"/>
      <c r="E14" s="203"/>
      <c r="F14" s="85" t="s">
        <v>1172</v>
      </c>
      <c r="G14" s="85" t="s">
        <v>1173</v>
      </c>
      <c r="H14" s="85" t="s">
        <v>1174</v>
      </c>
      <c r="I14" s="85" t="s">
        <v>1172</v>
      </c>
    </row>
    <row r="15" spans="1:9" x14ac:dyDescent="0.25">
      <c r="A15" s="204" t="s">
        <v>1138</v>
      </c>
      <c r="B15" s="205"/>
      <c r="C15" s="205"/>
      <c r="D15" s="205"/>
      <c r="E15" s="206"/>
      <c r="F15" s="86">
        <v>0</v>
      </c>
      <c r="G15" s="87" t="s">
        <v>50</v>
      </c>
      <c r="H15" s="87" t="s">
        <v>50</v>
      </c>
      <c r="I15" s="86">
        <f>F15</f>
        <v>0</v>
      </c>
    </row>
    <row r="16" spans="1:9" x14ac:dyDescent="0.25">
      <c r="A16" s="204" t="s">
        <v>1140</v>
      </c>
      <c r="B16" s="205"/>
      <c r="C16" s="205"/>
      <c r="D16" s="205"/>
      <c r="E16" s="206"/>
      <c r="F16" s="86">
        <v>0</v>
      </c>
      <c r="G16" s="87" t="s">
        <v>50</v>
      </c>
      <c r="H16" s="87" t="s">
        <v>50</v>
      </c>
      <c r="I16" s="86">
        <f>F16</f>
        <v>0</v>
      </c>
    </row>
    <row r="17" spans="1:9" x14ac:dyDescent="0.25">
      <c r="A17" s="207" t="s">
        <v>1143</v>
      </c>
      <c r="B17" s="208"/>
      <c r="C17" s="208"/>
      <c r="D17" s="208"/>
      <c r="E17" s="209"/>
      <c r="F17" s="88">
        <v>0</v>
      </c>
      <c r="G17" s="89" t="s">
        <v>50</v>
      </c>
      <c r="H17" s="89" t="s">
        <v>50</v>
      </c>
      <c r="I17" s="88">
        <f>F17</f>
        <v>0</v>
      </c>
    </row>
    <row r="18" spans="1:9" x14ac:dyDescent="0.25">
      <c r="A18" s="210" t="s">
        <v>1175</v>
      </c>
      <c r="B18" s="211"/>
      <c r="C18" s="211"/>
      <c r="D18" s="211"/>
      <c r="E18" s="212"/>
      <c r="F18" s="90" t="s">
        <v>50</v>
      </c>
      <c r="G18" s="91" t="s">
        <v>50</v>
      </c>
      <c r="H18" s="91" t="s">
        <v>50</v>
      </c>
      <c r="I18" s="92">
        <f>SUM(I15:I17)</f>
        <v>0</v>
      </c>
    </row>
    <row r="20" spans="1:9" x14ac:dyDescent="0.25">
      <c r="A20" s="201" t="s">
        <v>1135</v>
      </c>
      <c r="B20" s="202"/>
      <c r="C20" s="202"/>
      <c r="D20" s="202"/>
      <c r="E20" s="203"/>
      <c r="F20" s="85" t="s">
        <v>1172</v>
      </c>
      <c r="G20" s="85" t="s">
        <v>1173</v>
      </c>
      <c r="H20" s="85" t="s">
        <v>1174</v>
      </c>
      <c r="I20" s="85" t="s">
        <v>1172</v>
      </c>
    </row>
    <row r="21" spans="1:9" x14ac:dyDescent="0.25">
      <c r="A21" s="204" t="s">
        <v>1139</v>
      </c>
      <c r="B21" s="205"/>
      <c r="C21" s="205"/>
      <c r="D21" s="205"/>
      <c r="E21" s="206"/>
      <c r="F21" s="86">
        <v>0</v>
      </c>
      <c r="G21" s="87" t="s">
        <v>50</v>
      </c>
      <c r="H21" s="87" t="s">
        <v>50</v>
      </c>
      <c r="I21" s="86">
        <f t="shared" ref="I21:I26" si="0">F21</f>
        <v>0</v>
      </c>
    </row>
    <row r="22" spans="1:9" x14ac:dyDescent="0.25">
      <c r="A22" s="204" t="s">
        <v>1141</v>
      </c>
      <c r="B22" s="205"/>
      <c r="C22" s="205"/>
      <c r="D22" s="205"/>
      <c r="E22" s="206"/>
      <c r="F22" s="86">
        <v>0</v>
      </c>
      <c r="G22" s="87" t="s">
        <v>50</v>
      </c>
      <c r="H22" s="87" t="s">
        <v>50</v>
      </c>
      <c r="I22" s="86">
        <f t="shared" si="0"/>
        <v>0</v>
      </c>
    </row>
    <row r="23" spans="1:9" x14ac:dyDescent="0.25">
      <c r="A23" s="204" t="s">
        <v>1144</v>
      </c>
      <c r="B23" s="205"/>
      <c r="C23" s="205"/>
      <c r="D23" s="205"/>
      <c r="E23" s="206"/>
      <c r="F23" s="86">
        <v>0</v>
      </c>
      <c r="G23" s="87" t="s">
        <v>50</v>
      </c>
      <c r="H23" s="87" t="s">
        <v>50</v>
      </c>
      <c r="I23" s="86">
        <f t="shared" si="0"/>
        <v>0</v>
      </c>
    </row>
    <row r="24" spans="1:9" x14ac:dyDescent="0.25">
      <c r="A24" s="204" t="s">
        <v>1145</v>
      </c>
      <c r="B24" s="205"/>
      <c r="C24" s="205"/>
      <c r="D24" s="205"/>
      <c r="E24" s="206"/>
      <c r="F24" s="86">
        <v>0</v>
      </c>
      <c r="G24" s="87" t="s">
        <v>50</v>
      </c>
      <c r="H24" s="87" t="s">
        <v>50</v>
      </c>
      <c r="I24" s="86">
        <f t="shared" si="0"/>
        <v>0</v>
      </c>
    </row>
    <row r="25" spans="1:9" x14ac:dyDescent="0.25">
      <c r="A25" s="204" t="s">
        <v>1147</v>
      </c>
      <c r="B25" s="205"/>
      <c r="C25" s="205"/>
      <c r="D25" s="205"/>
      <c r="E25" s="206"/>
      <c r="F25" s="86">
        <v>0</v>
      </c>
      <c r="G25" s="87" t="s">
        <v>50</v>
      </c>
      <c r="H25" s="87" t="s">
        <v>50</v>
      </c>
      <c r="I25" s="86">
        <f t="shared" si="0"/>
        <v>0</v>
      </c>
    </row>
    <row r="26" spans="1:9" x14ac:dyDescent="0.25">
      <c r="A26" s="207" t="s">
        <v>1148</v>
      </c>
      <c r="B26" s="208"/>
      <c r="C26" s="208"/>
      <c r="D26" s="208"/>
      <c r="E26" s="209"/>
      <c r="F26" s="88">
        <v>0</v>
      </c>
      <c r="G26" s="89" t="s">
        <v>50</v>
      </c>
      <c r="H26" s="89" t="s">
        <v>50</v>
      </c>
      <c r="I26" s="88">
        <f t="shared" si="0"/>
        <v>0</v>
      </c>
    </row>
    <row r="27" spans="1:9" x14ac:dyDescent="0.25">
      <c r="A27" s="210" t="s">
        <v>1176</v>
      </c>
      <c r="B27" s="211"/>
      <c r="C27" s="211"/>
      <c r="D27" s="211"/>
      <c r="E27" s="212"/>
      <c r="F27" s="90" t="s">
        <v>50</v>
      </c>
      <c r="G27" s="92">
        <v>3</v>
      </c>
      <c r="H27" s="92">
        <f>'Krycí list rozpočtu'!C22</f>
        <v>0</v>
      </c>
      <c r="I27" s="92">
        <f>ROUND((G27/100)*H27,2)</f>
        <v>0</v>
      </c>
    </row>
    <row r="29" spans="1:9" ht="15.75" x14ac:dyDescent="0.25">
      <c r="A29" s="213" t="s">
        <v>1177</v>
      </c>
      <c r="B29" s="214"/>
      <c r="C29" s="214"/>
      <c r="D29" s="214"/>
      <c r="E29" s="215"/>
      <c r="F29" s="216">
        <f>I18+I27</f>
        <v>0</v>
      </c>
      <c r="G29" s="217"/>
      <c r="H29" s="217"/>
      <c r="I29" s="218"/>
    </row>
    <row r="33" spans="1:9" ht="15.75" x14ac:dyDescent="0.25">
      <c r="A33" s="200" t="s">
        <v>1178</v>
      </c>
      <c r="B33" s="200"/>
      <c r="C33" s="200"/>
      <c r="D33" s="200"/>
      <c r="E33" s="200"/>
    </row>
    <row r="34" spans="1:9" x14ac:dyDescent="0.25">
      <c r="A34" s="201" t="s">
        <v>1179</v>
      </c>
      <c r="B34" s="202"/>
      <c r="C34" s="202"/>
      <c r="D34" s="202"/>
      <c r="E34" s="203"/>
      <c r="F34" s="85" t="s">
        <v>1172</v>
      </c>
      <c r="G34" s="85" t="s">
        <v>1173</v>
      </c>
      <c r="H34" s="85" t="s">
        <v>1174</v>
      </c>
      <c r="I34" s="85" t="s">
        <v>1172</v>
      </c>
    </row>
    <row r="35" spans="1:9" x14ac:dyDescent="0.25">
      <c r="A35" s="207" t="s">
        <v>50</v>
      </c>
      <c r="B35" s="208"/>
      <c r="C35" s="208"/>
      <c r="D35" s="208"/>
      <c r="E35" s="209"/>
      <c r="F35" s="88">
        <v>0</v>
      </c>
      <c r="G35" s="89" t="s">
        <v>50</v>
      </c>
      <c r="H35" s="89" t="s">
        <v>50</v>
      </c>
      <c r="I35" s="88">
        <f>F35</f>
        <v>0</v>
      </c>
    </row>
    <row r="36" spans="1:9" x14ac:dyDescent="0.25">
      <c r="A36" s="210" t="s">
        <v>1180</v>
      </c>
      <c r="B36" s="211"/>
      <c r="C36" s="211"/>
      <c r="D36" s="211"/>
      <c r="E36" s="212"/>
      <c r="F36" s="90" t="s">
        <v>50</v>
      </c>
      <c r="G36" s="91" t="s">
        <v>50</v>
      </c>
      <c r="H36" s="91" t="s">
        <v>50</v>
      </c>
      <c r="I36" s="92">
        <f>SUM(I35:I35)</f>
        <v>0</v>
      </c>
    </row>
  </sheetData>
  <sheetProtection password="C7C0" sheet="1"/>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vt:i4>
      </vt:variant>
    </vt:vector>
  </HeadingPairs>
  <TitlesOfParts>
    <vt:vector size="6" baseType="lpstr">
      <vt:lpstr>Krycí list rozpočtu</vt:lpstr>
      <vt:lpstr>Stavební rozpočet</vt:lpstr>
      <vt:lpstr>Výkaz výměr</vt:lpstr>
      <vt:lpstr>Výpis materiálu elektro</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Salcburgerová Lenka, Ing.</cp:lastModifiedBy>
  <dcterms:created xsi:type="dcterms:W3CDTF">2021-06-10T20:06:38Z</dcterms:created>
  <dcterms:modified xsi:type="dcterms:W3CDTF">2024-12-09T13:23:08Z</dcterms:modified>
</cp:coreProperties>
</file>